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comments3.xml" ContentType="application/vnd.openxmlformats-officedocument.spreadsheetml.comments+xml"/>
  <Override PartName="/xl/comments4.xml" ContentType="application/vnd.openxmlformats-officedocument.spreadsheetml.comments+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hidePivotFieldList="1" autoCompressPictures="0" defaultThemeVersion="124226"/>
  <mc:AlternateContent xmlns:mc="http://schemas.openxmlformats.org/markup-compatibility/2006">
    <mc:Choice Requires="x15">
      <x15ac:absPath xmlns:x15ac="http://schemas.microsoft.com/office/spreadsheetml/2010/11/ac" url="https://appriver3651005261-my.sharepoint.com/personal/robert_aycock_sreb_org/Documents/2023 Summary Files/"/>
    </mc:Choice>
  </mc:AlternateContent>
  <xr:revisionPtr revIDLastSave="1" documentId="8_{DCAE2004-801E-4874-ACAB-10368DB12580}" xr6:coauthVersionLast="47" xr6:coauthVersionMax="47" xr10:uidLastSave="{4D47F55A-032E-418D-9209-AC7FBBE544FC}"/>
  <bookViews>
    <workbookView xWindow="-120" yWindow="-16320" windowWidth="29040" windowHeight="15840" activeTab="3" xr2:uid="{00000000-000D-0000-FFFF-FFFF00000000}"/>
  </bookViews>
  <sheets>
    <sheet name="NEW...Tables 87-90" sheetId="20" r:id="rId1"/>
    <sheet name="OLD...Tables" sheetId="19" r:id="rId2"/>
    <sheet name="NEW...Tables 91-112" sheetId="18" r:id="rId3"/>
    <sheet name="OLD...Tabs" sheetId="17" r:id="rId4"/>
    <sheet name="Pivot Table for Data Exchange" sheetId="15" r:id="rId5"/>
    <sheet name="05InstructionTypes" sheetId="1" r:id="rId6"/>
    <sheet name="Sheet1" sheetId="21" state="hidden" r:id="rId7"/>
    <sheet name="Format for DE pivot" sheetId="12" r:id="rId8"/>
    <sheet name="Summary Table for Fact Book" sheetId="16" r:id="rId9"/>
    <sheet name="Pivot Table for Fact Book" sheetId="14" r:id="rId10"/>
    <sheet name="Format for FB Pivot Tab" sheetId="13" r:id="rId11"/>
  </sheets>
  <definedNames>
    <definedName name="_xlnm.Print_Area" localSheetId="0">'NEW...Tables 87-90'!$A$1:$P$116</definedName>
    <definedName name="_xlnm.Print_Area" localSheetId="2">'NEW...Tables 91-112'!$A$1:$P$461</definedName>
    <definedName name="_xlnm.Print_Area" localSheetId="1">'OLD...Tables'!$A$1:$P$113</definedName>
    <definedName name="_xlnm.Print_Area" localSheetId="3">'OLD...Tabs'!$A$1:$P$461</definedName>
    <definedName name="Type13gr1_1" localSheetId="5">'05InstructionTypes'!$W$47:$W$132</definedName>
    <definedName name="Type13gr1_10" localSheetId="5">'05InstructionTypes'!$W$78:$W$80</definedName>
    <definedName name="Type13gr1_11" localSheetId="5">'05InstructionTypes'!$W$110:$W$130</definedName>
    <definedName name="Type13gr1_2" localSheetId="5">'05InstructionTypes'!$W$47:$W$132</definedName>
    <definedName name="Type13gr1_3" localSheetId="5">'05InstructionTypes'!$W$45:$W$130</definedName>
    <definedName name="Type13gr1_4" localSheetId="5">'05InstructionTypes'!$W$45:$W$131</definedName>
    <definedName name="Type13gr1_5" localSheetId="5">'05InstructionTypes'!$W$82:$W$109</definedName>
    <definedName name="Type13gr1_6" localSheetId="5">'05InstructionTypes'!$W$110:$W$130</definedName>
    <definedName name="Type13gr1_7" localSheetId="5">'05InstructionTypes'!$W$78:$W$80</definedName>
    <definedName name="Type13gr1_8" localSheetId="5">'05InstructionTypes'!$W$45:$W$131</definedName>
    <definedName name="Type13gr1_9" localSheetId="5">'05InstructionTypes'!$W$45:$W$77</definedName>
    <definedName name="Type13gr2_1" localSheetId="5">'05InstructionTypes'!$Y$47:$Y$132</definedName>
    <definedName name="Type13gr2_10" localSheetId="5">'05InstructionTypes'!$Y$78:$Y$80</definedName>
    <definedName name="Type13gr2_11" localSheetId="5">'05InstructionTypes'!$Y$78:$Y$80</definedName>
    <definedName name="Type13gr2_2" localSheetId="5">'05InstructionTypes'!$Y$47:$Y$132</definedName>
    <definedName name="Type13gr2_3" localSheetId="5">'05InstructionTypes'!$Y$45:$Y$130</definedName>
    <definedName name="Type13gr2_4" localSheetId="5">'05InstructionTypes'!$Y$45:$Y$131</definedName>
    <definedName name="Type13gr2_5" localSheetId="5">'05InstructionTypes'!$Y$82:$Y$109</definedName>
    <definedName name="Type13gr2_6" localSheetId="5">'05InstructionTypes'!$Y$45:$Y$77</definedName>
    <definedName name="Type13gr2_7" localSheetId="5">'05InstructionTypes'!$Y$110:$Y$130</definedName>
    <definedName name="Type13gr2_8" localSheetId="5">'05InstructionTypes'!$Y$110:$Y$130</definedName>
    <definedName name="Type13gr2_9" localSheetId="5">'05InstructionTypes'!$Y$45:$Y$131</definedName>
    <definedName name="Type13gr3_1" localSheetId="5">'05InstructionTypes'!$AC$47:$AC$132</definedName>
    <definedName name="Type13gr3_10" localSheetId="5">'05InstructionTypes'!$AC$78:$AC$80</definedName>
    <definedName name="Type13gr3_11" localSheetId="5">'05InstructionTypes'!$AC$45:$AC$131</definedName>
    <definedName name="Type13gr3_2" localSheetId="5">'05InstructionTypes'!$AC$47:$AC$132</definedName>
    <definedName name="Type13gr3_3" localSheetId="5">'05InstructionTypes'!$AC$45:$AC$130</definedName>
    <definedName name="Type13gr3_4" localSheetId="5">'05InstructionTypes'!$AC$45:$AC$131</definedName>
    <definedName name="Type13gr3_5" localSheetId="5">'05InstructionTypes'!$AC$82:$AC$109</definedName>
    <definedName name="Type13gr3_6" localSheetId="5">'05InstructionTypes'!$AC$110:$AC$130</definedName>
    <definedName name="Type13gr3_7" localSheetId="5">'05InstructionTypes'!$AC$110:$AC$130</definedName>
    <definedName name="Type13gr3_8" localSheetId="5">'05InstructionTypes'!$AC$45:$AC$77</definedName>
    <definedName name="Type13gr3_9" localSheetId="5">'05InstructionTypes'!$AC$78:$AC$80</definedName>
    <definedName name="Type13gr4_1" localSheetId="5">'05InstructionTypes'!$AD$47:$AD$132</definedName>
    <definedName name="Type13gr4_10" localSheetId="5">'05InstructionTypes'!$AD$110:$AD$130</definedName>
    <definedName name="Type13gr4_11" localSheetId="5">'05InstructionTypes'!$AD$82:$AD$109</definedName>
    <definedName name="Type13gr4_2" localSheetId="5">'05InstructionTypes'!$AD$47:$AD$132</definedName>
    <definedName name="Type13gr4_3" localSheetId="5">'05InstructionTypes'!$AD$45:$AD$130</definedName>
    <definedName name="Type13gr4_4" localSheetId="5">'05InstructionTypes'!$AD$45:$AD$131</definedName>
    <definedName name="Type13gr4_5" localSheetId="5">'05InstructionTypes'!$AD$45:$AD$131</definedName>
    <definedName name="Type13gr4_6" localSheetId="5">'05InstructionTypes'!$AD$78:$AD$80</definedName>
    <definedName name="Type13gr4_7" localSheetId="5">'05InstructionTypes'!$AD$110:$AD$130</definedName>
    <definedName name="Type13gr4_8" localSheetId="5">'05InstructionTypes'!$AD$78:$AD$80</definedName>
    <definedName name="Type13gr4_9" localSheetId="5">'05InstructionTypes'!$AD$45:$AD$77</definedName>
    <definedName name="Type13gr5_10" localSheetId="5">'05InstructionTypes'!$AE$45:$AE$77</definedName>
    <definedName name="Type13gr5_11" localSheetId="5">'05InstructionTypes'!$AE$78:$AE$80</definedName>
    <definedName name="Type13gr5_12" localSheetId="5">'05InstructionTypes'!$AE$110:$AE$130</definedName>
    <definedName name="Type13gr5_2" localSheetId="5">'05InstructionTypes'!$AE$47:$AE$132</definedName>
    <definedName name="Type13gr5_3" localSheetId="5">'05InstructionTypes'!$AE$47:$AE$132</definedName>
    <definedName name="Type13gr5_4" localSheetId="5">'05InstructionTypes'!$AE$45:$AE$130</definedName>
    <definedName name="Type13gr5_5" localSheetId="5">'05InstructionTypes'!$AE$45:$AE$131</definedName>
    <definedName name="Type13gr5_6" localSheetId="5">'05InstructionTypes'!$AE$82:$AE$109</definedName>
    <definedName name="Type13gr5_7" localSheetId="5">'05InstructionTypes'!$AE$110:$AE$130</definedName>
    <definedName name="Type13gr5_8" localSheetId="5">'05InstructionTypes'!$AE$78:$AE$80</definedName>
    <definedName name="Type13gr5_9" localSheetId="5">'05InstructionTypes'!$AE$45:$AE$131</definedName>
    <definedName name="Type13ug1_1" localSheetId="5">'05InstructionTypes'!$I$47:$I$132</definedName>
    <definedName name="Type13ug1_10" localSheetId="5">'05InstructionTypes'!$I$78:$I$80</definedName>
    <definedName name="Type13ug1_11" localSheetId="5">'05InstructionTypes'!$I$45:$I$77</definedName>
    <definedName name="Type13ug1_2" localSheetId="5">'05InstructionTypes'!$I$47:$I$132</definedName>
    <definedName name="Type13ug1_3" localSheetId="5">'05InstructionTypes'!$I$45:$I$130</definedName>
    <definedName name="Type13ug1_4" localSheetId="5">'05InstructionTypes'!$I$45:$I$131</definedName>
    <definedName name="Type13ug1_5" localSheetId="5">'05InstructionTypes'!$I$78:$I$80</definedName>
    <definedName name="Type13ug1_6" localSheetId="5">'05InstructionTypes'!$I$110:$I$130</definedName>
    <definedName name="Type13ug1_7" localSheetId="5">'05InstructionTypes'!$I$45:$I$131</definedName>
    <definedName name="Type13ug1_8" localSheetId="5">'05InstructionTypes'!$I$110:$I$130</definedName>
    <definedName name="Type13ug1_9" localSheetId="5">'05InstructionTypes'!$I$82:$I$109</definedName>
    <definedName name="Type13ug2_1" localSheetId="5">'05InstructionTypes'!$K$47:$K$132</definedName>
    <definedName name="Type13ug2_10" localSheetId="5">'05InstructionTypes'!$K$78:$K$80</definedName>
    <definedName name="Type13ug2_11" localSheetId="5">'05InstructionTypes'!$K$45:$K$77</definedName>
    <definedName name="Type13ug2_2" localSheetId="5">'05InstructionTypes'!$K$47:$K$132</definedName>
    <definedName name="Type13ug2_3" localSheetId="5">'05InstructionTypes'!$K$45:$K$130</definedName>
    <definedName name="Type13ug2_4" localSheetId="5">'05InstructionTypes'!$K$45:$K$131</definedName>
    <definedName name="Type13ug2_5" localSheetId="5">'05InstructionTypes'!$K$82:$K$109</definedName>
    <definedName name="Type13ug2_6" localSheetId="5">'05InstructionTypes'!$K$78:$K$80</definedName>
    <definedName name="Type13ug2_7" localSheetId="5">'05InstructionTypes'!$K$110:$K$130</definedName>
    <definedName name="Type13ug2_8" localSheetId="5">'05InstructionTypes'!$K$45:$K$131</definedName>
    <definedName name="Type13ug2_9" localSheetId="5">'05InstructionTypes'!$K$110:$K$130</definedName>
    <definedName name="Type13ug3_1" localSheetId="5">'05InstructionTypes'!$O$47:$O$132</definedName>
    <definedName name="Type13ug3_10" localSheetId="5">'05InstructionTypes'!$O$110:$O$130</definedName>
    <definedName name="Type13ug3_11" localSheetId="5">'05InstructionTypes'!$O$82:$O$109</definedName>
    <definedName name="Type13ug3_2" localSheetId="5">'05InstructionTypes'!$O$47:$O$132</definedName>
    <definedName name="Type13ug3_3" localSheetId="5">'05InstructionTypes'!$O$45:$O$130</definedName>
    <definedName name="Type13ug3_4" localSheetId="5">'05InstructionTypes'!$O$45:$O$131</definedName>
    <definedName name="Type13ug3_5" localSheetId="5">'05InstructionTypes'!$O$45:$O$77</definedName>
    <definedName name="Type13ug3_6" localSheetId="5">'05InstructionTypes'!$O$45:$O$131</definedName>
    <definedName name="Type13ug3_7" localSheetId="5">'05InstructionTypes'!$O$78:$O$80</definedName>
    <definedName name="Type13ug3_8" localSheetId="5">'05InstructionTypes'!$O$110:$O$130</definedName>
    <definedName name="Type13ug3_9" localSheetId="5">'05InstructionTypes'!$O$78:$O$80</definedName>
    <definedName name="Type13ug4_1" localSheetId="5">'05InstructionTypes'!$P$47:$P$132</definedName>
    <definedName name="Type13ug4_10" localSheetId="5">'05InstructionTypes'!$P$110:$P$130</definedName>
    <definedName name="Type13ug4_11" localSheetId="5">'05InstructionTypes'!$P$78:$P$80</definedName>
    <definedName name="Type13ug4_2" localSheetId="5">'05InstructionTypes'!$P$47:$P$132</definedName>
    <definedName name="Type13ug4_3" localSheetId="5">'05InstructionTypes'!$P$45:$P$130</definedName>
    <definedName name="Type13ug4_4" localSheetId="5">'05InstructionTypes'!$P$45:$P$131</definedName>
    <definedName name="Type13ug4_5" localSheetId="5">'05InstructionTypes'!$P$45:$P$131</definedName>
    <definedName name="Type13ug4_6" localSheetId="5">'05InstructionTypes'!$P$78:$P$80</definedName>
    <definedName name="Type13ug4_7" localSheetId="5">'05InstructionTypes'!$P$110:$P$130</definedName>
    <definedName name="Type13ug4_8" localSheetId="5">'05InstructionTypes'!$P$45:$P$77</definedName>
    <definedName name="Type13ug4_9" localSheetId="5">'05InstructionTypes'!$P$82:$P$109</definedName>
    <definedName name="Type13ug5_1" localSheetId="5">'05InstructionTypes'!$Q$47:$Q$132</definedName>
    <definedName name="Type13ug5_10" localSheetId="5">'05InstructionTypes'!$Q$110:$Q$130</definedName>
    <definedName name="Type13ug5_11" localSheetId="5">'05InstructionTypes'!$Q$45:$Q$131</definedName>
    <definedName name="Type13ug5_2" localSheetId="5">'05InstructionTypes'!$Q$47:$Q$132</definedName>
    <definedName name="Type13ug5_3" localSheetId="5">'05InstructionTypes'!$Q$45:$Q$130</definedName>
    <definedName name="Type13ug5_4" localSheetId="5">'05InstructionTypes'!$Q$45:$Q$131</definedName>
    <definedName name="Type13ug5_5" localSheetId="5">'05InstructionTypes'!$Q$78:$Q$80</definedName>
    <definedName name="Type13ug5_6" localSheetId="5">'05InstructionTypes'!$Q$110:$Q$130</definedName>
    <definedName name="Type13ug5_7" localSheetId="5">'05InstructionTypes'!$Q$45:$Q$77</definedName>
    <definedName name="Type13ug5_8" localSheetId="5">'05InstructionTypes'!$Q$82:$Q$109</definedName>
    <definedName name="Type13ug5_9" localSheetId="5">'05InstructionTypes'!$Q$78:$Q$80</definedName>
  </definedNames>
  <calcPr calcId="191029"/>
  <pivotCaches>
    <pivotCache cacheId="1013" r:id="rId12"/>
    <pivotCache cacheId="1017"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x:ext xmlns:x="http://schemas.openxmlformats.org/spreadsheetml/2006/main" xmlns:mx="http://schemas.microsoft.com/office/mac/excel/2008/main" uri="{7523E5D3-25F3-A5E0-1632-64F254C22452}">
      <mx:ArchID Flags="2"/>
    </x:ext>
  </extLst>
</workbook>
</file>

<file path=xl/calcChain.xml><?xml version="1.0" encoding="utf-8"?>
<calcChain xmlns="http://schemas.openxmlformats.org/spreadsheetml/2006/main">
  <c r="D73" i="17" l="1"/>
  <c r="T8" i="1" l="1"/>
  <c r="U8" i="1"/>
  <c r="T9" i="1"/>
  <c r="U9" i="1"/>
  <c r="T10" i="1"/>
  <c r="U10" i="1"/>
  <c r="T11" i="1"/>
  <c r="U11" i="1"/>
  <c r="T12" i="1"/>
  <c r="U12" i="1"/>
  <c r="T13" i="1"/>
  <c r="U13" i="1"/>
  <c r="T14" i="1"/>
  <c r="U14" i="1"/>
  <c r="T15" i="1"/>
  <c r="U15" i="1"/>
  <c r="T16" i="1"/>
  <c r="U16" i="1"/>
  <c r="T17" i="1"/>
  <c r="U17" i="1"/>
  <c r="T18" i="1"/>
  <c r="U18" i="1"/>
  <c r="T19" i="1"/>
  <c r="U19" i="1"/>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T106" i="1"/>
  <c r="U106" i="1"/>
  <c r="T107" i="1"/>
  <c r="U107" i="1"/>
  <c r="T108" i="1"/>
  <c r="U108" i="1"/>
  <c r="T109" i="1"/>
  <c r="U109" i="1"/>
  <c r="T110" i="1"/>
  <c r="U110" i="1"/>
  <c r="T111" i="1"/>
  <c r="U111" i="1"/>
  <c r="T112" i="1"/>
  <c r="U112" i="1"/>
  <c r="T113" i="1"/>
  <c r="U113" i="1"/>
  <c r="T114" i="1"/>
  <c r="U114" i="1"/>
  <c r="T115" i="1"/>
  <c r="U115" i="1"/>
  <c r="T116" i="1"/>
  <c r="U116" i="1"/>
  <c r="T117" i="1"/>
  <c r="U117" i="1"/>
  <c r="T118" i="1"/>
  <c r="U118" i="1"/>
  <c r="T119" i="1"/>
  <c r="U119" i="1"/>
  <c r="T120" i="1"/>
  <c r="U120" i="1"/>
  <c r="T121" i="1"/>
  <c r="U121" i="1"/>
  <c r="T122" i="1"/>
  <c r="U122" i="1"/>
  <c r="T123" i="1"/>
  <c r="U123" i="1"/>
  <c r="T124" i="1"/>
  <c r="U124" i="1"/>
  <c r="T125" i="1"/>
  <c r="U125" i="1"/>
  <c r="T126" i="1"/>
  <c r="U126" i="1"/>
  <c r="T127" i="1"/>
  <c r="U127" i="1"/>
  <c r="T128" i="1"/>
  <c r="U128" i="1"/>
  <c r="T129" i="1"/>
  <c r="U129" i="1"/>
  <c r="T130" i="1"/>
  <c r="U130" i="1"/>
  <c r="T131" i="1"/>
  <c r="U131" i="1"/>
  <c r="T132" i="1"/>
  <c r="U132" i="1"/>
  <c r="T133" i="1"/>
  <c r="U133" i="1"/>
  <c r="T134" i="1"/>
  <c r="U134" i="1"/>
  <c r="T135" i="1"/>
  <c r="U135" i="1"/>
  <c r="T136" i="1"/>
  <c r="U136" i="1"/>
  <c r="T137" i="1"/>
  <c r="U137" i="1"/>
  <c r="T138" i="1"/>
  <c r="U138" i="1"/>
  <c r="T139" i="1"/>
  <c r="U139" i="1"/>
  <c r="T140" i="1"/>
  <c r="U140" i="1"/>
  <c r="T141" i="1"/>
  <c r="U141" i="1"/>
  <c r="T142" i="1"/>
  <c r="U142" i="1"/>
  <c r="T143" i="1"/>
  <c r="U143" i="1"/>
  <c r="T144" i="1"/>
  <c r="U144" i="1"/>
  <c r="T145" i="1"/>
  <c r="U145" i="1"/>
  <c r="T146" i="1"/>
  <c r="U146" i="1"/>
  <c r="T147" i="1"/>
  <c r="U147" i="1"/>
  <c r="T148" i="1"/>
  <c r="U148" i="1"/>
  <c r="T149" i="1"/>
  <c r="U149" i="1"/>
  <c r="T150" i="1"/>
  <c r="U150" i="1"/>
  <c r="T151" i="1"/>
  <c r="U151" i="1"/>
  <c r="T152" i="1"/>
  <c r="U152" i="1"/>
  <c r="T153" i="1"/>
  <c r="U153" i="1"/>
  <c r="T154" i="1"/>
  <c r="U154" i="1"/>
  <c r="T155" i="1"/>
  <c r="U155" i="1"/>
  <c r="T156" i="1"/>
  <c r="U156" i="1"/>
  <c r="T157" i="1"/>
  <c r="U157" i="1"/>
  <c r="T158" i="1"/>
  <c r="U158" i="1"/>
  <c r="T159" i="1"/>
  <c r="U159" i="1"/>
  <c r="T160" i="1"/>
  <c r="U160" i="1"/>
  <c r="T161" i="1"/>
  <c r="U161" i="1"/>
  <c r="T162" i="1"/>
  <c r="U162" i="1"/>
  <c r="T163" i="1"/>
  <c r="U163" i="1"/>
  <c r="T164" i="1"/>
  <c r="U164" i="1"/>
  <c r="T165" i="1"/>
  <c r="U165" i="1"/>
  <c r="T166" i="1"/>
  <c r="U166" i="1"/>
  <c r="T167" i="1"/>
  <c r="U167" i="1"/>
  <c r="T168" i="1"/>
  <c r="U168" i="1"/>
  <c r="T169" i="1"/>
  <c r="U169" i="1"/>
  <c r="T170" i="1"/>
  <c r="U170" i="1"/>
  <c r="T171" i="1"/>
  <c r="U171" i="1"/>
  <c r="T172" i="1"/>
  <c r="U172" i="1"/>
  <c r="T173" i="1"/>
  <c r="U173" i="1"/>
  <c r="T174" i="1"/>
  <c r="U174" i="1"/>
  <c r="T175" i="1"/>
  <c r="U175" i="1"/>
  <c r="T176" i="1"/>
  <c r="U176" i="1"/>
  <c r="T177" i="1"/>
  <c r="U177" i="1"/>
  <c r="T178" i="1"/>
  <c r="U178" i="1"/>
  <c r="T179" i="1"/>
  <c r="U179" i="1"/>
  <c r="T180" i="1"/>
  <c r="U180" i="1"/>
  <c r="T181" i="1"/>
  <c r="U181" i="1"/>
  <c r="T182" i="1"/>
  <c r="U182" i="1"/>
  <c r="T183" i="1"/>
  <c r="U183" i="1"/>
  <c r="T184" i="1"/>
  <c r="U184" i="1"/>
  <c r="T185" i="1"/>
  <c r="U185" i="1"/>
  <c r="T186" i="1"/>
  <c r="U186" i="1"/>
  <c r="T187" i="1"/>
  <c r="U187" i="1"/>
  <c r="T188" i="1"/>
  <c r="U188" i="1"/>
  <c r="T189" i="1"/>
  <c r="U189" i="1"/>
  <c r="T190" i="1"/>
  <c r="U190" i="1"/>
  <c r="T191" i="1"/>
  <c r="U191" i="1"/>
  <c r="T192" i="1"/>
  <c r="U192" i="1"/>
  <c r="T193" i="1"/>
  <c r="U193" i="1"/>
  <c r="T194" i="1"/>
  <c r="U194" i="1"/>
  <c r="T195" i="1"/>
  <c r="U195" i="1"/>
  <c r="T196" i="1"/>
  <c r="U196" i="1"/>
  <c r="T197" i="1"/>
  <c r="U197" i="1"/>
  <c r="T198" i="1"/>
  <c r="U198" i="1"/>
  <c r="T199" i="1"/>
  <c r="U199" i="1"/>
  <c r="T200" i="1"/>
  <c r="U200" i="1"/>
  <c r="T201" i="1"/>
  <c r="U201" i="1"/>
  <c r="T202" i="1"/>
  <c r="U202" i="1"/>
  <c r="T203" i="1"/>
  <c r="U203" i="1"/>
  <c r="T204" i="1"/>
  <c r="U204" i="1"/>
  <c r="T205" i="1"/>
  <c r="U205" i="1"/>
  <c r="T206" i="1"/>
  <c r="U206" i="1"/>
  <c r="T207" i="1"/>
  <c r="U207" i="1"/>
  <c r="T208" i="1"/>
  <c r="U208" i="1"/>
  <c r="T209" i="1"/>
  <c r="U209" i="1"/>
  <c r="T210" i="1"/>
  <c r="U210" i="1"/>
  <c r="T211" i="1"/>
  <c r="U211" i="1"/>
  <c r="T212" i="1"/>
  <c r="U212" i="1"/>
  <c r="T213" i="1"/>
  <c r="U213" i="1"/>
  <c r="T214" i="1"/>
  <c r="U214" i="1"/>
  <c r="T215" i="1"/>
  <c r="U215" i="1"/>
  <c r="T216" i="1"/>
  <c r="U216" i="1"/>
  <c r="T217" i="1"/>
  <c r="U217" i="1"/>
  <c r="T218" i="1"/>
  <c r="U218" i="1"/>
  <c r="T219" i="1"/>
  <c r="U219" i="1"/>
  <c r="T220" i="1"/>
  <c r="U220" i="1"/>
  <c r="T221" i="1"/>
  <c r="U221" i="1"/>
  <c r="T222" i="1"/>
  <c r="U222" i="1"/>
  <c r="T223" i="1"/>
  <c r="U223" i="1"/>
  <c r="T224" i="1"/>
  <c r="U224" i="1"/>
  <c r="T225" i="1"/>
  <c r="U225" i="1"/>
  <c r="T226" i="1"/>
  <c r="U226" i="1"/>
  <c r="T227" i="1"/>
  <c r="U227" i="1"/>
  <c r="T228" i="1"/>
  <c r="U228" i="1"/>
  <c r="T229" i="1"/>
  <c r="U229" i="1"/>
  <c r="T230" i="1"/>
  <c r="U230" i="1"/>
  <c r="T231" i="1"/>
  <c r="U231" i="1"/>
  <c r="T232" i="1"/>
  <c r="U232" i="1"/>
  <c r="T233" i="1"/>
  <c r="U233" i="1"/>
  <c r="T234" i="1"/>
  <c r="U234" i="1"/>
  <c r="T235" i="1"/>
  <c r="U235" i="1"/>
  <c r="T236" i="1"/>
  <c r="U236" i="1"/>
  <c r="T237" i="1"/>
  <c r="U237" i="1"/>
  <c r="T238" i="1"/>
  <c r="U238" i="1"/>
  <c r="T239" i="1"/>
  <c r="U239" i="1"/>
  <c r="T240" i="1"/>
  <c r="U240" i="1"/>
  <c r="T241" i="1"/>
  <c r="U241" i="1"/>
  <c r="T242" i="1"/>
  <c r="U242" i="1"/>
  <c r="T243" i="1"/>
  <c r="U243" i="1"/>
  <c r="T244" i="1"/>
  <c r="U244" i="1"/>
  <c r="T245" i="1"/>
  <c r="U245" i="1"/>
  <c r="T246" i="1"/>
  <c r="U246" i="1"/>
  <c r="T247" i="1"/>
  <c r="U247" i="1"/>
  <c r="T248" i="1"/>
  <c r="U248" i="1"/>
  <c r="T249" i="1"/>
  <c r="U249" i="1"/>
  <c r="T250" i="1"/>
  <c r="U250" i="1"/>
  <c r="T251" i="1"/>
  <c r="U251" i="1"/>
  <c r="T252" i="1"/>
  <c r="U252" i="1"/>
  <c r="T253" i="1"/>
  <c r="U253" i="1"/>
  <c r="T254" i="1"/>
  <c r="U254" i="1"/>
  <c r="T255" i="1"/>
  <c r="U255" i="1"/>
  <c r="T256" i="1"/>
  <c r="U256" i="1"/>
  <c r="T257" i="1"/>
  <c r="U257" i="1"/>
  <c r="T258" i="1"/>
  <c r="U258" i="1"/>
  <c r="T259" i="1"/>
  <c r="U259" i="1"/>
  <c r="T260" i="1"/>
  <c r="U260" i="1"/>
  <c r="T261" i="1"/>
  <c r="U261" i="1"/>
  <c r="T262" i="1"/>
  <c r="U262" i="1"/>
  <c r="T263" i="1"/>
  <c r="U263" i="1"/>
  <c r="T264" i="1"/>
  <c r="U264" i="1"/>
  <c r="T265" i="1"/>
  <c r="U265" i="1"/>
  <c r="T266" i="1"/>
  <c r="U266" i="1"/>
  <c r="T267" i="1"/>
  <c r="U267" i="1"/>
  <c r="T268" i="1"/>
  <c r="U268" i="1"/>
  <c r="T269" i="1"/>
  <c r="U269" i="1"/>
  <c r="T270" i="1"/>
  <c r="U270" i="1"/>
  <c r="T271" i="1"/>
  <c r="U271" i="1"/>
  <c r="T272" i="1"/>
  <c r="U272" i="1"/>
  <c r="T273" i="1"/>
  <c r="U273" i="1"/>
  <c r="T274" i="1"/>
  <c r="U274" i="1"/>
  <c r="T275" i="1"/>
  <c r="U275" i="1"/>
  <c r="T276" i="1"/>
  <c r="U276" i="1"/>
  <c r="T277" i="1"/>
  <c r="U277" i="1"/>
  <c r="T278" i="1"/>
  <c r="U278" i="1"/>
  <c r="T279" i="1"/>
  <c r="U279" i="1"/>
  <c r="T280" i="1"/>
  <c r="U280" i="1"/>
  <c r="T281" i="1"/>
  <c r="U281" i="1"/>
  <c r="T282" i="1"/>
  <c r="U282" i="1"/>
  <c r="T283" i="1"/>
  <c r="U283" i="1"/>
  <c r="T284" i="1"/>
  <c r="U284" i="1"/>
  <c r="T285" i="1"/>
  <c r="U285" i="1"/>
  <c r="T286" i="1"/>
  <c r="U286" i="1"/>
  <c r="T287" i="1"/>
  <c r="U287" i="1"/>
  <c r="T288" i="1"/>
  <c r="U288" i="1"/>
  <c r="T289" i="1"/>
  <c r="U289" i="1"/>
  <c r="T290" i="1"/>
  <c r="U290" i="1"/>
  <c r="T291" i="1"/>
  <c r="U291" i="1"/>
  <c r="T292" i="1"/>
  <c r="U292" i="1"/>
  <c r="T293" i="1"/>
  <c r="U293" i="1"/>
  <c r="T294" i="1"/>
  <c r="U294" i="1"/>
  <c r="T295" i="1"/>
  <c r="U295" i="1"/>
  <c r="T296" i="1"/>
  <c r="U296" i="1"/>
  <c r="T297" i="1"/>
  <c r="U297" i="1"/>
  <c r="T298" i="1"/>
  <c r="U298" i="1"/>
  <c r="T299" i="1"/>
  <c r="U299" i="1"/>
  <c r="T300" i="1"/>
  <c r="U300" i="1"/>
  <c r="T301" i="1"/>
  <c r="U301" i="1"/>
  <c r="T302" i="1"/>
  <c r="U302" i="1"/>
  <c r="T303" i="1"/>
  <c r="U303" i="1"/>
  <c r="T304" i="1"/>
  <c r="U304" i="1"/>
  <c r="T305" i="1"/>
  <c r="U305" i="1"/>
  <c r="T306" i="1"/>
  <c r="U306" i="1"/>
  <c r="T307" i="1"/>
  <c r="U307" i="1"/>
  <c r="T308" i="1"/>
  <c r="U308" i="1"/>
  <c r="T309" i="1"/>
  <c r="U309" i="1"/>
  <c r="T310" i="1"/>
  <c r="U310" i="1"/>
  <c r="T311" i="1"/>
  <c r="U311" i="1"/>
  <c r="T312" i="1"/>
  <c r="U312" i="1"/>
  <c r="T313" i="1"/>
  <c r="U313" i="1"/>
  <c r="T314" i="1"/>
  <c r="U314" i="1"/>
  <c r="T315" i="1"/>
  <c r="U315" i="1"/>
  <c r="T316" i="1"/>
  <c r="U316" i="1"/>
  <c r="T317" i="1"/>
  <c r="U317" i="1"/>
  <c r="T318" i="1"/>
  <c r="U318" i="1"/>
  <c r="T319" i="1"/>
  <c r="U319" i="1"/>
  <c r="T320" i="1"/>
  <c r="U320" i="1"/>
  <c r="T321" i="1"/>
  <c r="U321" i="1"/>
  <c r="T322" i="1"/>
  <c r="U322" i="1"/>
  <c r="T323" i="1"/>
  <c r="U323" i="1"/>
  <c r="T324" i="1"/>
  <c r="U324" i="1"/>
  <c r="T325" i="1"/>
  <c r="U325" i="1"/>
  <c r="T326" i="1"/>
  <c r="U326" i="1"/>
  <c r="T327" i="1"/>
  <c r="U327" i="1"/>
  <c r="T328" i="1"/>
  <c r="U328" i="1"/>
  <c r="T329" i="1"/>
  <c r="U329" i="1"/>
  <c r="T330" i="1"/>
  <c r="U330" i="1"/>
  <c r="T331" i="1"/>
  <c r="U331" i="1"/>
  <c r="T332" i="1"/>
  <c r="U332" i="1"/>
  <c r="T333" i="1"/>
  <c r="U333" i="1"/>
  <c r="T334" i="1"/>
  <c r="U334" i="1"/>
  <c r="T335" i="1"/>
  <c r="U335" i="1"/>
  <c r="T336" i="1"/>
  <c r="U336" i="1"/>
  <c r="T337" i="1"/>
  <c r="U337" i="1"/>
  <c r="T338" i="1"/>
  <c r="U338" i="1"/>
  <c r="T339" i="1"/>
  <c r="U339" i="1"/>
  <c r="T340" i="1"/>
  <c r="U340" i="1"/>
  <c r="T341" i="1"/>
  <c r="U341" i="1"/>
  <c r="T342" i="1"/>
  <c r="U342" i="1"/>
  <c r="T343" i="1"/>
  <c r="U343" i="1"/>
  <c r="T344" i="1"/>
  <c r="U344" i="1"/>
  <c r="T345" i="1"/>
  <c r="U345" i="1"/>
  <c r="T346" i="1"/>
  <c r="U346" i="1"/>
  <c r="T347" i="1"/>
  <c r="U347" i="1"/>
  <c r="T348" i="1"/>
  <c r="U348" i="1"/>
  <c r="T349" i="1"/>
  <c r="U349" i="1"/>
  <c r="T350" i="1"/>
  <c r="U350" i="1"/>
  <c r="T351" i="1"/>
  <c r="U351" i="1"/>
  <c r="T352" i="1"/>
  <c r="U352" i="1"/>
  <c r="T353" i="1"/>
  <c r="U353" i="1"/>
  <c r="T354" i="1"/>
  <c r="U354" i="1"/>
  <c r="T355" i="1"/>
  <c r="U355" i="1"/>
  <c r="T356" i="1"/>
  <c r="U356" i="1"/>
  <c r="T357" i="1"/>
  <c r="U357" i="1"/>
  <c r="T358" i="1"/>
  <c r="U358" i="1"/>
  <c r="T359" i="1"/>
  <c r="U359" i="1"/>
  <c r="T360" i="1"/>
  <c r="U360" i="1"/>
  <c r="T361" i="1"/>
  <c r="U361" i="1"/>
  <c r="T362" i="1"/>
  <c r="U362" i="1"/>
  <c r="T363" i="1"/>
  <c r="U363" i="1"/>
  <c r="T364" i="1"/>
  <c r="U364" i="1"/>
  <c r="T365" i="1"/>
  <c r="U365" i="1"/>
  <c r="T366" i="1"/>
  <c r="U366" i="1"/>
  <c r="T367" i="1"/>
  <c r="U367" i="1"/>
  <c r="T368" i="1"/>
  <c r="U368" i="1"/>
  <c r="T369" i="1"/>
  <c r="U369" i="1"/>
  <c r="T370" i="1"/>
  <c r="U370" i="1"/>
  <c r="T371" i="1"/>
  <c r="U371" i="1"/>
  <c r="T372" i="1"/>
  <c r="U372" i="1"/>
  <c r="T373" i="1"/>
  <c r="U373" i="1"/>
  <c r="T374" i="1"/>
  <c r="U374" i="1"/>
  <c r="T375" i="1"/>
  <c r="U375" i="1"/>
  <c r="T376" i="1"/>
  <c r="U376" i="1"/>
  <c r="T377" i="1"/>
  <c r="U377" i="1"/>
  <c r="T378" i="1"/>
  <c r="U378" i="1"/>
  <c r="T379" i="1"/>
  <c r="U379" i="1"/>
  <c r="T380" i="1"/>
  <c r="U380" i="1"/>
  <c r="T381" i="1"/>
  <c r="U381" i="1"/>
  <c r="T382" i="1"/>
  <c r="U382" i="1"/>
  <c r="T383" i="1"/>
  <c r="U383" i="1"/>
  <c r="T384" i="1"/>
  <c r="U384" i="1"/>
  <c r="T385" i="1"/>
  <c r="U385" i="1"/>
  <c r="T386" i="1"/>
  <c r="U386" i="1"/>
  <c r="T387" i="1"/>
  <c r="U387" i="1"/>
  <c r="T388" i="1"/>
  <c r="U388" i="1"/>
  <c r="T389" i="1"/>
  <c r="U389" i="1"/>
  <c r="T390" i="1"/>
  <c r="U390" i="1"/>
  <c r="T391" i="1"/>
  <c r="U391" i="1"/>
  <c r="T392" i="1"/>
  <c r="U392" i="1"/>
  <c r="T393" i="1"/>
  <c r="U393" i="1"/>
  <c r="T394" i="1"/>
  <c r="U394" i="1"/>
  <c r="T395" i="1"/>
  <c r="U395" i="1"/>
  <c r="T396" i="1"/>
  <c r="U396" i="1"/>
  <c r="T397" i="1"/>
  <c r="U397" i="1"/>
  <c r="T398" i="1"/>
  <c r="U398" i="1"/>
  <c r="T399" i="1"/>
  <c r="U399" i="1"/>
  <c r="T400" i="1"/>
  <c r="U400" i="1"/>
  <c r="T401" i="1"/>
  <c r="U401" i="1"/>
  <c r="T402" i="1"/>
  <c r="U402" i="1"/>
  <c r="T403" i="1"/>
  <c r="U403" i="1"/>
  <c r="T404" i="1"/>
  <c r="U404" i="1"/>
  <c r="T405" i="1"/>
  <c r="U405" i="1"/>
  <c r="T406" i="1"/>
  <c r="U406" i="1"/>
  <c r="T407" i="1"/>
  <c r="U407" i="1"/>
  <c r="T408" i="1"/>
  <c r="U408" i="1"/>
  <c r="T409" i="1"/>
  <c r="U409" i="1"/>
  <c r="T410" i="1"/>
  <c r="U410" i="1"/>
  <c r="T411" i="1"/>
  <c r="U411" i="1"/>
  <c r="T412" i="1"/>
  <c r="U412" i="1"/>
  <c r="T413" i="1"/>
  <c r="U413" i="1"/>
  <c r="T414" i="1"/>
  <c r="U414" i="1"/>
  <c r="T415" i="1"/>
  <c r="U415" i="1"/>
  <c r="T416" i="1"/>
  <c r="U416" i="1"/>
  <c r="T417" i="1"/>
  <c r="U417" i="1"/>
  <c r="T418" i="1"/>
  <c r="U418" i="1"/>
  <c r="T419" i="1"/>
  <c r="U419" i="1"/>
  <c r="T420" i="1"/>
  <c r="U420" i="1"/>
  <c r="T421" i="1"/>
  <c r="U421" i="1"/>
  <c r="T422" i="1"/>
  <c r="U422" i="1"/>
  <c r="T423" i="1"/>
  <c r="U423" i="1"/>
  <c r="T424" i="1"/>
  <c r="U424" i="1"/>
  <c r="T425" i="1"/>
  <c r="U425" i="1"/>
  <c r="T426" i="1"/>
  <c r="U426" i="1"/>
  <c r="T427" i="1"/>
  <c r="U427" i="1"/>
  <c r="T428" i="1"/>
  <c r="U428" i="1"/>
  <c r="T429" i="1"/>
  <c r="U429" i="1"/>
  <c r="T430" i="1"/>
  <c r="U430" i="1"/>
  <c r="T431" i="1"/>
  <c r="U431" i="1"/>
  <c r="T432" i="1"/>
  <c r="U432" i="1"/>
  <c r="T433" i="1"/>
  <c r="U433" i="1"/>
  <c r="T434" i="1"/>
  <c r="U434" i="1"/>
  <c r="T435" i="1"/>
  <c r="U435" i="1"/>
  <c r="T436" i="1"/>
  <c r="U436" i="1"/>
  <c r="T437" i="1"/>
  <c r="U437" i="1"/>
  <c r="T438" i="1"/>
  <c r="U438" i="1"/>
  <c r="T439" i="1"/>
  <c r="U439" i="1"/>
  <c r="T440" i="1"/>
  <c r="U440" i="1"/>
  <c r="T441" i="1"/>
  <c r="U441" i="1"/>
  <c r="T442" i="1"/>
  <c r="U442" i="1"/>
  <c r="T443" i="1"/>
  <c r="U443" i="1"/>
  <c r="T444" i="1"/>
  <c r="U444" i="1"/>
  <c r="T445" i="1"/>
  <c r="U445" i="1"/>
  <c r="T446" i="1"/>
  <c r="U446" i="1"/>
  <c r="T447" i="1"/>
  <c r="U447" i="1"/>
  <c r="T448" i="1"/>
  <c r="U448" i="1"/>
  <c r="T449" i="1"/>
  <c r="U449" i="1"/>
  <c r="T450" i="1"/>
  <c r="U450" i="1"/>
  <c r="T451" i="1"/>
  <c r="U451" i="1"/>
  <c r="T452" i="1"/>
  <c r="U452" i="1"/>
  <c r="T453" i="1"/>
  <c r="U453" i="1"/>
  <c r="T454" i="1"/>
  <c r="U454" i="1"/>
  <c r="T455" i="1"/>
  <c r="U455" i="1"/>
  <c r="T456" i="1"/>
  <c r="U456" i="1"/>
  <c r="T457" i="1"/>
  <c r="U457" i="1"/>
  <c r="T458" i="1"/>
  <c r="U458" i="1"/>
  <c r="T459" i="1"/>
  <c r="U459" i="1"/>
  <c r="T460" i="1"/>
  <c r="U460" i="1"/>
  <c r="T461" i="1"/>
  <c r="U461" i="1"/>
  <c r="T462" i="1"/>
  <c r="U462" i="1"/>
  <c r="T463" i="1"/>
  <c r="U463" i="1"/>
  <c r="T464" i="1"/>
  <c r="U464" i="1"/>
  <c r="T465" i="1"/>
  <c r="U465" i="1"/>
  <c r="T466" i="1"/>
  <c r="U466" i="1"/>
  <c r="T467" i="1"/>
  <c r="U467" i="1"/>
  <c r="T468" i="1"/>
  <c r="U468" i="1"/>
  <c r="T469" i="1"/>
  <c r="U469" i="1"/>
  <c r="T470" i="1"/>
  <c r="U470" i="1"/>
  <c r="T471" i="1"/>
  <c r="U471" i="1"/>
  <c r="T472" i="1"/>
  <c r="U472" i="1"/>
  <c r="T473" i="1"/>
  <c r="U473" i="1"/>
  <c r="T474" i="1"/>
  <c r="U474" i="1"/>
  <c r="T475" i="1"/>
  <c r="U475" i="1"/>
  <c r="T476" i="1"/>
  <c r="U476" i="1"/>
  <c r="T477" i="1"/>
  <c r="U477" i="1"/>
  <c r="T478" i="1"/>
  <c r="U478" i="1"/>
  <c r="T479" i="1"/>
  <c r="U479" i="1"/>
  <c r="T480" i="1"/>
  <c r="U480" i="1"/>
  <c r="T481" i="1"/>
  <c r="U481" i="1"/>
  <c r="T482" i="1"/>
  <c r="U482" i="1"/>
  <c r="T483" i="1"/>
  <c r="U483" i="1"/>
  <c r="T484" i="1"/>
  <c r="U484" i="1"/>
  <c r="T485" i="1"/>
  <c r="U485" i="1"/>
  <c r="T486" i="1"/>
  <c r="U486" i="1"/>
  <c r="T487" i="1"/>
  <c r="U487" i="1"/>
  <c r="T488" i="1"/>
  <c r="U488" i="1"/>
  <c r="T489" i="1"/>
  <c r="U489" i="1"/>
  <c r="T490" i="1"/>
  <c r="U490" i="1"/>
  <c r="T491" i="1"/>
  <c r="U491" i="1"/>
  <c r="T492" i="1"/>
  <c r="U492" i="1"/>
  <c r="T493" i="1"/>
  <c r="U493" i="1"/>
  <c r="T494" i="1"/>
  <c r="U494" i="1"/>
  <c r="T495" i="1"/>
  <c r="U495" i="1"/>
  <c r="T496" i="1"/>
  <c r="U496" i="1"/>
  <c r="T497" i="1"/>
  <c r="U497" i="1"/>
  <c r="T498" i="1"/>
  <c r="U498" i="1"/>
  <c r="T499" i="1"/>
  <c r="U499" i="1"/>
  <c r="T500" i="1"/>
  <c r="U500" i="1"/>
  <c r="T501" i="1"/>
  <c r="U501" i="1"/>
  <c r="T502" i="1"/>
  <c r="U502" i="1"/>
  <c r="T503" i="1"/>
  <c r="U503" i="1"/>
  <c r="T504" i="1"/>
  <c r="U504" i="1"/>
  <c r="T505" i="1"/>
  <c r="U505" i="1"/>
  <c r="T506" i="1"/>
  <c r="U506" i="1"/>
  <c r="T507" i="1"/>
  <c r="U507" i="1"/>
  <c r="T508" i="1"/>
  <c r="U508" i="1"/>
  <c r="T509" i="1"/>
  <c r="U509" i="1"/>
  <c r="T510" i="1"/>
  <c r="U510" i="1"/>
  <c r="T511" i="1"/>
  <c r="U511" i="1"/>
  <c r="T512" i="1"/>
  <c r="U512" i="1"/>
  <c r="T513" i="1"/>
  <c r="U513" i="1"/>
  <c r="T514" i="1"/>
  <c r="U514" i="1"/>
  <c r="T515" i="1"/>
  <c r="U515" i="1"/>
  <c r="T516" i="1"/>
  <c r="U516" i="1"/>
  <c r="T517" i="1"/>
  <c r="U517" i="1"/>
  <c r="T518" i="1"/>
  <c r="U518" i="1"/>
  <c r="T519" i="1"/>
  <c r="U519" i="1"/>
  <c r="T520" i="1"/>
  <c r="U520" i="1"/>
  <c r="T521" i="1"/>
  <c r="U521" i="1"/>
  <c r="T522" i="1"/>
  <c r="U522" i="1"/>
  <c r="T523" i="1"/>
  <c r="U523" i="1"/>
  <c r="T524" i="1"/>
  <c r="U524" i="1"/>
  <c r="T525" i="1"/>
  <c r="U525" i="1"/>
  <c r="T526" i="1"/>
  <c r="U526" i="1"/>
  <c r="T527" i="1"/>
  <c r="U527" i="1"/>
  <c r="T528" i="1"/>
  <c r="U528" i="1"/>
  <c r="T529" i="1"/>
  <c r="U529" i="1"/>
  <c r="T530" i="1"/>
  <c r="U530" i="1"/>
  <c r="T531" i="1"/>
  <c r="U531" i="1"/>
  <c r="T532" i="1"/>
  <c r="U532" i="1"/>
  <c r="T533" i="1"/>
  <c r="U533" i="1"/>
  <c r="T534" i="1"/>
  <c r="U534" i="1"/>
  <c r="T535" i="1"/>
  <c r="U535" i="1"/>
  <c r="T536" i="1"/>
  <c r="U536" i="1"/>
  <c r="T537" i="1"/>
  <c r="U537" i="1"/>
  <c r="T538" i="1"/>
  <c r="U538" i="1"/>
  <c r="T539" i="1"/>
  <c r="U539" i="1"/>
  <c r="T540" i="1"/>
  <c r="U540" i="1"/>
  <c r="T541" i="1"/>
  <c r="U541" i="1"/>
  <c r="T542" i="1"/>
  <c r="U542" i="1"/>
  <c r="T543" i="1"/>
  <c r="U543" i="1"/>
  <c r="T544" i="1"/>
  <c r="U544" i="1"/>
  <c r="T545" i="1"/>
  <c r="U545" i="1"/>
  <c r="T546" i="1"/>
  <c r="U546" i="1"/>
  <c r="T547" i="1"/>
  <c r="U547" i="1"/>
  <c r="T548" i="1"/>
  <c r="U548" i="1"/>
  <c r="T549" i="1"/>
  <c r="U549" i="1"/>
  <c r="T550" i="1"/>
  <c r="U550" i="1"/>
  <c r="T551" i="1"/>
  <c r="U551" i="1"/>
  <c r="T552" i="1"/>
  <c r="U552" i="1"/>
  <c r="T553" i="1"/>
  <c r="U553" i="1"/>
  <c r="T554" i="1"/>
  <c r="U554" i="1"/>
  <c r="T555" i="1"/>
  <c r="U555" i="1"/>
  <c r="T556" i="1"/>
  <c r="U556" i="1"/>
  <c r="T557" i="1"/>
  <c r="U557" i="1"/>
  <c r="T558" i="1"/>
  <c r="U558" i="1"/>
  <c r="T559" i="1"/>
  <c r="U559" i="1"/>
  <c r="T560" i="1"/>
  <c r="U560" i="1"/>
  <c r="T561" i="1"/>
  <c r="U561" i="1"/>
  <c r="T562" i="1"/>
  <c r="U562" i="1"/>
  <c r="T563" i="1"/>
  <c r="U563" i="1"/>
  <c r="T564" i="1"/>
  <c r="U564" i="1"/>
  <c r="T565" i="1"/>
  <c r="U565" i="1"/>
  <c r="T566" i="1"/>
  <c r="U566" i="1"/>
  <c r="T567" i="1"/>
  <c r="U567" i="1"/>
  <c r="T568" i="1"/>
  <c r="U568" i="1"/>
  <c r="T569" i="1"/>
  <c r="U569" i="1"/>
  <c r="T570" i="1"/>
  <c r="U570" i="1"/>
  <c r="T571" i="1"/>
  <c r="U571" i="1"/>
  <c r="T572" i="1"/>
  <c r="U572" i="1"/>
  <c r="T573" i="1"/>
  <c r="U573" i="1"/>
  <c r="T574" i="1"/>
  <c r="U574" i="1"/>
  <c r="T575" i="1"/>
  <c r="U575" i="1"/>
  <c r="T576" i="1"/>
  <c r="U576" i="1"/>
  <c r="T577" i="1"/>
  <c r="U577" i="1"/>
  <c r="T578" i="1"/>
  <c r="U578" i="1"/>
  <c r="T579" i="1"/>
  <c r="U579" i="1"/>
  <c r="T580" i="1"/>
  <c r="U580" i="1"/>
  <c r="T581" i="1"/>
  <c r="U581" i="1"/>
  <c r="T582" i="1"/>
  <c r="U582" i="1"/>
  <c r="T583" i="1"/>
  <c r="U583" i="1"/>
  <c r="T584" i="1"/>
  <c r="U584" i="1"/>
  <c r="T585" i="1"/>
  <c r="U585" i="1"/>
  <c r="T586" i="1"/>
  <c r="U586" i="1"/>
  <c r="T587" i="1"/>
  <c r="U587" i="1"/>
  <c r="T588" i="1"/>
  <c r="U588" i="1"/>
  <c r="T589" i="1"/>
  <c r="U589" i="1"/>
  <c r="T590" i="1"/>
  <c r="U590" i="1"/>
  <c r="T591" i="1"/>
  <c r="U591" i="1"/>
  <c r="T592" i="1"/>
  <c r="U592" i="1"/>
  <c r="T593" i="1"/>
  <c r="U593" i="1"/>
  <c r="T594" i="1"/>
  <c r="U594" i="1"/>
  <c r="T595" i="1"/>
  <c r="U595" i="1"/>
  <c r="T596" i="1"/>
  <c r="U596" i="1"/>
  <c r="T597" i="1"/>
  <c r="U597" i="1"/>
  <c r="T598" i="1"/>
  <c r="U598" i="1"/>
  <c r="T599" i="1"/>
  <c r="U599" i="1"/>
  <c r="T600" i="1"/>
  <c r="U600" i="1"/>
  <c r="T601" i="1"/>
  <c r="U601" i="1"/>
  <c r="T602" i="1"/>
  <c r="U602" i="1"/>
  <c r="T603" i="1"/>
  <c r="U603" i="1"/>
  <c r="T604" i="1"/>
  <c r="U604" i="1"/>
  <c r="T605" i="1"/>
  <c r="U605" i="1"/>
  <c r="T606" i="1"/>
  <c r="U606" i="1"/>
  <c r="T607" i="1"/>
  <c r="U607" i="1"/>
  <c r="T608" i="1"/>
  <c r="U608" i="1"/>
  <c r="T609" i="1"/>
  <c r="U609" i="1"/>
  <c r="T610" i="1"/>
  <c r="U610" i="1"/>
  <c r="T611" i="1"/>
  <c r="U611" i="1"/>
  <c r="T612" i="1"/>
  <c r="U612" i="1"/>
  <c r="T613" i="1"/>
  <c r="U613" i="1"/>
  <c r="T614" i="1"/>
  <c r="U614" i="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F173" i="1"/>
  <c r="G173" i="1"/>
  <c r="F174" i="1"/>
  <c r="G174" i="1"/>
  <c r="F175" i="1"/>
  <c r="G175" i="1"/>
  <c r="F176" i="1"/>
  <c r="G176" i="1"/>
  <c r="F177" i="1"/>
  <c r="G177" i="1"/>
  <c r="F178" i="1"/>
  <c r="G178" i="1"/>
  <c r="F179" i="1"/>
  <c r="G179" i="1"/>
  <c r="F180" i="1"/>
  <c r="G180" i="1"/>
  <c r="F181" i="1"/>
  <c r="G181" i="1"/>
  <c r="F182" i="1"/>
  <c r="G182" i="1"/>
  <c r="F183" i="1"/>
  <c r="G183" i="1"/>
  <c r="F184" i="1"/>
  <c r="G184" i="1"/>
  <c r="F185" i="1"/>
  <c r="G185" i="1"/>
  <c r="F186" i="1"/>
  <c r="G186" i="1"/>
  <c r="F187" i="1"/>
  <c r="G187" i="1"/>
  <c r="F188" i="1"/>
  <c r="G188" i="1"/>
  <c r="F189" i="1"/>
  <c r="G189" i="1"/>
  <c r="F190" i="1"/>
  <c r="G190" i="1"/>
  <c r="F191" i="1"/>
  <c r="G191" i="1"/>
  <c r="F192" i="1"/>
  <c r="G192" i="1"/>
  <c r="F193" i="1"/>
  <c r="G193" i="1"/>
  <c r="F194" i="1"/>
  <c r="G194" i="1"/>
  <c r="F195" i="1"/>
  <c r="G195" i="1"/>
  <c r="F196" i="1"/>
  <c r="G196" i="1"/>
  <c r="F197" i="1"/>
  <c r="G197" i="1"/>
  <c r="F198" i="1"/>
  <c r="G198" i="1"/>
  <c r="F199" i="1"/>
  <c r="G199" i="1"/>
  <c r="F200" i="1"/>
  <c r="G200" i="1"/>
  <c r="F201" i="1"/>
  <c r="G201" i="1"/>
  <c r="F202" i="1"/>
  <c r="G202" i="1"/>
  <c r="F203" i="1"/>
  <c r="G203" i="1"/>
  <c r="F204" i="1"/>
  <c r="G204" i="1"/>
  <c r="F205" i="1"/>
  <c r="G205" i="1"/>
  <c r="F206" i="1"/>
  <c r="G206" i="1"/>
  <c r="F207" i="1"/>
  <c r="G207" i="1"/>
  <c r="F208" i="1"/>
  <c r="G208" i="1"/>
  <c r="F209" i="1"/>
  <c r="G209" i="1"/>
  <c r="F210" i="1"/>
  <c r="G210" i="1"/>
  <c r="F211" i="1"/>
  <c r="G211" i="1"/>
  <c r="F212" i="1"/>
  <c r="G212" i="1"/>
  <c r="F213" i="1"/>
  <c r="G213" i="1"/>
  <c r="F214" i="1"/>
  <c r="G214" i="1"/>
  <c r="F215" i="1"/>
  <c r="G215" i="1"/>
  <c r="F216" i="1"/>
  <c r="G216" i="1"/>
  <c r="F217" i="1"/>
  <c r="G217" i="1"/>
  <c r="F218" i="1"/>
  <c r="G218" i="1"/>
  <c r="F219" i="1"/>
  <c r="G219" i="1"/>
  <c r="F220" i="1"/>
  <c r="G220" i="1"/>
  <c r="F221" i="1"/>
  <c r="G221" i="1"/>
  <c r="F222" i="1"/>
  <c r="G222" i="1"/>
  <c r="F223" i="1"/>
  <c r="G223" i="1"/>
  <c r="F224" i="1"/>
  <c r="G224" i="1"/>
  <c r="F225" i="1"/>
  <c r="G225" i="1"/>
  <c r="F226" i="1"/>
  <c r="G226" i="1"/>
  <c r="F227" i="1"/>
  <c r="G227" i="1"/>
  <c r="F228" i="1"/>
  <c r="G228" i="1"/>
  <c r="F229" i="1"/>
  <c r="G229" i="1"/>
  <c r="F230" i="1"/>
  <c r="G230" i="1"/>
  <c r="F231" i="1"/>
  <c r="G231" i="1"/>
  <c r="F232" i="1"/>
  <c r="G232" i="1"/>
  <c r="F233" i="1"/>
  <c r="G233" i="1"/>
  <c r="F234" i="1"/>
  <c r="G234" i="1"/>
  <c r="F235" i="1"/>
  <c r="G235" i="1"/>
  <c r="F236" i="1"/>
  <c r="G236" i="1"/>
  <c r="F237" i="1"/>
  <c r="G237" i="1"/>
  <c r="F238" i="1"/>
  <c r="G238" i="1"/>
  <c r="F239" i="1"/>
  <c r="G239" i="1"/>
  <c r="F240" i="1"/>
  <c r="G240" i="1"/>
  <c r="F241" i="1"/>
  <c r="G241" i="1"/>
  <c r="F242" i="1"/>
  <c r="G242" i="1"/>
  <c r="F243" i="1"/>
  <c r="G243" i="1"/>
  <c r="F244" i="1"/>
  <c r="G244" i="1"/>
  <c r="F245" i="1"/>
  <c r="G245" i="1"/>
  <c r="F246" i="1"/>
  <c r="G246" i="1"/>
  <c r="F247" i="1"/>
  <c r="G247" i="1"/>
  <c r="F248" i="1"/>
  <c r="G248" i="1"/>
  <c r="F249" i="1"/>
  <c r="G249" i="1"/>
  <c r="F250" i="1"/>
  <c r="G250" i="1"/>
  <c r="F251" i="1"/>
  <c r="G251" i="1"/>
  <c r="F252" i="1"/>
  <c r="G252" i="1"/>
  <c r="F253" i="1"/>
  <c r="G253" i="1"/>
  <c r="F254" i="1"/>
  <c r="G254" i="1"/>
  <c r="F255" i="1"/>
  <c r="G255" i="1"/>
  <c r="F256" i="1"/>
  <c r="G256" i="1"/>
  <c r="F257" i="1"/>
  <c r="G257" i="1"/>
  <c r="F258" i="1"/>
  <c r="G258" i="1"/>
  <c r="F259" i="1"/>
  <c r="G259" i="1"/>
  <c r="F260" i="1"/>
  <c r="G260" i="1"/>
  <c r="F261" i="1"/>
  <c r="G261" i="1"/>
  <c r="F262" i="1"/>
  <c r="G262" i="1"/>
  <c r="F263" i="1"/>
  <c r="G263" i="1"/>
  <c r="F264" i="1"/>
  <c r="G264" i="1"/>
  <c r="F265" i="1"/>
  <c r="G265" i="1"/>
  <c r="F266" i="1"/>
  <c r="G266" i="1"/>
  <c r="F267" i="1"/>
  <c r="G267" i="1"/>
  <c r="F268" i="1"/>
  <c r="G268" i="1"/>
  <c r="F269" i="1"/>
  <c r="G269" i="1"/>
  <c r="F270" i="1"/>
  <c r="G270" i="1"/>
  <c r="F271" i="1"/>
  <c r="G271" i="1"/>
  <c r="F272" i="1"/>
  <c r="G272" i="1"/>
  <c r="F273" i="1"/>
  <c r="G273" i="1"/>
  <c r="F274" i="1"/>
  <c r="G274" i="1"/>
  <c r="F275" i="1"/>
  <c r="G275" i="1"/>
  <c r="F276" i="1"/>
  <c r="G276" i="1"/>
  <c r="F277" i="1"/>
  <c r="G277" i="1"/>
  <c r="F278" i="1"/>
  <c r="G278" i="1"/>
  <c r="F279" i="1"/>
  <c r="G279" i="1"/>
  <c r="F280" i="1"/>
  <c r="G280" i="1"/>
  <c r="F281" i="1"/>
  <c r="G281" i="1"/>
  <c r="F282" i="1"/>
  <c r="G282" i="1"/>
  <c r="F283" i="1"/>
  <c r="G283" i="1"/>
  <c r="F284" i="1"/>
  <c r="G284" i="1"/>
  <c r="F285" i="1"/>
  <c r="G285" i="1"/>
  <c r="F286" i="1"/>
  <c r="G286" i="1"/>
  <c r="F287" i="1"/>
  <c r="G287" i="1"/>
  <c r="F288" i="1"/>
  <c r="G288" i="1"/>
  <c r="F289" i="1"/>
  <c r="G289" i="1"/>
  <c r="F290" i="1"/>
  <c r="G290" i="1"/>
  <c r="F291" i="1"/>
  <c r="G291" i="1"/>
  <c r="F292" i="1"/>
  <c r="G292" i="1"/>
  <c r="F293" i="1"/>
  <c r="G293" i="1"/>
  <c r="F294" i="1"/>
  <c r="G294" i="1"/>
  <c r="F295" i="1"/>
  <c r="G295" i="1"/>
  <c r="F296" i="1"/>
  <c r="G296" i="1"/>
  <c r="F297" i="1"/>
  <c r="G297" i="1"/>
  <c r="F298" i="1"/>
  <c r="G298" i="1"/>
  <c r="F299" i="1"/>
  <c r="G299" i="1"/>
  <c r="F300" i="1"/>
  <c r="G300" i="1"/>
  <c r="F301" i="1"/>
  <c r="G301" i="1"/>
  <c r="F302" i="1"/>
  <c r="G302" i="1"/>
  <c r="F303" i="1"/>
  <c r="G303" i="1"/>
  <c r="F304" i="1"/>
  <c r="G304" i="1"/>
  <c r="F305" i="1"/>
  <c r="G305" i="1"/>
  <c r="F306" i="1"/>
  <c r="G306" i="1"/>
  <c r="F307" i="1"/>
  <c r="G307" i="1"/>
  <c r="F308" i="1"/>
  <c r="G308" i="1"/>
  <c r="F309" i="1"/>
  <c r="G309" i="1"/>
  <c r="F310" i="1"/>
  <c r="G310" i="1"/>
  <c r="F311" i="1"/>
  <c r="G311" i="1"/>
  <c r="F312" i="1"/>
  <c r="G312" i="1"/>
  <c r="F313" i="1"/>
  <c r="G313" i="1"/>
  <c r="F314" i="1"/>
  <c r="G314" i="1"/>
  <c r="F315" i="1"/>
  <c r="G315" i="1"/>
  <c r="F316" i="1"/>
  <c r="G316" i="1"/>
  <c r="F317" i="1"/>
  <c r="G317" i="1"/>
  <c r="F318" i="1"/>
  <c r="G318" i="1"/>
  <c r="F319" i="1"/>
  <c r="G319" i="1"/>
  <c r="F320" i="1"/>
  <c r="G320" i="1"/>
  <c r="F321" i="1"/>
  <c r="G321" i="1"/>
  <c r="F322" i="1"/>
  <c r="G322" i="1"/>
  <c r="F323" i="1"/>
  <c r="G323" i="1"/>
  <c r="F324" i="1"/>
  <c r="G324" i="1"/>
  <c r="F325" i="1"/>
  <c r="G325" i="1"/>
  <c r="F326" i="1"/>
  <c r="G326" i="1"/>
  <c r="F327" i="1"/>
  <c r="G327" i="1"/>
  <c r="F328" i="1"/>
  <c r="G328" i="1"/>
  <c r="F329" i="1"/>
  <c r="G329" i="1"/>
  <c r="F330" i="1"/>
  <c r="G330" i="1"/>
  <c r="F331" i="1"/>
  <c r="G331" i="1"/>
  <c r="F332" i="1"/>
  <c r="G332" i="1"/>
  <c r="F333" i="1"/>
  <c r="G333" i="1"/>
  <c r="F334" i="1"/>
  <c r="G334" i="1"/>
  <c r="F335" i="1"/>
  <c r="G335" i="1"/>
  <c r="F336" i="1"/>
  <c r="G336" i="1"/>
  <c r="F337" i="1"/>
  <c r="G337" i="1"/>
  <c r="F338" i="1"/>
  <c r="G338" i="1"/>
  <c r="F339" i="1"/>
  <c r="G339" i="1"/>
  <c r="F340" i="1"/>
  <c r="G340" i="1"/>
  <c r="F341" i="1"/>
  <c r="G341" i="1"/>
  <c r="F342" i="1"/>
  <c r="G342" i="1"/>
  <c r="F343" i="1"/>
  <c r="G343" i="1"/>
  <c r="F344" i="1"/>
  <c r="G344" i="1"/>
  <c r="F345" i="1"/>
  <c r="G345" i="1"/>
  <c r="F346" i="1"/>
  <c r="G346" i="1"/>
  <c r="F347" i="1"/>
  <c r="G347" i="1"/>
  <c r="F348" i="1"/>
  <c r="G348" i="1"/>
  <c r="F349" i="1"/>
  <c r="G349" i="1"/>
  <c r="F350" i="1"/>
  <c r="G350" i="1"/>
  <c r="F351" i="1"/>
  <c r="G351" i="1"/>
  <c r="F352" i="1"/>
  <c r="G352" i="1"/>
  <c r="F353" i="1"/>
  <c r="G353" i="1"/>
  <c r="F354" i="1"/>
  <c r="G354" i="1"/>
  <c r="F355" i="1"/>
  <c r="G355" i="1"/>
  <c r="F356" i="1"/>
  <c r="G356" i="1"/>
  <c r="F357" i="1"/>
  <c r="G357" i="1"/>
  <c r="F358" i="1"/>
  <c r="G358" i="1"/>
  <c r="F359" i="1"/>
  <c r="G359" i="1"/>
  <c r="F360" i="1"/>
  <c r="G360" i="1"/>
  <c r="F361" i="1"/>
  <c r="G361" i="1"/>
  <c r="F362" i="1"/>
  <c r="G362" i="1"/>
  <c r="F363" i="1"/>
  <c r="G363" i="1"/>
  <c r="F364" i="1"/>
  <c r="G364" i="1"/>
  <c r="F365" i="1"/>
  <c r="G365" i="1"/>
  <c r="F366" i="1"/>
  <c r="G366" i="1"/>
  <c r="F367" i="1"/>
  <c r="G367" i="1"/>
  <c r="F368" i="1"/>
  <c r="G368" i="1"/>
  <c r="F369" i="1"/>
  <c r="G369" i="1"/>
  <c r="F370" i="1"/>
  <c r="G370" i="1"/>
  <c r="F371" i="1"/>
  <c r="G371" i="1"/>
  <c r="F372" i="1"/>
  <c r="G372" i="1"/>
  <c r="F373" i="1"/>
  <c r="G373" i="1"/>
  <c r="F374" i="1"/>
  <c r="G374" i="1"/>
  <c r="F375" i="1"/>
  <c r="G375" i="1"/>
  <c r="F376" i="1"/>
  <c r="G376" i="1"/>
  <c r="F377" i="1"/>
  <c r="G377" i="1"/>
  <c r="F378" i="1"/>
  <c r="G378" i="1"/>
  <c r="F379" i="1"/>
  <c r="G379" i="1"/>
  <c r="F380" i="1"/>
  <c r="G380" i="1"/>
  <c r="F381" i="1"/>
  <c r="G381" i="1"/>
  <c r="F382" i="1"/>
  <c r="G382" i="1"/>
  <c r="F383" i="1"/>
  <c r="G383" i="1"/>
  <c r="F384" i="1"/>
  <c r="G384" i="1"/>
  <c r="F385" i="1"/>
  <c r="G385" i="1"/>
  <c r="F386" i="1"/>
  <c r="G386" i="1"/>
  <c r="F387" i="1"/>
  <c r="G387" i="1"/>
  <c r="F388" i="1"/>
  <c r="G388" i="1"/>
  <c r="F389" i="1"/>
  <c r="G389" i="1"/>
  <c r="F390" i="1"/>
  <c r="G390" i="1"/>
  <c r="F391" i="1"/>
  <c r="G391" i="1"/>
  <c r="F392" i="1"/>
  <c r="G392" i="1"/>
  <c r="F393" i="1"/>
  <c r="G393" i="1"/>
  <c r="F394" i="1"/>
  <c r="G394" i="1"/>
  <c r="F395" i="1"/>
  <c r="G395" i="1"/>
  <c r="F396" i="1"/>
  <c r="G396" i="1"/>
  <c r="F397" i="1"/>
  <c r="G397" i="1"/>
  <c r="F398" i="1"/>
  <c r="G398" i="1"/>
  <c r="F399" i="1"/>
  <c r="G399" i="1"/>
  <c r="F400" i="1"/>
  <c r="G400" i="1"/>
  <c r="F401" i="1"/>
  <c r="G401" i="1"/>
  <c r="F402" i="1"/>
  <c r="G402" i="1"/>
  <c r="F403" i="1"/>
  <c r="G403" i="1"/>
  <c r="F404" i="1"/>
  <c r="G404" i="1"/>
  <c r="F405" i="1"/>
  <c r="G405" i="1"/>
  <c r="F406" i="1"/>
  <c r="G406" i="1"/>
  <c r="F407" i="1"/>
  <c r="G407" i="1"/>
  <c r="F408" i="1"/>
  <c r="G408" i="1"/>
  <c r="F409" i="1"/>
  <c r="G409" i="1"/>
  <c r="F410" i="1"/>
  <c r="G410" i="1"/>
  <c r="F411" i="1"/>
  <c r="G411" i="1"/>
  <c r="F412" i="1"/>
  <c r="G412" i="1"/>
  <c r="F413" i="1"/>
  <c r="G413" i="1"/>
  <c r="F414" i="1"/>
  <c r="G414" i="1"/>
  <c r="F415" i="1"/>
  <c r="G415" i="1"/>
  <c r="F416" i="1"/>
  <c r="G416" i="1"/>
  <c r="F417" i="1"/>
  <c r="G417" i="1"/>
  <c r="F418" i="1"/>
  <c r="G418" i="1"/>
  <c r="F419" i="1"/>
  <c r="G419" i="1"/>
  <c r="F420" i="1"/>
  <c r="G420" i="1"/>
  <c r="F421" i="1"/>
  <c r="G421" i="1"/>
  <c r="F422" i="1"/>
  <c r="G422" i="1"/>
  <c r="F423" i="1"/>
  <c r="G423" i="1"/>
  <c r="F424" i="1"/>
  <c r="G424" i="1"/>
  <c r="F425" i="1"/>
  <c r="G425" i="1"/>
  <c r="F426" i="1"/>
  <c r="G426" i="1"/>
  <c r="F427" i="1"/>
  <c r="G427" i="1"/>
  <c r="F428" i="1"/>
  <c r="G428" i="1"/>
  <c r="F429" i="1"/>
  <c r="G429" i="1"/>
  <c r="F430" i="1"/>
  <c r="G430" i="1"/>
  <c r="F431" i="1"/>
  <c r="G431" i="1"/>
  <c r="F432" i="1"/>
  <c r="G432" i="1"/>
  <c r="F433" i="1"/>
  <c r="G433" i="1"/>
  <c r="F434" i="1"/>
  <c r="G434" i="1"/>
  <c r="F435" i="1"/>
  <c r="G435" i="1"/>
  <c r="F436" i="1"/>
  <c r="G436" i="1"/>
  <c r="F437" i="1"/>
  <c r="G437" i="1"/>
  <c r="F438" i="1"/>
  <c r="G438" i="1"/>
  <c r="F439" i="1"/>
  <c r="G439" i="1"/>
  <c r="F440" i="1"/>
  <c r="G440" i="1"/>
  <c r="F441" i="1"/>
  <c r="G441" i="1"/>
  <c r="F442" i="1"/>
  <c r="G442" i="1"/>
  <c r="F443" i="1"/>
  <c r="G443" i="1"/>
  <c r="F444" i="1"/>
  <c r="G444" i="1"/>
  <c r="F445" i="1"/>
  <c r="G445" i="1"/>
  <c r="F446" i="1"/>
  <c r="G446" i="1"/>
  <c r="F447" i="1"/>
  <c r="G447" i="1"/>
  <c r="F448" i="1"/>
  <c r="G448" i="1"/>
  <c r="F449" i="1"/>
  <c r="G449" i="1"/>
  <c r="F450" i="1"/>
  <c r="G450" i="1"/>
  <c r="F451" i="1"/>
  <c r="G451" i="1"/>
  <c r="F452" i="1"/>
  <c r="G452" i="1"/>
  <c r="F453" i="1"/>
  <c r="G453" i="1"/>
  <c r="F454" i="1"/>
  <c r="G454" i="1"/>
  <c r="F455" i="1"/>
  <c r="G455" i="1"/>
  <c r="F456" i="1"/>
  <c r="G456" i="1"/>
  <c r="F457" i="1"/>
  <c r="G457" i="1"/>
  <c r="F458" i="1"/>
  <c r="G458" i="1"/>
  <c r="F459" i="1"/>
  <c r="G459" i="1"/>
  <c r="F460" i="1"/>
  <c r="G460" i="1"/>
  <c r="F461" i="1"/>
  <c r="G461" i="1"/>
  <c r="F462" i="1"/>
  <c r="G462" i="1"/>
  <c r="F463" i="1"/>
  <c r="G463" i="1"/>
  <c r="F464" i="1"/>
  <c r="G464" i="1"/>
  <c r="F465" i="1"/>
  <c r="G465" i="1"/>
  <c r="F466" i="1"/>
  <c r="G466" i="1"/>
  <c r="F467" i="1"/>
  <c r="G467" i="1"/>
  <c r="F468" i="1"/>
  <c r="G468" i="1"/>
  <c r="F469" i="1"/>
  <c r="G469" i="1"/>
  <c r="F470" i="1"/>
  <c r="G470" i="1"/>
  <c r="F471" i="1"/>
  <c r="G471" i="1"/>
  <c r="F472" i="1"/>
  <c r="G472" i="1"/>
  <c r="F473" i="1"/>
  <c r="G473" i="1"/>
  <c r="F474" i="1"/>
  <c r="G474" i="1"/>
  <c r="F475" i="1"/>
  <c r="G475" i="1"/>
  <c r="F476" i="1"/>
  <c r="G476" i="1"/>
  <c r="F477" i="1"/>
  <c r="G477" i="1"/>
  <c r="F478" i="1"/>
  <c r="G478" i="1"/>
  <c r="F479" i="1"/>
  <c r="G479" i="1"/>
  <c r="F480" i="1"/>
  <c r="G480" i="1"/>
  <c r="F481" i="1"/>
  <c r="G481" i="1"/>
  <c r="F482" i="1"/>
  <c r="G482" i="1"/>
  <c r="F483" i="1"/>
  <c r="G483" i="1"/>
  <c r="F484" i="1"/>
  <c r="G484" i="1"/>
  <c r="F485" i="1"/>
  <c r="G485" i="1"/>
  <c r="F486" i="1"/>
  <c r="G486" i="1"/>
  <c r="F487" i="1"/>
  <c r="G487" i="1"/>
  <c r="F488" i="1"/>
  <c r="G488" i="1"/>
  <c r="F489" i="1"/>
  <c r="G489" i="1"/>
  <c r="F490" i="1"/>
  <c r="G490" i="1"/>
  <c r="F491" i="1"/>
  <c r="G491" i="1"/>
  <c r="F492" i="1"/>
  <c r="G492" i="1"/>
  <c r="F493" i="1"/>
  <c r="G493" i="1"/>
  <c r="F494" i="1"/>
  <c r="G494" i="1"/>
  <c r="F495" i="1"/>
  <c r="G495" i="1"/>
  <c r="F496" i="1"/>
  <c r="G496" i="1"/>
  <c r="F497" i="1"/>
  <c r="G497" i="1"/>
  <c r="F498" i="1"/>
  <c r="G498" i="1"/>
  <c r="F499" i="1"/>
  <c r="G499" i="1"/>
  <c r="F500" i="1"/>
  <c r="G500" i="1"/>
  <c r="F501" i="1"/>
  <c r="G501" i="1"/>
  <c r="F502" i="1"/>
  <c r="G502" i="1"/>
  <c r="F503" i="1"/>
  <c r="G503" i="1"/>
  <c r="F504" i="1"/>
  <c r="G504" i="1"/>
  <c r="F505" i="1"/>
  <c r="G505" i="1"/>
  <c r="F506" i="1"/>
  <c r="G506" i="1"/>
  <c r="F507" i="1"/>
  <c r="G507" i="1"/>
  <c r="F508" i="1"/>
  <c r="G508" i="1"/>
  <c r="F509" i="1"/>
  <c r="G509" i="1"/>
  <c r="F510" i="1"/>
  <c r="G510" i="1"/>
  <c r="F511" i="1"/>
  <c r="G511" i="1"/>
  <c r="F512" i="1"/>
  <c r="G512" i="1"/>
  <c r="F513" i="1"/>
  <c r="G513" i="1"/>
  <c r="F514" i="1"/>
  <c r="G514" i="1"/>
  <c r="F515" i="1"/>
  <c r="G515" i="1"/>
  <c r="F516" i="1"/>
  <c r="G516" i="1"/>
  <c r="F517" i="1"/>
  <c r="G517" i="1"/>
  <c r="F518" i="1"/>
  <c r="G518" i="1"/>
  <c r="F519" i="1"/>
  <c r="G519" i="1"/>
  <c r="F520" i="1"/>
  <c r="G520" i="1"/>
  <c r="F521" i="1"/>
  <c r="G521" i="1"/>
  <c r="F522" i="1"/>
  <c r="G522" i="1"/>
  <c r="F523" i="1"/>
  <c r="G523" i="1"/>
  <c r="F524" i="1"/>
  <c r="G524" i="1"/>
  <c r="F525" i="1"/>
  <c r="G525" i="1"/>
  <c r="F526" i="1"/>
  <c r="G526" i="1"/>
  <c r="F527" i="1"/>
  <c r="G527" i="1"/>
  <c r="F528" i="1"/>
  <c r="G528" i="1"/>
  <c r="F529" i="1"/>
  <c r="G529" i="1"/>
  <c r="F530" i="1"/>
  <c r="G530" i="1"/>
  <c r="F531" i="1"/>
  <c r="G531" i="1"/>
  <c r="F532" i="1"/>
  <c r="G532" i="1"/>
  <c r="F533" i="1"/>
  <c r="G533" i="1"/>
  <c r="F534" i="1"/>
  <c r="G534" i="1"/>
  <c r="F535" i="1"/>
  <c r="G535" i="1"/>
  <c r="F536" i="1"/>
  <c r="G536" i="1"/>
  <c r="F537" i="1"/>
  <c r="G537" i="1"/>
  <c r="F538" i="1"/>
  <c r="G538" i="1"/>
  <c r="F539" i="1"/>
  <c r="G539" i="1"/>
  <c r="F540" i="1"/>
  <c r="G540" i="1"/>
  <c r="F541" i="1"/>
  <c r="G541" i="1"/>
  <c r="F542" i="1"/>
  <c r="G542" i="1"/>
  <c r="F543" i="1"/>
  <c r="G543" i="1"/>
  <c r="F544" i="1"/>
  <c r="G544" i="1"/>
  <c r="F545" i="1"/>
  <c r="G545" i="1"/>
  <c r="F546" i="1"/>
  <c r="G546" i="1"/>
  <c r="F547" i="1"/>
  <c r="G547" i="1"/>
  <c r="F548" i="1"/>
  <c r="G548" i="1"/>
  <c r="F549" i="1"/>
  <c r="G549" i="1"/>
  <c r="F550" i="1"/>
  <c r="G550" i="1"/>
  <c r="F551" i="1"/>
  <c r="G551" i="1"/>
  <c r="F552" i="1"/>
  <c r="G552" i="1"/>
  <c r="F553" i="1"/>
  <c r="G553" i="1"/>
  <c r="F554" i="1"/>
  <c r="G554" i="1"/>
  <c r="F555" i="1"/>
  <c r="G555" i="1"/>
  <c r="F556" i="1"/>
  <c r="G556" i="1"/>
  <c r="F557" i="1"/>
  <c r="G557" i="1"/>
  <c r="F558" i="1"/>
  <c r="G558" i="1"/>
  <c r="F559" i="1"/>
  <c r="G559" i="1"/>
  <c r="F560" i="1"/>
  <c r="G560" i="1"/>
  <c r="F561" i="1"/>
  <c r="G561" i="1"/>
  <c r="F562" i="1"/>
  <c r="G562" i="1"/>
  <c r="F563" i="1"/>
  <c r="G563" i="1"/>
  <c r="F564" i="1"/>
  <c r="G564" i="1"/>
  <c r="F565" i="1"/>
  <c r="G565" i="1"/>
  <c r="F566" i="1"/>
  <c r="G566" i="1"/>
  <c r="F567" i="1"/>
  <c r="G567" i="1"/>
  <c r="F568" i="1"/>
  <c r="G568" i="1"/>
  <c r="F569" i="1"/>
  <c r="G569" i="1"/>
  <c r="F570" i="1"/>
  <c r="G570" i="1"/>
  <c r="F571" i="1"/>
  <c r="G571" i="1"/>
  <c r="F572" i="1"/>
  <c r="G572" i="1"/>
  <c r="F573" i="1"/>
  <c r="G573" i="1"/>
  <c r="F574" i="1"/>
  <c r="G574" i="1"/>
  <c r="F575" i="1"/>
  <c r="G575" i="1"/>
  <c r="F576" i="1"/>
  <c r="G576" i="1"/>
  <c r="F577" i="1"/>
  <c r="G577" i="1"/>
  <c r="F578" i="1"/>
  <c r="G578" i="1"/>
  <c r="F579" i="1"/>
  <c r="G579" i="1"/>
  <c r="F580" i="1"/>
  <c r="G580" i="1"/>
  <c r="F581" i="1"/>
  <c r="G581" i="1"/>
  <c r="F582" i="1"/>
  <c r="G582" i="1"/>
  <c r="F583" i="1"/>
  <c r="G583" i="1"/>
  <c r="F584" i="1"/>
  <c r="G584" i="1"/>
  <c r="F585" i="1"/>
  <c r="G585" i="1"/>
  <c r="F586" i="1"/>
  <c r="G586" i="1"/>
  <c r="F587" i="1"/>
  <c r="G587" i="1"/>
  <c r="F588" i="1"/>
  <c r="G588" i="1"/>
  <c r="F589" i="1"/>
  <c r="G589" i="1"/>
  <c r="F590" i="1"/>
  <c r="G590" i="1"/>
  <c r="F591" i="1"/>
  <c r="G591" i="1"/>
  <c r="F592" i="1"/>
  <c r="G592" i="1"/>
  <c r="F593" i="1"/>
  <c r="G593" i="1"/>
  <c r="F594" i="1"/>
  <c r="G594" i="1"/>
  <c r="F595" i="1"/>
  <c r="G595" i="1"/>
  <c r="F596" i="1"/>
  <c r="G596" i="1"/>
  <c r="F597" i="1"/>
  <c r="G597" i="1"/>
  <c r="F598" i="1"/>
  <c r="G598" i="1"/>
  <c r="F599" i="1"/>
  <c r="G599" i="1"/>
  <c r="F600" i="1"/>
  <c r="G600" i="1"/>
  <c r="F601" i="1"/>
  <c r="G601" i="1"/>
  <c r="F602" i="1"/>
  <c r="G602" i="1"/>
  <c r="F603" i="1"/>
  <c r="G603" i="1"/>
  <c r="F604" i="1"/>
  <c r="G604" i="1"/>
  <c r="F605" i="1"/>
  <c r="G605" i="1"/>
  <c r="F606" i="1"/>
  <c r="G606" i="1"/>
  <c r="F607" i="1"/>
  <c r="G607" i="1"/>
  <c r="F608" i="1"/>
  <c r="G608" i="1"/>
  <c r="F609" i="1"/>
  <c r="G609" i="1"/>
  <c r="F610" i="1"/>
  <c r="G610" i="1"/>
  <c r="F611" i="1"/>
  <c r="G611" i="1"/>
  <c r="F612" i="1"/>
  <c r="G612" i="1"/>
  <c r="F613" i="1"/>
  <c r="G613" i="1"/>
  <c r="F614" i="1"/>
  <c r="G614" i="1"/>
  <c r="U7" i="1" l="1"/>
  <c r="T7" i="1"/>
  <c r="G7" i="1"/>
  <c r="F7" i="1"/>
  <c r="U1" i="1" l="1"/>
  <c r="T1" i="1"/>
  <c r="G1" i="1"/>
  <c r="F1" i="1"/>
  <c r="B5" i="16"/>
  <c r="C5" i="16"/>
  <c r="H458" i="18" l="1"/>
  <c r="G458" i="18"/>
  <c r="F458" i="18"/>
  <c r="E458" i="18"/>
  <c r="C458" i="18"/>
  <c r="B458" i="18"/>
  <c r="H457" i="18"/>
  <c r="G457" i="18"/>
  <c r="F457" i="18"/>
  <c r="E457" i="18"/>
  <c r="C457" i="18"/>
  <c r="B457" i="18"/>
  <c r="H456" i="18"/>
  <c r="G456" i="18"/>
  <c r="F456" i="18"/>
  <c r="E456" i="18"/>
  <c r="C456" i="18"/>
  <c r="B456" i="18"/>
  <c r="H455" i="18"/>
  <c r="G455" i="18"/>
  <c r="F455" i="18"/>
  <c r="E455" i="18"/>
  <c r="C455" i="18"/>
  <c r="B455" i="18"/>
  <c r="H453" i="18"/>
  <c r="G453" i="18"/>
  <c r="F453" i="18"/>
  <c r="E453" i="18"/>
  <c r="C453" i="18"/>
  <c r="B453" i="18"/>
  <c r="H452" i="18"/>
  <c r="G452" i="18"/>
  <c r="F452" i="18"/>
  <c r="E452" i="18"/>
  <c r="C452" i="18"/>
  <c r="B452" i="18"/>
  <c r="H451" i="18"/>
  <c r="G451" i="18"/>
  <c r="F451" i="18"/>
  <c r="E451" i="18"/>
  <c r="C451" i="18"/>
  <c r="B451" i="18"/>
  <c r="H450" i="18"/>
  <c r="G450" i="18"/>
  <c r="F450" i="18"/>
  <c r="E450" i="18"/>
  <c r="C450" i="18"/>
  <c r="B450" i="18"/>
  <c r="H448" i="18"/>
  <c r="G448" i="18"/>
  <c r="F448" i="18"/>
  <c r="E448" i="18"/>
  <c r="C448" i="18"/>
  <c r="B448" i="18"/>
  <c r="H447" i="18"/>
  <c r="G447" i="18"/>
  <c r="F447" i="18"/>
  <c r="E447" i="18"/>
  <c r="C447" i="18"/>
  <c r="B447" i="18"/>
  <c r="H446" i="18"/>
  <c r="G446" i="18"/>
  <c r="F446" i="18"/>
  <c r="E446" i="18"/>
  <c r="C446" i="18"/>
  <c r="B446" i="18"/>
  <c r="H445" i="18"/>
  <c r="G445" i="18"/>
  <c r="F445" i="18"/>
  <c r="E445" i="18"/>
  <c r="C445" i="18"/>
  <c r="B445" i="18"/>
  <c r="H443" i="18"/>
  <c r="G443" i="18"/>
  <c r="F443" i="18"/>
  <c r="E443" i="18"/>
  <c r="C443" i="18"/>
  <c r="B443" i="18"/>
  <c r="H442" i="18"/>
  <c r="G442" i="18"/>
  <c r="F442" i="18"/>
  <c r="E442" i="18"/>
  <c r="C442" i="18"/>
  <c r="B442" i="18"/>
  <c r="H441" i="18"/>
  <c r="G441" i="18"/>
  <c r="F441" i="18"/>
  <c r="E441" i="18"/>
  <c r="C441" i="18"/>
  <c r="B441" i="18"/>
  <c r="H440" i="18"/>
  <c r="G440" i="18"/>
  <c r="F440" i="18"/>
  <c r="E440" i="18"/>
  <c r="C440" i="18"/>
  <c r="B440" i="18"/>
  <c r="H428" i="18"/>
  <c r="G428" i="18"/>
  <c r="F428" i="18"/>
  <c r="E428" i="18"/>
  <c r="C428" i="18"/>
  <c r="B428" i="18"/>
  <c r="H427" i="18"/>
  <c r="G427" i="18"/>
  <c r="F427" i="18"/>
  <c r="E427" i="18"/>
  <c r="C427" i="18"/>
  <c r="B427" i="18"/>
  <c r="H426" i="18"/>
  <c r="G426" i="18"/>
  <c r="F426" i="18"/>
  <c r="E426" i="18"/>
  <c r="C426" i="18"/>
  <c r="B426" i="18"/>
  <c r="H425" i="18"/>
  <c r="G425" i="18"/>
  <c r="F425" i="18"/>
  <c r="E425" i="18"/>
  <c r="C425" i="18"/>
  <c r="B425" i="18"/>
  <c r="H423" i="18"/>
  <c r="G423" i="18"/>
  <c r="F423" i="18"/>
  <c r="E423" i="18"/>
  <c r="C423" i="18"/>
  <c r="B423" i="18"/>
  <c r="H422" i="18"/>
  <c r="G422" i="18"/>
  <c r="F422" i="18"/>
  <c r="E422" i="18"/>
  <c r="C422" i="18"/>
  <c r="B422" i="18"/>
  <c r="H421" i="18"/>
  <c r="G421" i="18"/>
  <c r="F421" i="18"/>
  <c r="E421" i="18"/>
  <c r="C421" i="18"/>
  <c r="B421" i="18"/>
  <c r="H420" i="18"/>
  <c r="G420" i="18"/>
  <c r="F420" i="18"/>
  <c r="E420" i="18"/>
  <c r="C420" i="18"/>
  <c r="B420" i="18"/>
  <c r="H418" i="18"/>
  <c r="G418" i="18"/>
  <c r="F418" i="18"/>
  <c r="E418" i="18"/>
  <c r="C418" i="18"/>
  <c r="B418" i="18"/>
  <c r="H417" i="18"/>
  <c r="G417" i="18"/>
  <c r="F417" i="18"/>
  <c r="E417" i="18"/>
  <c r="C417" i="18"/>
  <c r="B417" i="18"/>
  <c r="H416" i="18"/>
  <c r="G416" i="18"/>
  <c r="F416" i="18"/>
  <c r="E416" i="18"/>
  <c r="C416" i="18"/>
  <c r="B416" i="18"/>
  <c r="H415" i="18"/>
  <c r="G415" i="18"/>
  <c r="F415" i="18"/>
  <c r="E415" i="18"/>
  <c r="C415" i="18"/>
  <c r="B415" i="18"/>
  <c r="H413" i="18"/>
  <c r="G413" i="18"/>
  <c r="F413" i="18"/>
  <c r="E413" i="18"/>
  <c r="C413" i="18"/>
  <c r="B413" i="18"/>
  <c r="H412" i="18"/>
  <c r="G412" i="18"/>
  <c r="F412" i="18"/>
  <c r="E412" i="18"/>
  <c r="C412" i="18"/>
  <c r="B412" i="18"/>
  <c r="H411" i="18"/>
  <c r="G411" i="18"/>
  <c r="F411" i="18"/>
  <c r="E411" i="18"/>
  <c r="C411" i="18"/>
  <c r="B411" i="18"/>
  <c r="H410" i="18"/>
  <c r="G410" i="18"/>
  <c r="F410" i="18"/>
  <c r="E410" i="18"/>
  <c r="C410" i="18"/>
  <c r="B410" i="18"/>
  <c r="H398" i="18"/>
  <c r="G398" i="18"/>
  <c r="F398" i="18"/>
  <c r="E398" i="18"/>
  <c r="C398" i="18"/>
  <c r="B398" i="18"/>
  <c r="H397" i="18"/>
  <c r="G397" i="18"/>
  <c r="F397" i="18"/>
  <c r="E397" i="18"/>
  <c r="C397" i="18"/>
  <c r="B397" i="18"/>
  <c r="H396" i="18"/>
  <c r="G396" i="18"/>
  <c r="F396" i="18"/>
  <c r="E396" i="18"/>
  <c r="C396" i="18"/>
  <c r="B396" i="18"/>
  <c r="H395" i="18"/>
  <c r="G395" i="18"/>
  <c r="F395" i="18"/>
  <c r="E395" i="18"/>
  <c r="C395" i="18"/>
  <c r="B395" i="18"/>
  <c r="H393" i="18"/>
  <c r="G393" i="18"/>
  <c r="F393" i="18"/>
  <c r="E393" i="18"/>
  <c r="C393" i="18"/>
  <c r="B393" i="18"/>
  <c r="H392" i="18"/>
  <c r="G392" i="18"/>
  <c r="F392" i="18"/>
  <c r="E392" i="18"/>
  <c r="C392" i="18"/>
  <c r="B392" i="18"/>
  <c r="H391" i="18"/>
  <c r="G391" i="18"/>
  <c r="F391" i="18"/>
  <c r="E391" i="18"/>
  <c r="C391" i="18"/>
  <c r="B391" i="18"/>
  <c r="H390" i="18"/>
  <c r="G390" i="18"/>
  <c r="F390" i="18"/>
  <c r="E390" i="18"/>
  <c r="C390" i="18"/>
  <c r="B390" i="18"/>
  <c r="H388" i="18"/>
  <c r="G388" i="18"/>
  <c r="F388" i="18"/>
  <c r="E388" i="18"/>
  <c r="C388" i="18"/>
  <c r="B388" i="18"/>
  <c r="H387" i="18"/>
  <c r="G387" i="18"/>
  <c r="F387" i="18"/>
  <c r="E387" i="18"/>
  <c r="C387" i="18"/>
  <c r="B387" i="18"/>
  <c r="H386" i="18"/>
  <c r="G386" i="18"/>
  <c r="F386" i="18"/>
  <c r="E386" i="18"/>
  <c r="C386" i="18"/>
  <c r="B386" i="18"/>
  <c r="H385" i="18"/>
  <c r="G385" i="18"/>
  <c r="F385" i="18"/>
  <c r="E385" i="18"/>
  <c r="C385" i="18"/>
  <c r="B385" i="18"/>
  <c r="H383" i="18"/>
  <c r="G383" i="18"/>
  <c r="F383" i="18"/>
  <c r="E383" i="18"/>
  <c r="C383" i="18"/>
  <c r="B383" i="18"/>
  <c r="H382" i="18"/>
  <c r="G382" i="18"/>
  <c r="F382" i="18"/>
  <c r="E382" i="18"/>
  <c r="C382" i="18"/>
  <c r="B382" i="18"/>
  <c r="H381" i="18"/>
  <c r="G381" i="18"/>
  <c r="F381" i="18"/>
  <c r="E381" i="18"/>
  <c r="C381" i="18"/>
  <c r="B381" i="18"/>
  <c r="H380" i="18"/>
  <c r="G380" i="18"/>
  <c r="F380" i="18"/>
  <c r="E380" i="18"/>
  <c r="C380" i="18"/>
  <c r="B380" i="18"/>
  <c r="H367" i="18"/>
  <c r="G367" i="18"/>
  <c r="F367" i="18"/>
  <c r="E367" i="18"/>
  <c r="C367" i="18"/>
  <c r="B367" i="18"/>
  <c r="H366" i="18"/>
  <c r="G366" i="18"/>
  <c r="F366" i="18"/>
  <c r="E366" i="18"/>
  <c r="C366" i="18"/>
  <c r="B366" i="18"/>
  <c r="H365" i="18"/>
  <c r="G365" i="18"/>
  <c r="F365" i="18"/>
  <c r="E365" i="18"/>
  <c r="C365" i="18"/>
  <c r="B365" i="18"/>
  <c r="H364" i="18"/>
  <c r="G364" i="18"/>
  <c r="F364" i="18"/>
  <c r="E364" i="18"/>
  <c r="C364" i="18"/>
  <c r="B364" i="18"/>
  <c r="H362" i="18"/>
  <c r="G362" i="18"/>
  <c r="F362" i="18"/>
  <c r="E362" i="18"/>
  <c r="C362" i="18"/>
  <c r="B362" i="18"/>
  <c r="H361" i="18"/>
  <c r="G361" i="18"/>
  <c r="F361" i="18"/>
  <c r="E361" i="18"/>
  <c r="C361" i="18"/>
  <c r="B361" i="18"/>
  <c r="H360" i="18"/>
  <c r="G360" i="18"/>
  <c r="F360" i="18"/>
  <c r="E360" i="18"/>
  <c r="C360" i="18"/>
  <c r="B360" i="18"/>
  <c r="H359" i="18"/>
  <c r="G359" i="18"/>
  <c r="F359" i="18"/>
  <c r="E359" i="18"/>
  <c r="C359" i="18"/>
  <c r="B359" i="18"/>
  <c r="H357" i="18"/>
  <c r="G357" i="18"/>
  <c r="F357" i="18"/>
  <c r="E357" i="18"/>
  <c r="D357" i="18" s="1"/>
  <c r="L43" i="20" s="1"/>
  <c r="C357" i="18"/>
  <c r="B357" i="18"/>
  <c r="H356" i="18"/>
  <c r="G356" i="18"/>
  <c r="F356" i="18"/>
  <c r="E356" i="18"/>
  <c r="C356" i="18"/>
  <c r="B356" i="18"/>
  <c r="H355" i="18"/>
  <c r="G355" i="18"/>
  <c r="F355" i="18"/>
  <c r="E355" i="18"/>
  <c r="C355" i="18"/>
  <c r="B355" i="18"/>
  <c r="H354" i="18"/>
  <c r="G354" i="18"/>
  <c r="F354" i="18"/>
  <c r="E354" i="18"/>
  <c r="C354" i="18"/>
  <c r="B354" i="18"/>
  <c r="H352" i="18"/>
  <c r="G352" i="18"/>
  <c r="F352" i="18"/>
  <c r="E352" i="18"/>
  <c r="C352" i="18"/>
  <c r="B352" i="18"/>
  <c r="H351" i="18"/>
  <c r="G351" i="18"/>
  <c r="F351" i="18"/>
  <c r="E351" i="18"/>
  <c r="C351" i="18"/>
  <c r="B351" i="18"/>
  <c r="H350" i="18"/>
  <c r="G350" i="18"/>
  <c r="F350" i="18"/>
  <c r="E350" i="18"/>
  <c r="C350" i="18"/>
  <c r="B350" i="18"/>
  <c r="H349" i="18"/>
  <c r="G349" i="18"/>
  <c r="F349" i="18"/>
  <c r="E349" i="18"/>
  <c r="C349" i="18"/>
  <c r="B349" i="18"/>
  <c r="H336" i="18"/>
  <c r="G336" i="18"/>
  <c r="F336" i="18"/>
  <c r="E336" i="18"/>
  <c r="D336" i="18" s="1"/>
  <c r="K53" i="20" s="1"/>
  <c r="C336" i="18"/>
  <c r="B336" i="18"/>
  <c r="H335" i="18"/>
  <c r="G335" i="18"/>
  <c r="F335" i="18"/>
  <c r="E335" i="18"/>
  <c r="C335" i="18"/>
  <c r="B335" i="18"/>
  <c r="H334" i="18"/>
  <c r="G334" i="18"/>
  <c r="F334" i="18"/>
  <c r="E334" i="18"/>
  <c r="C334" i="18"/>
  <c r="B334" i="18"/>
  <c r="H333" i="18"/>
  <c r="G333" i="18"/>
  <c r="F333" i="18"/>
  <c r="E333" i="18"/>
  <c r="C333" i="18"/>
  <c r="B333" i="18"/>
  <c r="H331" i="18"/>
  <c r="G331" i="18"/>
  <c r="F331" i="18"/>
  <c r="E331" i="18"/>
  <c r="C331" i="18"/>
  <c r="B331" i="18"/>
  <c r="H330" i="18"/>
  <c r="G330" i="18"/>
  <c r="F330" i="18"/>
  <c r="E330" i="18"/>
  <c r="C330" i="18"/>
  <c r="B330" i="18"/>
  <c r="H329" i="18"/>
  <c r="G329" i="18"/>
  <c r="F329" i="18"/>
  <c r="E329" i="18"/>
  <c r="C329" i="18"/>
  <c r="B329" i="18"/>
  <c r="H328" i="18"/>
  <c r="G328" i="18"/>
  <c r="F328" i="18"/>
  <c r="E328" i="18"/>
  <c r="C328" i="18"/>
  <c r="B328" i="18"/>
  <c r="H326" i="18"/>
  <c r="G326" i="18"/>
  <c r="F326" i="18"/>
  <c r="E326" i="18"/>
  <c r="C326" i="18"/>
  <c r="B326" i="18"/>
  <c r="H325" i="18"/>
  <c r="G325" i="18"/>
  <c r="F325" i="18"/>
  <c r="E325" i="18"/>
  <c r="C325" i="18"/>
  <c r="B325" i="18"/>
  <c r="H324" i="18"/>
  <c r="G324" i="18"/>
  <c r="F324" i="18"/>
  <c r="E324" i="18"/>
  <c r="C324" i="18"/>
  <c r="B324" i="18"/>
  <c r="H323" i="18"/>
  <c r="G323" i="18"/>
  <c r="F323" i="18"/>
  <c r="E323" i="18"/>
  <c r="C323" i="18"/>
  <c r="B323" i="18"/>
  <c r="H321" i="18"/>
  <c r="G321" i="18"/>
  <c r="F321" i="18"/>
  <c r="E321" i="18"/>
  <c r="C321" i="18"/>
  <c r="B321" i="18"/>
  <c r="H320" i="18"/>
  <c r="G320" i="18"/>
  <c r="F320" i="18"/>
  <c r="E320" i="18"/>
  <c r="C320" i="18"/>
  <c r="B320" i="18"/>
  <c r="H319" i="18"/>
  <c r="G319" i="18"/>
  <c r="F319" i="18"/>
  <c r="E319" i="18"/>
  <c r="C319" i="18"/>
  <c r="B319" i="18"/>
  <c r="H318" i="18"/>
  <c r="G318" i="18"/>
  <c r="F318" i="18"/>
  <c r="E318" i="18"/>
  <c r="C318" i="18"/>
  <c r="B318" i="18"/>
  <c r="H305" i="18"/>
  <c r="G305" i="18"/>
  <c r="F305" i="18"/>
  <c r="E305" i="18"/>
  <c r="C305" i="18"/>
  <c r="B305" i="18"/>
  <c r="H304" i="18"/>
  <c r="G304" i="18"/>
  <c r="F304" i="18"/>
  <c r="E304" i="18"/>
  <c r="C304" i="18"/>
  <c r="B304" i="18"/>
  <c r="H303" i="18"/>
  <c r="G303" i="18"/>
  <c r="F303" i="18"/>
  <c r="E303" i="18"/>
  <c r="C303" i="18"/>
  <c r="B303" i="18"/>
  <c r="H302" i="18"/>
  <c r="G302" i="18"/>
  <c r="F302" i="18"/>
  <c r="E302" i="18"/>
  <c r="C302" i="18"/>
  <c r="B302" i="18"/>
  <c r="H300" i="18"/>
  <c r="G300" i="18"/>
  <c r="F300" i="18"/>
  <c r="E300" i="18"/>
  <c r="C300" i="18"/>
  <c r="B300" i="18"/>
  <c r="H299" i="18"/>
  <c r="G299" i="18"/>
  <c r="F299" i="18"/>
  <c r="E299" i="18"/>
  <c r="C299" i="18"/>
  <c r="B299" i="18"/>
  <c r="H298" i="18"/>
  <c r="G298" i="18"/>
  <c r="F298" i="18"/>
  <c r="E298" i="18"/>
  <c r="C298" i="18"/>
  <c r="B298" i="18"/>
  <c r="H297" i="18"/>
  <c r="G297" i="18"/>
  <c r="F297" i="18"/>
  <c r="E297" i="18"/>
  <c r="C297" i="18"/>
  <c r="B297" i="18"/>
  <c r="H295" i="18"/>
  <c r="G295" i="18"/>
  <c r="F295" i="18"/>
  <c r="E295" i="18"/>
  <c r="C295" i="18"/>
  <c r="B295" i="18"/>
  <c r="H294" i="18"/>
  <c r="G294" i="18"/>
  <c r="F294" i="18"/>
  <c r="E294" i="18"/>
  <c r="C294" i="18"/>
  <c r="B294" i="18"/>
  <c r="H293" i="18"/>
  <c r="G293" i="18"/>
  <c r="F293" i="18"/>
  <c r="E293" i="18"/>
  <c r="C293" i="18"/>
  <c r="B293" i="18"/>
  <c r="H292" i="18"/>
  <c r="G292" i="18"/>
  <c r="F292" i="18"/>
  <c r="E292" i="18"/>
  <c r="C292" i="18"/>
  <c r="B292" i="18"/>
  <c r="H290" i="18"/>
  <c r="G290" i="18"/>
  <c r="F290" i="18"/>
  <c r="E290" i="18"/>
  <c r="C290" i="18"/>
  <c r="B290" i="18"/>
  <c r="H289" i="18"/>
  <c r="G289" i="18"/>
  <c r="F289" i="18"/>
  <c r="E289" i="18"/>
  <c r="C289" i="18"/>
  <c r="B289" i="18"/>
  <c r="H288" i="18"/>
  <c r="G288" i="18"/>
  <c r="F288" i="18"/>
  <c r="E288" i="18"/>
  <c r="C288" i="18"/>
  <c r="B288" i="18"/>
  <c r="H287" i="18"/>
  <c r="G287" i="18"/>
  <c r="F287" i="18"/>
  <c r="E287" i="18"/>
  <c r="C287" i="18"/>
  <c r="B287" i="18"/>
  <c r="H274" i="18"/>
  <c r="G274" i="18"/>
  <c r="F274" i="18"/>
  <c r="E274" i="18"/>
  <c r="D274" i="18" s="1"/>
  <c r="C274" i="18"/>
  <c r="B274" i="18"/>
  <c r="H273" i="18"/>
  <c r="G273" i="18"/>
  <c r="F273" i="18"/>
  <c r="E273" i="18"/>
  <c r="C273" i="18"/>
  <c r="B273" i="18"/>
  <c r="H272" i="18"/>
  <c r="G272" i="18"/>
  <c r="F272" i="18"/>
  <c r="E272" i="18"/>
  <c r="C272" i="18"/>
  <c r="B272" i="18"/>
  <c r="H271" i="18"/>
  <c r="G271" i="18"/>
  <c r="F271" i="18"/>
  <c r="E271" i="18"/>
  <c r="C271" i="18"/>
  <c r="B271" i="18"/>
  <c r="H269" i="18"/>
  <c r="G269" i="18"/>
  <c r="F269" i="18"/>
  <c r="E269" i="18"/>
  <c r="C269" i="18"/>
  <c r="B269" i="18"/>
  <c r="H268" i="18"/>
  <c r="G268" i="18"/>
  <c r="F268" i="18"/>
  <c r="E268" i="18"/>
  <c r="C268" i="18"/>
  <c r="B268" i="18"/>
  <c r="H267" i="18"/>
  <c r="G267" i="18"/>
  <c r="F267" i="18"/>
  <c r="E267" i="18"/>
  <c r="C267" i="18"/>
  <c r="B267" i="18"/>
  <c r="H266" i="18"/>
  <c r="G266" i="18"/>
  <c r="F266" i="18"/>
  <c r="E266" i="18"/>
  <c r="C266" i="18"/>
  <c r="B266" i="18"/>
  <c r="H264" i="18"/>
  <c r="G264" i="18"/>
  <c r="F264" i="18"/>
  <c r="E264" i="18"/>
  <c r="C264" i="18"/>
  <c r="B264" i="18"/>
  <c r="H263" i="18"/>
  <c r="G263" i="18"/>
  <c r="F263" i="18"/>
  <c r="E263" i="18"/>
  <c r="C263" i="18"/>
  <c r="B263" i="18"/>
  <c r="H262" i="18"/>
  <c r="G262" i="18"/>
  <c r="F262" i="18"/>
  <c r="E262" i="18"/>
  <c r="C262" i="18"/>
  <c r="B262" i="18"/>
  <c r="H261" i="18"/>
  <c r="G261" i="18"/>
  <c r="F261" i="18"/>
  <c r="E261" i="18"/>
  <c r="C261" i="18"/>
  <c r="B261" i="18"/>
  <c r="H259" i="18"/>
  <c r="G259" i="18"/>
  <c r="F259" i="18"/>
  <c r="E259" i="18"/>
  <c r="C259" i="18"/>
  <c r="B259" i="18"/>
  <c r="H258" i="18"/>
  <c r="G258" i="18"/>
  <c r="F258" i="18"/>
  <c r="E258" i="18"/>
  <c r="C258" i="18"/>
  <c r="B258" i="18"/>
  <c r="H257" i="18"/>
  <c r="G257" i="18"/>
  <c r="F257" i="18"/>
  <c r="E257" i="18"/>
  <c r="C257" i="18"/>
  <c r="B257" i="18"/>
  <c r="H256" i="18"/>
  <c r="G256" i="18"/>
  <c r="F256" i="18"/>
  <c r="E256" i="18"/>
  <c r="C256" i="18"/>
  <c r="B256" i="18"/>
  <c r="H243" i="18"/>
  <c r="G243" i="18"/>
  <c r="F243" i="18"/>
  <c r="E243" i="18"/>
  <c r="C243" i="18"/>
  <c r="B243" i="18"/>
  <c r="H242" i="18"/>
  <c r="G242" i="18"/>
  <c r="F242" i="18"/>
  <c r="E242" i="18"/>
  <c r="C242" i="18"/>
  <c r="B242" i="18"/>
  <c r="H241" i="18"/>
  <c r="G241" i="18"/>
  <c r="F241" i="18"/>
  <c r="E241" i="18"/>
  <c r="C241" i="18"/>
  <c r="B241" i="18"/>
  <c r="H240" i="18"/>
  <c r="G240" i="18"/>
  <c r="F240" i="18"/>
  <c r="E240" i="18"/>
  <c r="C240" i="18"/>
  <c r="B240" i="18"/>
  <c r="H238" i="18"/>
  <c r="G238" i="18"/>
  <c r="F238" i="18"/>
  <c r="E238" i="18"/>
  <c r="C238" i="18"/>
  <c r="B238" i="18"/>
  <c r="H237" i="18"/>
  <c r="G237" i="18"/>
  <c r="F237" i="18"/>
  <c r="E237" i="18"/>
  <c r="C237" i="18"/>
  <c r="B237" i="18"/>
  <c r="H236" i="18"/>
  <c r="G236" i="18"/>
  <c r="F236" i="18"/>
  <c r="E236" i="18"/>
  <c r="C236" i="18"/>
  <c r="B236" i="18"/>
  <c r="H235" i="18"/>
  <c r="G235" i="18"/>
  <c r="F235" i="18"/>
  <c r="E235" i="18"/>
  <c r="C235" i="18"/>
  <c r="B235" i="18"/>
  <c r="H233" i="18"/>
  <c r="G233" i="18"/>
  <c r="F233" i="18"/>
  <c r="E233" i="18"/>
  <c r="C233" i="18"/>
  <c r="B233" i="18"/>
  <c r="H232" i="18"/>
  <c r="G232" i="18"/>
  <c r="F232" i="18"/>
  <c r="E232" i="18"/>
  <c r="C232" i="18"/>
  <c r="B232" i="18"/>
  <c r="H231" i="18"/>
  <c r="G231" i="18"/>
  <c r="F231" i="18"/>
  <c r="E231" i="18"/>
  <c r="C231" i="18"/>
  <c r="B231" i="18"/>
  <c r="H230" i="18"/>
  <c r="G230" i="18"/>
  <c r="F230" i="18"/>
  <c r="E230" i="18"/>
  <c r="C230" i="18"/>
  <c r="B230" i="18"/>
  <c r="H228" i="18"/>
  <c r="G228" i="18"/>
  <c r="F228" i="18"/>
  <c r="E228" i="18"/>
  <c r="C228" i="18"/>
  <c r="B228" i="18"/>
  <c r="H227" i="18"/>
  <c r="G227" i="18"/>
  <c r="F227" i="18"/>
  <c r="E227" i="18"/>
  <c r="C227" i="18"/>
  <c r="B227" i="18"/>
  <c r="H226" i="18"/>
  <c r="G226" i="18"/>
  <c r="F226" i="18"/>
  <c r="E226" i="18"/>
  <c r="C226" i="18"/>
  <c r="B226" i="18"/>
  <c r="H225" i="18"/>
  <c r="G225" i="18"/>
  <c r="F225" i="18"/>
  <c r="E225" i="18"/>
  <c r="C225" i="18"/>
  <c r="B225" i="18"/>
  <c r="P212" i="18"/>
  <c r="O212" i="18"/>
  <c r="N212" i="18"/>
  <c r="M212" i="18"/>
  <c r="K212" i="18"/>
  <c r="J212" i="18"/>
  <c r="H212" i="18"/>
  <c r="G212" i="18"/>
  <c r="F212" i="18"/>
  <c r="E212" i="18"/>
  <c r="C212" i="18"/>
  <c r="B212" i="18"/>
  <c r="P211" i="18"/>
  <c r="O211" i="18"/>
  <c r="N211" i="18"/>
  <c r="M211" i="18"/>
  <c r="K211" i="18"/>
  <c r="J211" i="18"/>
  <c r="H211" i="18"/>
  <c r="G211" i="18"/>
  <c r="F211" i="18"/>
  <c r="E211" i="18"/>
  <c r="C211" i="18"/>
  <c r="B211" i="18"/>
  <c r="P210" i="18"/>
  <c r="O210" i="18"/>
  <c r="N210" i="18"/>
  <c r="M210" i="18"/>
  <c r="K210" i="18"/>
  <c r="J210" i="18"/>
  <c r="H210" i="18"/>
  <c r="G210" i="18"/>
  <c r="F210" i="18"/>
  <c r="E210" i="18"/>
  <c r="C210" i="18"/>
  <c r="B210" i="18"/>
  <c r="P209" i="18"/>
  <c r="O209" i="18"/>
  <c r="N209" i="18"/>
  <c r="M209" i="18"/>
  <c r="K209" i="18"/>
  <c r="J209" i="18"/>
  <c r="H209" i="18"/>
  <c r="G209" i="18"/>
  <c r="F209" i="18"/>
  <c r="E209" i="18"/>
  <c r="C209" i="18"/>
  <c r="B209" i="18"/>
  <c r="P207" i="18"/>
  <c r="O207" i="18"/>
  <c r="N207" i="18"/>
  <c r="M207" i="18"/>
  <c r="K207" i="18"/>
  <c r="J207" i="18"/>
  <c r="H207" i="18"/>
  <c r="G207" i="18"/>
  <c r="F207" i="18"/>
  <c r="E207" i="18"/>
  <c r="C207" i="18"/>
  <c r="B207" i="18"/>
  <c r="P206" i="18"/>
  <c r="O206" i="18"/>
  <c r="N206" i="18"/>
  <c r="M206" i="18"/>
  <c r="K206" i="18"/>
  <c r="J206" i="18"/>
  <c r="H206" i="18"/>
  <c r="G206" i="18"/>
  <c r="F206" i="18"/>
  <c r="E206" i="18"/>
  <c r="C206" i="18"/>
  <c r="B206" i="18"/>
  <c r="P205" i="18"/>
  <c r="O205" i="18"/>
  <c r="N205" i="18"/>
  <c r="M205" i="18"/>
  <c r="K205" i="18"/>
  <c r="J205" i="18"/>
  <c r="H205" i="18"/>
  <c r="G205" i="18"/>
  <c r="F205" i="18"/>
  <c r="E205" i="18"/>
  <c r="C205" i="18"/>
  <c r="B205" i="18"/>
  <c r="P204" i="18"/>
  <c r="O204" i="18"/>
  <c r="N204" i="18"/>
  <c r="M204" i="18"/>
  <c r="K204" i="18"/>
  <c r="J204" i="18"/>
  <c r="H204" i="18"/>
  <c r="G204" i="18"/>
  <c r="F204" i="18"/>
  <c r="E204" i="18"/>
  <c r="C204" i="18"/>
  <c r="B204" i="18"/>
  <c r="P202" i="18"/>
  <c r="O202" i="18"/>
  <c r="N202" i="18"/>
  <c r="M202" i="18"/>
  <c r="K202" i="18"/>
  <c r="J202" i="18"/>
  <c r="H202" i="18"/>
  <c r="G202" i="18"/>
  <c r="F202" i="18"/>
  <c r="E202" i="18"/>
  <c r="C202" i="18"/>
  <c r="B202" i="18"/>
  <c r="P201" i="18"/>
  <c r="O201" i="18"/>
  <c r="N201" i="18"/>
  <c r="M201" i="18"/>
  <c r="K201" i="18"/>
  <c r="J201" i="18"/>
  <c r="H201" i="18"/>
  <c r="G201" i="18"/>
  <c r="F201" i="18"/>
  <c r="E201" i="18"/>
  <c r="C201" i="18"/>
  <c r="B201" i="18"/>
  <c r="P200" i="18"/>
  <c r="O200" i="18"/>
  <c r="N200" i="18"/>
  <c r="M200" i="18"/>
  <c r="K200" i="18"/>
  <c r="J200" i="18"/>
  <c r="H200" i="18"/>
  <c r="G200" i="18"/>
  <c r="F200" i="18"/>
  <c r="E200" i="18"/>
  <c r="C200" i="18"/>
  <c r="B200" i="18"/>
  <c r="P199" i="18"/>
  <c r="O199" i="18"/>
  <c r="N199" i="18"/>
  <c r="M199" i="18"/>
  <c r="K199" i="18"/>
  <c r="J199" i="18"/>
  <c r="H199" i="18"/>
  <c r="G199" i="18"/>
  <c r="F199" i="18"/>
  <c r="E199" i="18"/>
  <c r="C199" i="18"/>
  <c r="B199" i="18"/>
  <c r="P197" i="18"/>
  <c r="O197" i="18"/>
  <c r="N197" i="18"/>
  <c r="M197" i="18"/>
  <c r="K197" i="18"/>
  <c r="J197" i="18"/>
  <c r="H197" i="18"/>
  <c r="G197" i="18"/>
  <c r="F197" i="18"/>
  <c r="E197" i="18"/>
  <c r="C197" i="18"/>
  <c r="B197" i="18"/>
  <c r="P196" i="18"/>
  <c r="O196" i="18"/>
  <c r="N196" i="18"/>
  <c r="M196" i="18"/>
  <c r="K196" i="18"/>
  <c r="J196" i="18"/>
  <c r="H196" i="18"/>
  <c r="G196" i="18"/>
  <c r="F196" i="18"/>
  <c r="E196" i="18"/>
  <c r="C196" i="18"/>
  <c r="B196" i="18"/>
  <c r="P195" i="18"/>
  <c r="O195" i="18"/>
  <c r="N195" i="18"/>
  <c r="M195" i="18"/>
  <c r="L195" i="18" s="1"/>
  <c r="G95" i="20" s="1"/>
  <c r="K195" i="18"/>
  <c r="J195" i="18"/>
  <c r="H195" i="18"/>
  <c r="G195" i="18"/>
  <c r="F195" i="18"/>
  <c r="E195" i="18"/>
  <c r="C195" i="18"/>
  <c r="B195" i="18"/>
  <c r="P194" i="18"/>
  <c r="O194" i="18"/>
  <c r="N194" i="18"/>
  <c r="M194" i="18"/>
  <c r="K194" i="18"/>
  <c r="J194" i="18"/>
  <c r="H194" i="18"/>
  <c r="G194" i="18"/>
  <c r="F194" i="18"/>
  <c r="E194" i="18"/>
  <c r="C194" i="18"/>
  <c r="B194" i="18"/>
  <c r="P182" i="18"/>
  <c r="O182" i="18"/>
  <c r="N182" i="18"/>
  <c r="M182" i="18"/>
  <c r="K182" i="18"/>
  <c r="J182" i="18"/>
  <c r="H182" i="18"/>
  <c r="G182" i="18"/>
  <c r="F182" i="18"/>
  <c r="E182" i="18"/>
  <c r="C182" i="18"/>
  <c r="B182" i="18"/>
  <c r="P181" i="18"/>
  <c r="O181" i="18"/>
  <c r="N181" i="18"/>
  <c r="M181" i="18"/>
  <c r="K181" i="18"/>
  <c r="J181" i="18"/>
  <c r="H181" i="18"/>
  <c r="G181" i="18"/>
  <c r="F181" i="18"/>
  <c r="E181" i="18"/>
  <c r="C181" i="18"/>
  <c r="B181" i="18"/>
  <c r="P180" i="18"/>
  <c r="O180" i="18"/>
  <c r="N180" i="18"/>
  <c r="M180" i="18"/>
  <c r="K180" i="18"/>
  <c r="J180" i="18"/>
  <c r="H180" i="18"/>
  <c r="G180" i="18"/>
  <c r="F180" i="18"/>
  <c r="E180" i="18"/>
  <c r="C180" i="18"/>
  <c r="B180" i="18"/>
  <c r="P179" i="18"/>
  <c r="O179" i="18"/>
  <c r="N179" i="18"/>
  <c r="M179" i="18"/>
  <c r="K179" i="18"/>
  <c r="J179" i="18"/>
  <c r="H179" i="18"/>
  <c r="G179" i="18"/>
  <c r="F179" i="18"/>
  <c r="E179" i="18"/>
  <c r="C179" i="18"/>
  <c r="B179" i="18"/>
  <c r="P177" i="18"/>
  <c r="O177" i="18"/>
  <c r="N177" i="18"/>
  <c r="M177" i="18"/>
  <c r="K177" i="18"/>
  <c r="J177" i="18"/>
  <c r="H177" i="18"/>
  <c r="G177" i="18"/>
  <c r="F177" i="18"/>
  <c r="E177" i="18"/>
  <c r="C177" i="18"/>
  <c r="B177" i="18"/>
  <c r="P176" i="18"/>
  <c r="O176" i="18"/>
  <c r="N176" i="18"/>
  <c r="M176" i="18"/>
  <c r="K176" i="18"/>
  <c r="J176" i="18"/>
  <c r="H176" i="18"/>
  <c r="G176" i="18"/>
  <c r="F176" i="18"/>
  <c r="E176" i="18"/>
  <c r="C176" i="18"/>
  <c r="B176" i="18"/>
  <c r="P175" i="18"/>
  <c r="O175" i="18"/>
  <c r="N175" i="18"/>
  <c r="M175" i="18"/>
  <c r="K175" i="18"/>
  <c r="J175" i="18"/>
  <c r="H175" i="18"/>
  <c r="G175" i="18"/>
  <c r="F175" i="18"/>
  <c r="E175" i="18"/>
  <c r="C175" i="18"/>
  <c r="B175" i="18"/>
  <c r="P174" i="18"/>
  <c r="O174" i="18"/>
  <c r="N174" i="18"/>
  <c r="M174" i="18"/>
  <c r="K174" i="18"/>
  <c r="J174" i="18"/>
  <c r="H174" i="18"/>
  <c r="G174" i="18"/>
  <c r="F174" i="18"/>
  <c r="E174" i="18"/>
  <c r="C174" i="18"/>
  <c r="B174" i="18"/>
  <c r="P172" i="18"/>
  <c r="O172" i="18"/>
  <c r="N172" i="18"/>
  <c r="M172" i="18"/>
  <c r="K172" i="18"/>
  <c r="J172" i="18"/>
  <c r="H172" i="18"/>
  <c r="G172" i="18"/>
  <c r="F172" i="18"/>
  <c r="E172" i="18"/>
  <c r="C172" i="18"/>
  <c r="B172" i="18"/>
  <c r="P171" i="18"/>
  <c r="O171" i="18"/>
  <c r="N171" i="18"/>
  <c r="M171" i="18"/>
  <c r="K171" i="18"/>
  <c r="J171" i="18"/>
  <c r="H171" i="18"/>
  <c r="G171" i="18"/>
  <c r="F171" i="18"/>
  <c r="E171" i="18"/>
  <c r="C171" i="18"/>
  <c r="B171" i="18"/>
  <c r="P170" i="18"/>
  <c r="O170" i="18"/>
  <c r="N170" i="18"/>
  <c r="M170" i="18"/>
  <c r="K170" i="18"/>
  <c r="J170" i="18"/>
  <c r="H170" i="18"/>
  <c r="G170" i="18"/>
  <c r="F170" i="18"/>
  <c r="E170" i="18"/>
  <c r="C170" i="18"/>
  <c r="B170" i="18"/>
  <c r="P169" i="18"/>
  <c r="O169" i="18"/>
  <c r="N169" i="18"/>
  <c r="M169" i="18"/>
  <c r="K169" i="18"/>
  <c r="J169" i="18"/>
  <c r="H169" i="18"/>
  <c r="G169" i="18"/>
  <c r="F169" i="18"/>
  <c r="E169" i="18"/>
  <c r="C169" i="18"/>
  <c r="B169" i="18"/>
  <c r="P167" i="18"/>
  <c r="O167" i="18"/>
  <c r="N167" i="18"/>
  <c r="M167" i="18"/>
  <c r="K167" i="18"/>
  <c r="J167" i="18"/>
  <c r="H167" i="18"/>
  <c r="G167" i="18"/>
  <c r="F167" i="18"/>
  <c r="E167" i="18"/>
  <c r="C167" i="18"/>
  <c r="B167" i="18"/>
  <c r="P166" i="18"/>
  <c r="O166" i="18"/>
  <c r="N166" i="18"/>
  <c r="M166" i="18"/>
  <c r="K166" i="18"/>
  <c r="J166" i="18"/>
  <c r="H166" i="18"/>
  <c r="G166" i="18"/>
  <c r="F166" i="18"/>
  <c r="E166" i="18"/>
  <c r="C166" i="18"/>
  <c r="B166" i="18"/>
  <c r="P165" i="18"/>
  <c r="O165" i="18"/>
  <c r="N165" i="18"/>
  <c r="M165" i="18"/>
  <c r="K165" i="18"/>
  <c r="J165" i="18"/>
  <c r="H165" i="18"/>
  <c r="G165" i="18"/>
  <c r="F165" i="18"/>
  <c r="E165" i="18"/>
  <c r="C165" i="18"/>
  <c r="B165" i="18"/>
  <c r="P164" i="18"/>
  <c r="O164" i="18"/>
  <c r="N164" i="18"/>
  <c r="M164" i="18"/>
  <c r="K164" i="18"/>
  <c r="J164" i="18"/>
  <c r="H164" i="18"/>
  <c r="G164" i="18"/>
  <c r="F164" i="18"/>
  <c r="E164" i="18"/>
  <c r="C164" i="18"/>
  <c r="B164" i="18"/>
  <c r="P151" i="18"/>
  <c r="O151" i="18"/>
  <c r="N151" i="18"/>
  <c r="M151" i="18"/>
  <c r="K151" i="18"/>
  <c r="J151" i="18"/>
  <c r="H151" i="18"/>
  <c r="G151" i="18"/>
  <c r="F151" i="18"/>
  <c r="E151" i="18"/>
  <c r="C151" i="18"/>
  <c r="B151" i="18"/>
  <c r="P150" i="18"/>
  <c r="O150" i="18"/>
  <c r="N150" i="18"/>
  <c r="M150" i="18"/>
  <c r="K150" i="18"/>
  <c r="J150" i="18"/>
  <c r="H150" i="18"/>
  <c r="G150" i="18"/>
  <c r="F150" i="18"/>
  <c r="E150" i="18"/>
  <c r="C150" i="18"/>
  <c r="B150" i="18"/>
  <c r="P149" i="18"/>
  <c r="O149" i="18"/>
  <c r="N149" i="18"/>
  <c r="M149" i="18"/>
  <c r="K149" i="18"/>
  <c r="J149" i="18"/>
  <c r="H149" i="18"/>
  <c r="G149" i="18"/>
  <c r="F149" i="18"/>
  <c r="E149" i="18"/>
  <c r="C149" i="18"/>
  <c r="B149" i="18"/>
  <c r="P148" i="18"/>
  <c r="O148" i="18"/>
  <c r="N148" i="18"/>
  <c r="M148" i="18"/>
  <c r="K148" i="18"/>
  <c r="J148" i="18"/>
  <c r="H148" i="18"/>
  <c r="G148" i="18"/>
  <c r="F148" i="18"/>
  <c r="E148" i="18"/>
  <c r="C148" i="18"/>
  <c r="B148" i="18"/>
  <c r="P146" i="18"/>
  <c r="O146" i="18"/>
  <c r="N146" i="18"/>
  <c r="M146" i="18"/>
  <c r="K146" i="18"/>
  <c r="J146" i="18"/>
  <c r="H146" i="18"/>
  <c r="G146" i="18"/>
  <c r="F146" i="18"/>
  <c r="E146" i="18"/>
  <c r="C146" i="18"/>
  <c r="B146" i="18"/>
  <c r="P145" i="18"/>
  <c r="O145" i="18"/>
  <c r="N145" i="18"/>
  <c r="M145" i="18"/>
  <c r="K145" i="18"/>
  <c r="J145" i="18"/>
  <c r="H145" i="18"/>
  <c r="G145" i="18"/>
  <c r="F145" i="18"/>
  <c r="E145" i="18"/>
  <c r="C145" i="18"/>
  <c r="B145" i="18"/>
  <c r="P144" i="18"/>
  <c r="O144" i="18"/>
  <c r="N144" i="18"/>
  <c r="M144" i="18"/>
  <c r="K144" i="18"/>
  <c r="J144" i="18"/>
  <c r="H144" i="18"/>
  <c r="G144" i="18"/>
  <c r="F144" i="18"/>
  <c r="E144" i="18"/>
  <c r="C144" i="18"/>
  <c r="B144" i="18"/>
  <c r="P143" i="18"/>
  <c r="O143" i="18"/>
  <c r="N143" i="18"/>
  <c r="M143" i="18"/>
  <c r="K143" i="18"/>
  <c r="J143" i="18"/>
  <c r="H143" i="18"/>
  <c r="G143" i="18"/>
  <c r="F143" i="18"/>
  <c r="E143" i="18"/>
  <c r="C143" i="18"/>
  <c r="B143" i="18"/>
  <c r="P141" i="18"/>
  <c r="O141" i="18"/>
  <c r="N141" i="18"/>
  <c r="M141" i="18"/>
  <c r="K141" i="18"/>
  <c r="J141" i="18"/>
  <c r="H141" i="18"/>
  <c r="G141" i="18"/>
  <c r="F141" i="18"/>
  <c r="E141" i="18"/>
  <c r="C141" i="18"/>
  <c r="B141" i="18"/>
  <c r="P140" i="18"/>
  <c r="O140" i="18"/>
  <c r="N140" i="18"/>
  <c r="M140" i="18"/>
  <c r="K140" i="18"/>
  <c r="J140" i="18"/>
  <c r="H140" i="18"/>
  <c r="G140" i="18"/>
  <c r="F140" i="18"/>
  <c r="E140" i="18"/>
  <c r="C140" i="18"/>
  <c r="B140" i="18"/>
  <c r="P139" i="18"/>
  <c r="O139" i="18"/>
  <c r="N139" i="18"/>
  <c r="M139" i="18"/>
  <c r="K139" i="18"/>
  <c r="J139" i="18"/>
  <c r="H139" i="18"/>
  <c r="G139" i="18"/>
  <c r="F139" i="18"/>
  <c r="E139" i="18"/>
  <c r="C139" i="18"/>
  <c r="B139" i="18"/>
  <c r="P138" i="18"/>
  <c r="O138" i="18"/>
  <c r="N138" i="18"/>
  <c r="M138" i="18"/>
  <c r="K138" i="18"/>
  <c r="J138" i="18"/>
  <c r="H138" i="18"/>
  <c r="G138" i="18"/>
  <c r="F138" i="18"/>
  <c r="E138" i="18"/>
  <c r="C138" i="18"/>
  <c r="B138" i="18"/>
  <c r="P136" i="18"/>
  <c r="O136" i="18"/>
  <c r="N136" i="18"/>
  <c r="M136" i="18"/>
  <c r="K136" i="18"/>
  <c r="J136" i="18"/>
  <c r="H136" i="18"/>
  <c r="G136" i="18"/>
  <c r="F136" i="18"/>
  <c r="E136" i="18"/>
  <c r="C136" i="18"/>
  <c r="B136" i="18"/>
  <c r="P135" i="18"/>
  <c r="O135" i="18"/>
  <c r="N135" i="18"/>
  <c r="M135" i="18"/>
  <c r="K135" i="18"/>
  <c r="J135" i="18"/>
  <c r="H135" i="18"/>
  <c r="G135" i="18"/>
  <c r="F135" i="18"/>
  <c r="E135" i="18"/>
  <c r="C135" i="18"/>
  <c r="B135" i="18"/>
  <c r="P134" i="18"/>
  <c r="O134" i="18"/>
  <c r="N134" i="18"/>
  <c r="M134" i="18"/>
  <c r="K134" i="18"/>
  <c r="J134" i="18"/>
  <c r="H134" i="18"/>
  <c r="G134" i="18"/>
  <c r="F134" i="18"/>
  <c r="E134" i="18"/>
  <c r="C134" i="18"/>
  <c r="B134" i="18"/>
  <c r="P133" i="18"/>
  <c r="O133" i="18"/>
  <c r="N133" i="18"/>
  <c r="M133" i="18"/>
  <c r="K133" i="18"/>
  <c r="J133" i="18"/>
  <c r="H133" i="18"/>
  <c r="G133" i="18"/>
  <c r="F133" i="18"/>
  <c r="E133" i="18"/>
  <c r="C133" i="18"/>
  <c r="B133" i="18"/>
  <c r="P120" i="18"/>
  <c r="O120" i="18"/>
  <c r="N120" i="18"/>
  <c r="M120" i="18"/>
  <c r="K120" i="18"/>
  <c r="J120" i="18"/>
  <c r="H120" i="18"/>
  <c r="G120" i="18"/>
  <c r="F120" i="18"/>
  <c r="E120" i="18"/>
  <c r="C120" i="18"/>
  <c r="B120" i="18"/>
  <c r="P119" i="18"/>
  <c r="O119" i="18"/>
  <c r="N119" i="18"/>
  <c r="M119" i="18"/>
  <c r="K119" i="18"/>
  <c r="J119" i="18"/>
  <c r="H119" i="18"/>
  <c r="G119" i="18"/>
  <c r="F119" i="18"/>
  <c r="E119" i="18"/>
  <c r="C119" i="18"/>
  <c r="B119" i="18"/>
  <c r="P118" i="18"/>
  <c r="O118" i="18"/>
  <c r="N118" i="18"/>
  <c r="M118" i="18"/>
  <c r="K118" i="18"/>
  <c r="J118" i="18"/>
  <c r="H118" i="18"/>
  <c r="G118" i="18"/>
  <c r="F118" i="18"/>
  <c r="E118" i="18"/>
  <c r="C118" i="18"/>
  <c r="B118" i="18"/>
  <c r="P117" i="18"/>
  <c r="O117" i="18"/>
  <c r="N117" i="18"/>
  <c r="M117" i="18"/>
  <c r="K117" i="18"/>
  <c r="J117" i="18"/>
  <c r="H117" i="18"/>
  <c r="G117" i="18"/>
  <c r="F117" i="18"/>
  <c r="E117" i="18"/>
  <c r="C117" i="18"/>
  <c r="B117" i="18"/>
  <c r="P115" i="18"/>
  <c r="O115" i="18"/>
  <c r="N115" i="18"/>
  <c r="M115" i="18"/>
  <c r="K115" i="18"/>
  <c r="J115" i="18"/>
  <c r="H115" i="18"/>
  <c r="G115" i="18"/>
  <c r="F115" i="18"/>
  <c r="E115" i="18"/>
  <c r="C115" i="18"/>
  <c r="B115" i="18"/>
  <c r="P114" i="18"/>
  <c r="O114" i="18"/>
  <c r="N114" i="18"/>
  <c r="M114" i="18"/>
  <c r="K114" i="18"/>
  <c r="J114" i="18"/>
  <c r="H114" i="18"/>
  <c r="G114" i="18"/>
  <c r="F114" i="18"/>
  <c r="E114" i="18"/>
  <c r="C114" i="18"/>
  <c r="B114" i="18"/>
  <c r="P113" i="18"/>
  <c r="O113" i="18"/>
  <c r="N113" i="18"/>
  <c r="M113" i="18"/>
  <c r="L113" i="18" s="1"/>
  <c r="D105" i="20" s="1"/>
  <c r="K113" i="18"/>
  <c r="J113" i="18"/>
  <c r="H113" i="18"/>
  <c r="G113" i="18"/>
  <c r="F113" i="18"/>
  <c r="E113" i="18"/>
  <c r="C113" i="18"/>
  <c r="B113" i="18"/>
  <c r="P112" i="18"/>
  <c r="O112" i="18"/>
  <c r="N112" i="18"/>
  <c r="M112" i="18"/>
  <c r="K112" i="18"/>
  <c r="J112" i="18"/>
  <c r="H112" i="18"/>
  <c r="G112" i="18"/>
  <c r="F112" i="18"/>
  <c r="E112" i="18"/>
  <c r="C112" i="18"/>
  <c r="B112" i="18"/>
  <c r="P110" i="18"/>
  <c r="O110" i="18"/>
  <c r="N110" i="18"/>
  <c r="M110" i="18"/>
  <c r="K110" i="18"/>
  <c r="J110" i="18"/>
  <c r="H110" i="18"/>
  <c r="G110" i="18"/>
  <c r="F110" i="18"/>
  <c r="E110" i="18"/>
  <c r="C110" i="18"/>
  <c r="B110" i="18"/>
  <c r="P109" i="18"/>
  <c r="O109" i="18"/>
  <c r="N109" i="18"/>
  <c r="M109" i="18"/>
  <c r="K109" i="18"/>
  <c r="J109" i="18"/>
  <c r="H109" i="18"/>
  <c r="G109" i="18"/>
  <c r="F109" i="18"/>
  <c r="E109" i="18"/>
  <c r="C109" i="18"/>
  <c r="B109" i="18"/>
  <c r="P108" i="18"/>
  <c r="O108" i="18"/>
  <c r="N108" i="18"/>
  <c r="M108" i="18"/>
  <c r="K108" i="18"/>
  <c r="J108" i="18"/>
  <c r="H108" i="18"/>
  <c r="G108" i="18"/>
  <c r="F108" i="18"/>
  <c r="E108" i="18"/>
  <c r="C108" i="18"/>
  <c r="B108" i="18"/>
  <c r="P107" i="18"/>
  <c r="O107" i="18"/>
  <c r="N107" i="18"/>
  <c r="M107" i="18"/>
  <c r="K107" i="18"/>
  <c r="J107" i="18"/>
  <c r="H107" i="18"/>
  <c r="G107" i="18"/>
  <c r="F107" i="18"/>
  <c r="E107" i="18"/>
  <c r="C107" i="18"/>
  <c r="B107" i="18"/>
  <c r="P105" i="18"/>
  <c r="O105" i="18"/>
  <c r="N105" i="18"/>
  <c r="M105" i="18"/>
  <c r="K105" i="18"/>
  <c r="J105" i="18"/>
  <c r="H105" i="18"/>
  <c r="G105" i="18"/>
  <c r="F105" i="18"/>
  <c r="E105" i="18"/>
  <c r="C105" i="18"/>
  <c r="B105" i="18"/>
  <c r="P104" i="18"/>
  <c r="O104" i="18"/>
  <c r="N104" i="18"/>
  <c r="M104" i="18"/>
  <c r="K104" i="18"/>
  <c r="J104" i="18"/>
  <c r="H104" i="18"/>
  <c r="G104" i="18"/>
  <c r="F104" i="18"/>
  <c r="E104" i="18"/>
  <c r="C104" i="18"/>
  <c r="B104" i="18"/>
  <c r="P103" i="18"/>
  <c r="O103" i="18"/>
  <c r="N103" i="18"/>
  <c r="M103" i="18"/>
  <c r="K103" i="18"/>
  <c r="J103" i="18"/>
  <c r="H103" i="18"/>
  <c r="G103" i="18"/>
  <c r="F103" i="18"/>
  <c r="E103" i="18"/>
  <c r="C103" i="18"/>
  <c r="B103" i="18"/>
  <c r="P102" i="18"/>
  <c r="O102" i="18"/>
  <c r="N102" i="18"/>
  <c r="M102" i="18"/>
  <c r="K102" i="18"/>
  <c r="J102" i="18"/>
  <c r="H102" i="18"/>
  <c r="G102" i="18"/>
  <c r="F102" i="18"/>
  <c r="E102" i="18"/>
  <c r="C102" i="18"/>
  <c r="B102" i="18"/>
  <c r="P90" i="18"/>
  <c r="O90" i="18"/>
  <c r="N90" i="18"/>
  <c r="M90" i="18"/>
  <c r="K90" i="18"/>
  <c r="J90" i="18"/>
  <c r="H90" i="18"/>
  <c r="G90" i="18"/>
  <c r="F90" i="18"/>
  <c r="E90" i="18"/>
  <c r="C90" i="18"/>
  <c r="B90" i="18"/>
  <c r="P89" i="18"/>
  <c r="O89" i="18"/>
  <c r="N89" i="18"/>
  <c r="M89" i="18"/>
  <c r="K89" i="18"/>
  <c r="J89" i="18"/>
  <c r="H89" i="18"/>
  <c r="G89" i="18"/>
  <c r="F89" i="18"/>
  <c r="E89" i="18"/>
  <c r="C89" i="18"/>
  <c r="B89" i="18"/>
  <c r="P88" i="18"/>
  <c r="O88" i="18"/>
  <c r="N88" i="18"/>
  <c r="M88" i="18"/>
  <c r="K88" i="18"/>
  <c r="J88" i="18"/>
  <c r="H88" i="18"/>
  <c r="G88" i="18"/>
  <c r="F88" i="18"/>
  <c r="E88" i="18"/>
  <c r="C88" i="18"/>
  <c r="B88" i="18"/>
  <c r="P87" i="18"/>
  <c r="O87" i="18"/>
  <c r="N87" i="18"/>
  <c r="M87" i="18"/>
  <c r="K87" i="18"/>
  <c r="J87" i="18"/>
  <c r="H87" i="18"/>
  <c r="G87" i="18"/>
  <c r="F87" i="18"/>
  <c r="E87" i="18"/>
  <c r="C87" i="18"/>
  <c r="B87" i="18"/>
  <c r="P85" i="18"/>
  <c r="O85" i="18"/>
  <c r="N85" i="18"/>
  <c r="M85" i="18"/>
  <c r="K85" i="18"/>
  <c r="J85" i="18"/>
  <c r="H85" i="18"/>
  <c r="G85" i="18"/>
  <c r="F85" i="18"/>
  <c r="E85" i="18"/>
  <c r="C85" i="18"/>
  <c r="B85" i="18"/>
  <c r="P84" i="18"/>
  <c r="O84" i="18"/>
  <c r="N84" i="18"/>
  <c r="M84" i="18"/>
  <c r="K84" i="18"/>
  <c r="J84" i="18"/>
  <c r="H84" i="18"/>
  <c r="G84" i="18"/>
  <c r="F84" i="18"/>
  <c r="E84" i="18"/>
  <c r="C84" i="18"/>
  <c r="B84" i="18"/>
  <c r="P83" i="18"/>
  <c r="O83" i="18"/>
  <c r="N83" i="18"/>
  <c r="M83" i="18"/>
  <c r="K83" i="18"/>
  <c r="J83" i="18"/>
  <c r="H83" i="18"/>
  <c r="G83" i="18"/>
  <c r="F83" i="18"/>
  <c r="E83" i="18"/>
  <c r="C83" i="18"/>
  <c r="B83" i="18"/>
  <c r="P82" i="18"/>
  <c r="O82" i="18"/>
  <c r="N82" i="18"/>
  <c r="M82" i="18"/>
  <c r="K82" i="18"/>
  <c r="J82" i="18"/>
  <c r="H82" i="18"/>
  <c r="G82" i="18"/>
  <c r="F82" i="18"/>
  <c r="E82" i="18"/>
  <c r="C82" i="18"/>
  <c r="B82" i="18"/>
  <c r="P80" i="18"/>
  <c r="O80" i="18"/>
  <c r="N80" i="18"/>
  <c r="M80" i="18"/>
  <c r="K80" i="18"/>
  <c r="J80" i="18"/>
  <c r="H80" i="18"/>
  <c r="G80" i="18"/>
  <c r="F80" i="18"/>
  <c r="E80" i="18"/>
  <c r="C80" i="18"/>
  <c r="B80" i="18"/>
  <c r="P79" i="18"/>
  <c r="O79" i="18"/>
  <c r="N79" i="18"/>
  <c r="M79" i="18"/>
  <c r="K79" i="18"/>
  <c r="J79" i="18"/>
  <c r="H79" i="18"/>
  <c r="G79" i="18"/>
  <c r="F79" i="18"/>
  <c r="E79" i="18"/>
  <c r="C79" i="18"/>
  <c r="B79" i="18"/>
  <c r="P78" i="18"/>
  <c r="O78" i="18"/>
  <c r="N78" i="18"/>
  <c r="M78" i="18"/>
  <c r="K78" i="18"/>
  <c r="J78" i="18"/>
  <c r="H78" i="18"/>
  <c r="G78" i="18"/>
  <c r="F78" i="18"/>
  <c r="E78" i="18"/>
  <c r="C78" i="18"/>
  <c r="B78" i="18"/>
  <c r="P77" i="18"/>
  <c r="O77" i="18"/>
  <c r="N77" i="18"/>
  <c r="M77" i="18"/>
  <c r="K77" i="18"/>
  <c r="J77" i="18"/>
  <c r="H77" i="18"/>
  <c r="G77" i="18"/>
  <c r="F77" i="18"/>
  <c r="E77" i="18"/>
  <c r="C77" i="18"/>
  <c r="B77" i="18"/>
  <c r="P75" i="18"/>
  <c r="O75" i="18"/>
  <c r="N75" i="18"/>
  <c r="M75" i="18"/>
  <c r="K75" i="18"/>
  <c r="J75" i="18"/>
  <c r="H75" i="18"/>
  <c r="G75" i="18"/>
  <c r="F75" i="18"/>
  <c r="E75" i="18"/>
  <c r="C75" i="18"/>
  <c r="B75" i="18"/>
  <c r="P74" i="18"/>
  <c r="O74" i="18"/>
  <c r="N74" i="18"/>
  <c r="M74" i="18"/>
  <c r="K74" i="18"/>
  <c r="J74" i="18"/>
  <c r="H74" i="18"/>
  <c r="G74" i="18"/>
  <c r="F74" i="18"/>
  <c r="E74" i="18"/>
  <c r="C74" i="18"/>
  <c r="B74" i="18"/>
  <c r="P73" i="18"/>
  <c r="O73" i="18"/>
  <c r="N73" i="18"/>
  <c r="M73" i="18"/>
  <c r="L73" i="18" s="1"/>
  <c r="K73" i="18"/>
  <c r="J73" i="18"/>
  <c r="H73" i="18"/>
  <c r="G73" i="18"/>
  <c r="F73" i="18"/>
  <c r="E73" i="18"/>
  <c r="C73" i="18"/>
  <c r="B73" i="18"/>
  <c r="P72" i="18"/>
  <c r="O72" i="18"/>
  <c r="N72" i="18"/>
  <c r="M72" i="18"/>
  <c r="K72" i="18"/>
  <c r="J72" i="18"/>
  <c r="H72" i="18"/>
  <c r="G72" i="18"/>
  <c r="F72" i="18"/>
  <c r="E72" i="18"/>
  <c r="C72" i="18"/>
  <c r="B72" i="18"/>
  <c r="P59" i="18"/>
  <c r="O59" i="18"/>
  <c r="N59" i="18"/>
  <c r="M59" i="18"/>
  <c r="K59" i="18"/>
  <c r="J59" i="18"/>
  <c r="H59" i="18"/>
  <c r="G59" i="18"/>
  <c r="F59" i="18"/>
  <c r="E59" i="18"/>
  <c r="C59" i="18"/>
  <c r="B59" i="18"/>
  <c r="P58" i="18"/>
  <c r="O58" i="18"/>
  <c r="N58" i="18"/>
  <c r="M58" i="18"/>
  <c r="K58" i="18"/>
  <c r="J58" i="18"/>
  <c r="H58" i="18"/>
  <c r="G58" i="18"/>
  <c r="F58" i="18"/>
  <c r="E58" i="18"/>
  <c r="C58" i="18"/>
  <c r="B58" i="18"/>
  <c r="P57" i="18"/>
  <c r="O57" i="18"/>
  <c r="N57" i="18"/>
  <c r="M57" i="18"/>
  <c r="K57" i="18"/>
  <c r="J57" i="18"/>
  <c r="H57" i="18"/>
  <c r="G57" i="18"/>
  <c r="F57" i="18"/>
  <c r="E57" i="18"/>
  <c r="C57" i="18"/>
  <c r="B57" i="18"/>
  <c r="P56" i="18"/>
  <c r="O56" i="18"/>
  <c r="N56" i="18"/>
  <c r="M56" i="18"/>
  <c r="K56" i="18"/>
  <c r="J56" i="18"/>
  <c r="H56" i="18"/>
  <c r="G56" i="18"/>
  <c r="F56" i="18"/>
  <c r="E56" i="18"/>
  <c r="C56" i="18"/>
  <c r="B56" i="18"/>
  <c r="P54" i="18"/>
  <c r="O54" i="18"/>
  <c r="N54" i="18"/>
  <c r="M54" i="18"/>
  <c r="K54" i="18"/>
  <c r="J54" i="18"/>
  <c r="H54" i="18"/>
  <c r="G54" i="18"/>
  <c r="F54" i="18"/>
  <c r="E54" i="18"/>
  <c r="C54" i="18"/>
  <c r="B54" i="18"/>
  <c r="P53" i="18"/>
  <c r="O53" i="18"/>
  <c r="N53" i="18"/>
  <c r="M53" i="18"/>
  <c r="K53" i="18"/>
  <c r="J53" i="18"/>
  <c r="H53" i="18"/>
  <c r="G53" i="18"/>
  <c r="F53" i="18"/>
  <c r="E53" i="18"/>
  <c r="C53" i="18"/>
  <c r="B53" i="18"/>
  <c r="P52" i="18"/>
  <c r="O52" i="18"/>
  <c r="N52" i="18"/>
  <c r="M52" i="18"/>
  <c r="K52" i="18"/>
  <c r="J52" i="18"/>
  <c r="H52" i="18"/>
  <c r="G52" i="18"/>
  <c r="F52" i="18"/>
  <c r="E52" i="18"/>
  <c r="C52" i="18"/>
  <c r="B52" i="18"/>
  <c r="P51" i="18"/>
  <c r="O51" i="18"/>
  <c r="N51" i="18"/>
  <c r="M51" i="18"/>
  <c r="K51" i="18"/>
  <c r="J51" i="18"/>
  <c r="H51" i="18"/>
  <c r="G51" i="18"/>
  <c r="F51" i="18"/>
  <c r="E51" i="18"/>
  <c r="C51" i="18"/>
  <c r="B51" i="18"/>
  <c r="P49" i="18"/>
  <c r="O49" i="18"/>
  <c r="N49" i="18"/>
  <c r="M49" i="18"/>
  <c r="K49" i="18"/>
  <c r="J49" i="18"/>
  <c r="H49" i="18"/>
  <c r="G49" i="18"/>
  <c r="F49" i="18"/>
  <c r="E49" i="18"/>
  <c r="C49" i="18"/>
  <c r="B49" i="18"/>
  <c r="P48" i="18"/>
  <c r="O48" i="18"/>
  <c r="N48" i="18"/>
  <c r="M48" i="18"/>
  <c r="K48" i="18"/>
  <c r="J48" i="18"/>
  <c r="H48" i="18"/>
  <c r="G48" i="18"/>
  <c r="F48" i="18"/>
  <c r="E48" i="18"/>
  <c r="C48" i="18"/>
  <c r="B48" i="18"/>
  <c r="P47" i="18"/>
  <c r="O47" i="18"/>
  <c r="N47" i="18"/>
  <c r="M47" i="18"/>
  <c r="K47" i="18"/>
  <c r="J47" i="18"/>
  <c r="H47" i="18"/>
  <c r="G47" i="18"/>
  <c r="F47" i="18"/>
  <c r="E47" i="18"/>
  <c r="C47" i="18"/>
  <c r="B47" i="18"/>
  <c r="P46" i="18"/>
  <c r="O46" i="18"/>
  <c r="N46" i="18"/>
  <c r="M46" i="18"/>
  <c r="K46" i="18"/>
  <c r="J46" i="18"/>
  <c r="H46" i="18"/>
  <c r="G46" i="18"/>
  <c r="F46" i="18"/>
  <c r="E46" i="18"/>
  <c r="C46" i="18"/>
  <c r="B46" i="18"/>
  <c r="P44" i="18"/>
  <c r="O44" i="18"/>
  <c r="N44" i="18"/>
  <c r="M44" i="18"/>
  <c r="K44" i="18"/>
  <c r="J44" i="18"/>
  <c r="H44" i="18"/>
  <c r="G44" i="18"/>
  <c r="F44" i="18"/>
  <c r="E44" i="18"/>
  <c r="C44" i="18"/>
  <c r="B44" i="18"/>
  <c r="P43" i="18"/>
  <c r="O43" i="18"/>
  <c r="N43" i="18"/>
  <c r="M43" i="18"/>
  <c r="K43" i="18"/>
  <c r="J43" i="18"/>
  <c r="H43" i="18"/>
  <c r="G43" i="18"/>
  <c r="F43" i="18"/>
  <c r="E43" i="18"/>
  <c r="C43" i="18"/>
  <c r="B43" i="18"/>
  <c r="P42" i="18"/>
  <c r="O42" i="18"/>
  <c r="N42" i="18"/>
  <c r="M42" i="18"/>
  <c r="K42" i="18"/>
  <c r="J42" i="18"/>
  <c r="H42" i="18"/>
  <c r="G42" i="18"/>
  <c r="F42" i="18"/>
  <c r="E42" i="18"/>
  <c r="C42" i="18"/>
  <c r="B42" i="18"/>
  <c r="P41" i="18"/>
  <c r="O41" i="18"/>
  <c r="N41" i="18"/>
  <c r="M41" i="18"/>
  <c r="K41" i="18"/>
  <c r="J41" i="18"/>
  <c r="H41" i="18"/>
  <c r="G41" i="18"/>
  <c r="F41" i="18"/>
  <c r="E41" i="18"/>
  <c r="C41" i="18"/>
  <c r="B41" i="18"/>
  <c r="P27" i="18"/>
  <c r="O27" i="18"/>
  <c r="N27" i="18"/>
  <c r="M27" i="18"/>
  <c r="K27" i="18"/>
  <c r="J27" i="18"/>
  <c r="H27" i="18"/>
  <c r="G27" i="18"/>
  <c r="F27" i="18"/>
  <c r="E27" i="18"/>
  <c r="C27" i="18"/>
  <c r="B27" i="18"/>
  <c r="P26" i="18"/>
  <c r="O26" i="18"/>
  <c r="N26" i="18"/>
  <c r="M26" i="18"/>
  <c r="K26" i="18"/>
  <c r="J26" i="18"/>
  <c r="H26" i="18"/>
  <c r="G26" i="18"/>
  <c r="F26" i="18"/>
  <c r="E26" i="18"/>
  <c r="C26" i="18"/>
  <c r="B26" i="18"/>
  <c r="P25" i="18"/>
  <c r="O25" i="18"/>
  <c r="N25" i="18"/>
  <c r="M25" i="18"/>
  <c r="K25" i="18"/>
  <c r="J25" i="18"/>
  <c r="H25" i="18"/>
  <c r="G25" i="18"/>
  <c r="F25" i="18"/>
  <c r="E25" i="18"/>
  <c r="C25" i="18"/>
  <c r="B25" i="18"/>
  <c r="P24" i="18"/>
  <c r="O24" i="18"/>
  <c r="N24" i="18"/>
  <c r="M24" i="18"/>
  <c r="K24" i="18"/>
  <c r="J24" i="18"/>
  <c r="H24" i="18"/>
  <c r="G24" i="18"/>
  <c r="F24" i="18"/>
  <c r="E24" i="18"/>
  <c r="C24" i="18"/>
  <c r="B24" i="18"/>
  <c r="P22" i="18"/>
  <c r="O22" i="18"/>
  <c r="N22" i="18"/>
  <c r="M22" i="18"/>
  <c r="K22" i="18"/>
  <c r="J22" i="18"/>
  <c r="H22" i="18"/>
  <c r="G22" i="18"/>
  <c r="F22" i="18"/>
  <c r="E22" i="18"/>
  <c r="C22" i="18"/>
  <c r="B22" i="18"/>
  <c r="P21" i="18"/>
  <c r="O21" i="18"/>
  <c r="N21" i="18"/>
  <c r="M21" i="18"/>
  <c r="K21" i="18"/>
  <c r="J21" i="18"/>
  <c r="H21" i="18"/>
  <c r="G21" i="18"/>
  <c r="F21" i="18"/>
  <c r="E21" i="18"/>
  <c r="C21" i="18"/>
  <c r="B21" i="18"/>
  <c r="P20" i="18"/>
  <c r="O20" i="18"/>
  <c r="N20" i="18"/>
  <c r="M20" i="18"/>
  <c r="K20" i="18"/>
  <c r="J20" i="18"/>
  <c r="H20" i="18"/>
  <c r="G20" i="18"/>
  <c r="F20" i="18"/>
  <c r="E20" i="18"/>
  <c r="C20" i="18"/>
  <c r="B20" i="18"/>
  <c r="P19" i="18"/>
  <c r="O19" i="18"/>
  <c r="N19" i="18"/>
  <c r="M19" i="18"/>
  <c r="K19" i="18"/>
  <c r="J19" i="18"/>
  <c r="H19" i="18"/>
  <c r="G19" i="18"/>
  <c r="F19" i="18"/>
  <c r="E19" i="18"/>
  <c r="C19" i="18"/>
  <c r="B19" i="18"/>
  <c r="P17" i="18"/>
  <c r="O17" i="18"/>
  <c r="N17" i="18"/>
  <c r="M17" i="18"/>
  <c r="K17" i="18"/>
  <c r="J17" i="18"/>
  <c r="H17" i="18"/>
  <c r="G17" i="18"/>
  <c r="F17" i="18"/>
  <c r="E17" i="18"/>
  <c r="C17" i="18"/>
  <c r="B17" i="18"/>
  <c r="P16" i="18"/>
  <c r="O16" i="18"/>
  <c r="N16" i="18"/>
  <c r="M16" i="18"/>
  <c r="K16" i="18"/>
  <c r="J16" i="18"/>
  <c r="H16" i="18"/>
  <c r="G16" i="18"/>
  <c r="F16" i="18"/>
  <c r="E16" i="18"/>
  <c r="C16" i="18"/>
  <c r="B16" i="18"/>
  <c r="P15" i="18"/>
  <c r="O15" i="18"/>
  <c r="N15" i="18"/>
  <c r="M15" i="18"/>
  <c r="K15" i="18"/>
  <c r="J15" i="18"/>
  <c r="H15" i="18"/>
  <c r="G15" i="18"/>
  <c r="F15" i="18"/>
  <c r="E15" i="18"/>
  <c r="C15" i="18"/>
  <c r="B15" i="18"/>
  <c r="P14" i="18"/>
  <c r="O14" i="18"/>
  <c r="N14" i="18"/>
  <c r="M14" i="18"/>
  <c r="K14" i="18"/>
  <c r="J14" i="18"/>
  <c r="H14" i="18"/>
  <c r="G14" i="18"/>
  <c r="F14" i="18"/>
  <c r="E14" i="18"/>
  <c r="C14" i="18"/>
  <c r="B14" i="18"/>
  <c r="P12" i="18"/>
  <c r="O12" i="18"/>
  <c r="N12" i="18"/>
  <c r="M12" i="18"/>
  <c r="K12" i="18"/>
  <c r="J12" i="18"/>
  <c r="H12" i="18"/>
  <c r="G12" i="18"/>
  <c r="F12" i="18"/>
  <c r="E12" i="18"/>
  <c r="C12" i="18"/>
  <c r="B12" i="18"/>
  <c r="P11" i="18"/>
  <c r="O11" i="18"/>
  <c r="N11" i="18"/>
  <c r="M11" i="18"/>
  <c r="K11" i="18"/>
  <c r="J11" i="18"/>
  <c r="H11" i="18"/>
  <c r="G11" i="18"/>
  <c r="F11" i="18"/>
  <c r="E11" i="18"/>
  <c r="C11" i="18"/>
  <c r="B11" i="18"/>
  <c r="P10" i="18"/>
  <c r="O10" i="18"/>
  <c r="N10" i="18"/>
  <c r="M10" i="18"/>
  <c r="K10" i="18"/>
  <c r="J10" i="18"/>
  <c r="H10" i="18"/>
  <c r="G10" i="18"/>
  <c r="F10" i="18"/>
  <c r="E10" i="18"/>
  <c r="C10" i="18"/>
  <c r="B10" i="18"/>
  <c r="P9" i="18"/>
  <c r="O9" i="18"/>
  <c r="N9" i="18"/>
  <c r="M9" i="18"/>
  <c r="K9" i="18"/>
  <c r="J9" i="18"/>
  <c r="H9" i="18"/>
  <c r="G9" i="18"/>
  <c r="F9" i="18"/>
  <c r="E9" i="18"/>
  <c r="C9" i="18"/>
  <c r="B9" i="18"/>
  <c r="Q454" i="18"/>
  <c r="Q449" i="18"/>
  <c r="Q444" i="18"/>
  <c r="Q439" i="18"/>
  <c r="Q438" i="18"/>
  <c r="Q437" i="18"/>
  <c r="Q436" i="18"/>
  <c r="Q435" i="18"/>
  <c r="Q434" i="18"/>
  <c r="Q433" i="18"/>
  <c r="Q432" i="18"/>
  <c r="Q431" i="18"/>
  <c r="Q430" i="18"/>
  <c r="Q429" i="18"/>
  <c r="Q424" i="18"/>
  <c r="Q419" i="18"/>
  <c r="Q414" i="18"/>
  <c r="Q409" i="18"/>
  <c r="Q408" i="18"/>
  <c r="Q407" i="18"/>
  <c r="Q406" i="18"/>
  <c r="Q405" i="18"/>
  <c r="Q404" i="18"/>
  <c r="Q403" i="18"/>
  <c r="Q402" i="18"/>
  <c r="Q401" i="18"/>
  <c r="Q400" i="18"/>
  <c r="Q399" i="18"/>
  <c r="Q394" i="18"/>
  <c r="Q389" i="18"/>
  <c r="Q384" i="18"/>
  <c r="Q379" i="18"/>
  <c r="Q378" i="18"/>
  <c r="Q377" i="18"/>
  <c r="Q376" i="18"/>
  <c r="Q375" i="18"/>
  <c r="Q374" i="18"/>
  <c r="Q373" i="18"/>
  <c r="Q372" i="18"/>
  <c r="Q371" i="18"/>
  <c r="Q370" i="18"/>
  <c r="Q369" i="18"/>
  <c r="Q368" i="18"/>
  <c r="Q363" i="18"/>
  <c r="Q358" i="18"/>
  <c r="Q353" i="18"/>
  <c r="Q348" i="18"/>
  <c r="Q347" i="18"/>
  <c r="Q346" i="18"/>
  <c r="Q345" i="18"/>
  <c r="Q344" i="18"/>
  <c r="Q343" i="18"/>
  <c r="Q342" i="18"/>
  <c r="Q341" i="18"/>
  <c r="Q340" i="18"/>
  <c r="Q338" i="18"/>
  <c r="Q337" i="18"/>
  <c r="Q332" i="18"/>
  <c r="Q327" i="18"/>
  <c r="Q322" i="18"/>
  <c r="Q317" i="18"/>
  <c r="Q316" i="18"/>
  <c r="Q315" i="18"/>
  <c r="Q314" i="18"/>
  <c r="Q313" i="18"/>
  <c r="Q312" i="18"/>
  <c r="Q311" i="18"/>
  <c r="Q310" i="18"/>
  <c r="Q309" i="18"/>
  <c r="Q308" i="18"/>
  <c r="Q307" i="18"/>
  <c r="Q306" i="18"/>
  <c r="Q301" i="18"/>
  <c r="Q296" i="18"/>
  <c r="Q291" i="18"/>
  <c r="Q286" i="18"/>
  <c r="Q285" i="18"/>
  <c r="Q284" i="18"/>
  <c r="Q283" i="18"/>
  <c r="Q282" i="18"/>
  <c r="Q281" i="18"/>
  <c r="Q280" i="18"/>
  <c r="Q279" i="18"/>
  <c r="Q278" i="18"/>
  <c r="Q277" i="18"/>
  <c r="Q276" i="18"/>
  <c r="Q275" i="18"/>
  <c r="Q270" i="18"/>
  <c r="Q265" i="18"/>
  <c r="Q260" i="18"/>
  <c r="Q255" i="18"/>
  <c r="Q254" i="18"/>
  <c r="Q253" i="18"/>
  <c r="Q252" i="18"/>
  <c r="Q251" i="18"/>
  <c r="Q250" i="18"/>
  <c r="Q249" i="18"/>
  <c r="Q248" i="18"/>
  <c r="Q247" i="18"/>
  <c r="Q246" i="18"/>
  <c r="Q245" i="18"/>
  <c r="Q244" i="18"/>
  <c r="Q239" i="18"/>
  <c r="Q234" i="18"/>
  <c r="Q229" i="18"/>
  <c r="Q224" i="18"/>
  <c r="Q223" i="18"/>
  <c r="Q222" i="18"/>
  <c r="Q221" i="18"/>
  <c r="Q220" i="18"/>
  <c r="Q219" i="18"/>
  <c r="Q218" i="18"/>
  <c r="Q217" i="18"/>
  <c r="R216" i="18"/>
  <c r="Q216" i="18"/>
  <c r="R215" i="18"/>
  <c r="Q215" i="18"/>
  <c r="R214" i="18"/>
  <c r="Q214" i="18"/>
  <c r="R213" i="18"/>
  <c r="Q213" i="18"/>
  <c r="R208" i="18"/>
  <c r="Q208" i="18"/>
  <c r="R203" i="18"/>
  <c r="Q203" i="18"/>
  <c r="R198" i="18"/>
  <c r="Q198" i="18"/>
  <c r="R193" i="18"/>
  <c r="Q193" i="18"/>
  <c r="R192" i="18"/>
  <c r="Q192" i="18"/>
  <c r="R191" i="18"/>
  <c r="Q191" i="18"/>
  <c r="R190" i="18"/>
  <c r="Q190" i="18"/>
  <c r="R189" i="18"/>
  <c r="Q189" i="18"/>
  <c r="R188" i="18"/>
  <c r="Q188" i="18"/>
  <c r="R187" i="18"/>
  <c r="Q187" i="18"/>
  <c r="R186" i="18"/>
  <c r="Q186" i="18"/>
  <c r="R185" i="18"/>
  <c r="Q185" i="18"/>
  <c r="R184" i="18"/>
  <c r="Q184" i="18"/>
  <c r="R183" i="18"/>
  <c r="Q183" i="18"/>
  <c r="R178" i="18"/>
  <c r="Q178" i="18"/>
  <c r="R173" i="18"/>
  <c r="Q173" i="18"/>
  <c r="R168" i="18"/>
  <c r="Q168" i="18"/>
  <c r="R163" i="18"/>
  <c r="Q163" i="18"/>
  <c r="R162" i="18"/>
  <c r="Q162" i="18"/>
  <c r="R161" i="18"/>
  <c r="Q161" i="18"/>
  <c r="R160" i="18"/>
  <c r="Q160" i="18"/>
  <c r="R159" i="18"/>
  <c r="Q159" i="18"/>
  <c r="R158" i="18"/>
  <c r="Q158" i="18"/>
  <c r="R157" i="18"/>
  <c r="Q157" i="18"/>
  <c r="R156" i="18"/>
  <c r="Q156" i="18"/>
  <c r="R155" i="18"/>
  <c r="Q155" i="18"/>
  <c r="R153" i="18"/>
  <c r="Q153" i="18"/>
  <c r="R152" i="18"/>
  <c r="Q152" i="18"/>
  <c r="R147" i="18"/>
  <c r="Q147" i="18"/>
  <c r="R142" i="18"/>
  <c r="Q142" i="18"/>
  <c r="R137" i="18"/>
  <c r="Q137" i="18"/>
  <c r="R132" i="18"/>
  <c r="Q132" i="18"/>
  <c r="R131" i="18"/>
  <c r="Q131" i="18"/>
  <c r="R130" i="18"/>
  <c r="Q130" i="18"/>
  <c r="R129" i="18"/>
  <c r="Q129" i="18"/>
  <c r="R128" i="18"/>
  <c r="Q128" i="18"/>
  <c r="R127" i="18"/>
  <c r="Q127" i="18"/>
  <c r="R126" i="18"/>
  <c r="Q126" i="18"/>
  <c r="R125" i="18"/>
  <c r="Q125" i="18"/>
  <c r="R124" i="18"/>
  <c r="Q124" i="18"/>
  <c r="R123" i="18"/>
  <c r="Q123" i="18"/>
  <c r="R122" i="18"/>
  <c r="Q122" i="18"/>
  <c r="R121" i="18"/>
  <c r="Q121" i="18"/>
  <c r="R116" i="18"/>
  <c r="Q116" i="18"/>
  <c r="R111" i="18"/>
  <c r="Q111" i="18"/>
  <c r="R106" i="18"/>
  <c r="Q106" i="18"/>
  <c r="R101" i="18"/>
  <c r="Q101" i="18"/>
  <c r="R100" i="18"/>
  <c r="Q100" i="18"/>
  <c r="R99" i="18"/>
  <c r="Q99" i="18"/>
  <c r="R98" i="18"/>
  <c r="Q98" i="18"/>
  <c r="R97" i="18"/>
  <c r="Q97" i="18"/>
  <c r="R96" i="18"/>
  <c r="Q96" i="18"/>
  <c r="R95" i="18"/>
  <c r="Q95" i="18"/>
  <c r="R94" i="18"/>
  <c r="Q94" i="18"/>
  <c r="R93" i="18"/>
  <c r="Q93" i="18"/>
  <c r="R92" i="18"/>
  <c r="Q92" i="18"/>
  <c r="R91" i="18"/>
  <c r="Q91" i="18"/>
  <c r="R86" i="18"/>
  <c r="Q86" i="18"/>
  <c r="R81" i="18"/>
  <c r="Q81" i="18"/>
  <c r="R76" i="18"/>
  <c r="Q76" i="18"/>
  <c r="R71" i="18"/>
  <c r="Q71" i="18"/>
  <c r="R70" i="18"/>
  <c r="Q70" i="18"/>
  <c r="R69" i="18"/>
  <c r="Q69" i="18"/>
  <c r="R68" i="18"/>
  <c r="Q68" i="18"/>
  <c r="R67" i="18"/>
  <c r="Q67" i="18"/>
  <c r="R66" i="18"/>
  <c r="Q66" i="18"/>
  <c r="R65" i="18"/>
  <c r="Q65" i="18"/>
  <c r="R64" i="18"/>
  <c r="Q64" i="18"/>
  <c r="R63" i="18"/>
  <c r="Q63" i="18"/>
  <c r="R62" i="18"/>
  <c r="Q62" i="18"/>
  <c r="R61" i="18"/>
  <c r="Q61" i="18"/>
  <c r="R60" i="18"/>
  <c r="Q60" i="18"/>
  <c r="R55" i="18"/>
  <c r="Q55" i="18"/>
  <c r="R50" i="18"/>
  <c r="Q50" i="18"/>
  <c r="R45" i="18"/>
  <c r="Q45" i="18"/>
  <c r="R40" i="18"/>
  <c r="Q40" i="18"/>
  <c r="R39" i="18"/>
  <c r="Q39" i="18"/>
  <c r="R38" i="18"/>
  <c r="Q38" i="18"/>
  <c r="R37" i="18"/>
  <c r="Q37" i="18"/>
  <c r="R36" i="18"/>
  <c r="Q36" i="18"/>
  <c r="R35" i="18"/>
  <c r="Q35" i="18"/>
  <c r="R34" i="18"/>
  <c r="Q34" i="18"/>
  <c r="R33" i="18"/>
  <c r="Q33" i="18"/>
  <c r="R32" i="18"/>
  <c r="Q32" i="18"/>
  <c r="R31" i="18"/>
  <c r="Q31" i="18"/>
  <c r="R30" i="18"/>
  <c r="Q30" i="18"/>
  <c r="R29" i="18"/>
  <c r="Q29" i="18"/>
  <c r="R28" i="18"/>
  <c r="Q28" i="18"/>
  <c r="R23" i="18"/>
  <c r="Q23" i="18"/>
  <c r="R18" i="18"/>
  <c r="Q18" i="18"/>
  <c r="R13" i="18"/>
  <c r="Q13" i="18"/>
  <c r="H458" i="17"/>
  <c r="G458" i="17"/>
  <c r="F458" i="17"/>
  <c r="E458" i="17"/>
  <c r="C458" i="17"/>
  <c r="B458" i="17"/>
  <c r="H457" i="17"/>
  <c r="G457" i="17"/>
  <c r="F457" i="17"/>
  <c r="E457" i="17"/>
  <c r="C457" i="17"/>
  <c r="B457" i="17"/>
  <c r="H456" i="17"/>
  <c r="G456" i="17"/>
  <c r="F456" i="17"/>
  <c r="E456" i="17"/>
  <c r="C456" i="17"/>
  <c r="B456" i="17"/>
  <c r="H455" i="17"/>
  <c r="G455" i="17"/>
  <c r="F455" i="17"/>
  <c r="E455" i="17"/>
  <c r="C455" i="17"/>
  <c r="B455" i="17"/>
  <c r="H453" i="17"/>
  <c r="G453" i="17"/>
  <c r="F453" i="17"/>
  <c r="E453" i="17"/>
  <c r="C453" i="17"/>
  <c r="B453" i="17"/>
  <c r="H452" i="17"/>
  <c r="G452" i="17"/>
  <c r="F452" i="17"/>
  <c r="E452" i="17"/>
  <c r="C452" i="17"/>
  <c r="B452" i="17"/>
  <c r="H451" i="17"/>
  <c r="G451" i="17"/>
  <c r="F451" i="17"/>
  <c r="E451" i="17"/>
  <c r="C451" i="17"/>
  <c r="B451" i="17"/>
  <c r="H450" i="17"/>
  <c r="G450" i="17"/>
  <c r="F450" i="17"/>
  <c r="E450" i="17"/>
  <c r="C450" i="17"/>
  <c r="B450" i="17"/>
  <c r="H448" i="17"/>
  <c r="G448" i="17"/>
  <c r="F448" i="17"/>
  <c r="E448" i="17"/>
  <c r="C448" i="17"/>
  <c r="B448" i="17"/>
  <c r="H447" i="17"/>
  <c r="G447" i="17"/>
  <c r="F447" i="17"/>
  <c r="E447" i="17"/>
  <c r="C447" i="17"/>
  <c r="B447" i="17"/>
  <c r="H446" i="17"/>
  <c r="G446" i="17"/>
  <c r="F446" i="17"/>
  <c r="E446" i="17"/>
  <c r="C446" i="17"/>
  <c r="B446" i="17"/>
  <c r="H445" i="17"/>
  <c r="G445" i="17"/>
  <c r="F445" i="17"/>
  <c r="E445" i="17"/>
  <c r="C445" i="17"/>
  <c r="B445" i="17"/>
  <c r="H443" i="17"/>
  <c r="G443" i="17"/>
  <c r="F443" i="17"/>
  <c r="E443" i="17"/>
  <c r="C443" i="17"/>
  <c r="B443" i="17"/>
  <c r="H442" i="17"/>
  <c r="G442" i="17"/>
  <c r="F442" i="17"/>
  <c r="E442" i="17"/>
  <c r="C442" i="17"/>
  <c r="B442" i="17"/>
  <c r="H441" i="17"/>
  <c r="G441" i="17"/>
  <c r="F441" i="17"/>
  <c r="E441" i="17"/>
  <c r="C441" i="17"/>
  <c r="B441" i="17"/>
  <c r="H440" i="17"/>
  <c r="G440" i="17"/>
  <c r="F440" i="17"/>
  <c r="E440" i="17"/>
  <c r="C440" i="17"/>
  <c r="B440" i="17"/>
  <c r="H428" i="17"/>
  <c r="G428" i="17"/>
  <c r="F428" i="17"/>
  <c r="E428" i="17"/>
  <c r="C428" i="17"/>
  <c r="B428" i="17"/>
  <c r="H427" i="17"/>
  <c r="G427" i="17"/>
  <c r="F427" i="17"/>
  <c r="E427" i="17"/>
  <c r="C427" i="17"/>
  <c r="B427" i="17"/>
  <c r="H426" i="17"/>
  <c r="G426" i="17"/>
  <c r="F426" i="17"/>
  <c r="E426" i="17"/>
  <c r="C426" i="17"/>
  <c r="B426" i="17"/>
  <c r="H425" i="17"/>
  <c r="G425" i="17"/>
  <c r="F425" i="17"/>
  <c r="E425" i="17"/>
  <c r="C425" i="17"/>
  <c r="B425" i="17"/>
  <c r="H423" i="17"/>
  <c r="G423" i="17"/>
  <c r="F423" i="17"/>
  <c r="E423" i="17"/>
  <c r="C423" i="17"/>
  <c r="B423" i="17"/>
  <c r="H422" i="17"/>
  <c r="G422" i="17"/>
  <c r="F422" i="17"/>
  <c r="E422" i="17"/>
  <c r="C422" i="17"/>
  <c r="B422" i="17"/>
  <c r="H421" i="17"/>
  <c r="G421" i="17"/>
  <c r="F421" i="17"/>
  <c r="E421" i="17"/>
  <c r="C421" i="17"/>
  <c r="B421" i="17"/>
  <c r="H420" i="17"/>
  <c r="G420" i="17"/>
  <c r="F420" i="17"/>
  <c r="E420" i="17"/>
  <c r="C420" i="17"/>
  <c r="B420" i="17"/>
  <c r="H418" i="17"/>
  <c r="G418" i="17"/>
  <c r="F418" i="17"/>
  <c r="E418" i="17"/>
  <c r="C418" i="17"/>
  <c r="B418" i="17"/>
  <c r="H417" i="17"/>
  <c r="G417" i="17"/>
  <c r="F417" i="17"/>
  <c r="E417" i="17"/>
  <c r="C417" i="17"/>
  <c r="B417" i="17"/>
  <c r="H416" i="17"/>
  <c r="G416" i="17"/>
  <c r="F416" i="17"/>
  <c r="E416" i="17"/>
  <c r="C416" i="17"/>
  <c r="B416" i="17"/>
  <c r="H415" i="17"/>
  <c r="G415" i="17"/>
  <c r="F415" i="17"/>
  <c r="E415" i="17"/>
  <c r="C415" i="17"/>
  <c r="B415" i="17"/>
  <c r="H413" i="17"/>
  <c r="G413" i="17"/>
  <c r="F413" i="17"/>
  <c r="E413" i="17"/>
  <c r="C413" i="17"/>
  <c r="B413" i="17"/>
  <c r="H412" i="17"/>
  <c r="G412" i="17"/>
  <c r="F412" i="17"/>
  <c r="E412" i="17"/>
  <c r="C412" i="17"/>
  <c r="B412" i="17"/>
  <c r="H411" i="17"/>
  <c r="G411" i="17"/>
  <c r="F411" i="17"/>
  <c r="E411" i="17"/>
  <c r="C411" i="17"/>
  <c r="B411" i="17"/>
  <c r="H410" i="17"/>
  <c r="G410" i="17"/>
  <c r="F410" i="17"/>
  <c r="E410" i="17"/>
  <c r="C410" i="17"/>
  <c r="B410" i="17"/>
  <c r="H398" i="17"/>
  <c r="G398" i="17"/>
  <c r="F398" i="17"/>
  <c r="E398" i="17"/>
  <c r="C398" i="17"/>
  <c r="B398" i="17"/>
  <c r="H397" i="17"/>
  <c r="G397" i="17"/>
  <c r="F397" i="17"/>
  <c r="E397" i="17"/>
  <c r="C397" i="17"/>
  <c r="B397" i="17"/>
  <c r="H396" i="17"/>
  <c r="G396" i="17"/>
  <c r="F396" i="17"/>
  <c r="E396" i="17"/>
  <c r="C396" i="17"/>
  <c r="B396" i="17"/>
  <c r="H395" i="17"/>
  <c r="G395" i="17"/>
  <c r="F395" i="17"/>
  <c r="E395" i="17"/>
  <c r="C395" i="17"/>
  <c r="B395" i="17"/>
  <c r="H393" i="17"/>
  <c r="G393" i="17"/>
  <c r="F393" i="17"/>
  <c r="E393" i="17"/>
  <c r="C393" i="17"/>
  <c r="B393" i="17"/>
  <c r="H392" i="17"/>
  <c r="G392" i="17"/>
  <c r="F392" i="17"/>
  <c r="E392" i="17"/>
  <c r="C392" i="17"/>
  <c r="B392" i="17"/>
  <c r="H391" i="17"/>
  <c r="G391" i="17"/>
  <c r="F391" i="17"/>
  <c r="E391" i="17"/>
  <c r="C391" i="17"/>
  <c r="B391" i="17"/>
  <c r="H390" i="17"/>
  <c r="G390" i="17"/>
  <c r="F390" i="17"/>
  <c r="E390" i="17"/>
  <c r="C390" i="17"/>
  <c r="B390" i="17"/>
  <c r="H388" i="17"/>
  <c r="G388" i="17"/>
  <c r="F388" i="17"/>
  <c r="E388" i="17"/>
  <c r="C388" i="17"/>
  <c r="B388" i="17"/>
  <c r="H387" i="17"/>
  <c r="G387" i="17"/>
  <c r="F387" i="17"/>
  <c r="E387" i="17"/>
  <c r="C387" i="17"/>
  <c r="B387" i="17"/>
  <c r="H386" i="17"/>
  <c r="G386" i="17"/>
  <c r="F386" i="17"/>
  <c r="E386" i="17"/>
  <c r="C386" i="17"/>
  <c r="B386" i="17"/>
  <c r="H385" i="17"/>
  <c r="G385" i="17"/>
  <c r="F385" i="17"/>
  <c r="E385" i="17"/>
  <c r="C385" i="17"/>
  <c r="B385" i="17"/>
  <c r="H383" i="17"/>
  <c r="G383" i="17"/>
  <c r="F383" i="17"/>
  <c r="E383" i="17"/>
  <c r="C383" i="17"/>
  <c r="B383" i="17"/>
  <c r="H382" i="17"/>
  <c r="G382" i="17"/>
  <c r="F382" i="17"/>
  <c r="E382" i="17"/>
  <c r="C382" i="17"/>
  <c r="B382" i="17"/>
  <c r="H381" i="17"/>
  <c r="G381" i="17"/>
  <c r="F381" i="17"/>
  <c r="E381" i="17"/>
  <c r="C381" i="17"/>
  <c r="B381" i="17"/>
  <c r="H380" i="17"/>
  <c r="G380" i="17"/>
  <c r="F380" i="17"/>
  <c r="E380" i="17"/>
  <c r="C380" i="17"/>
  <c r="B380" i="17"/>
  <c r="H367" i="17"/>
  <c r="G367" i="17"/>
  <c r="F367" i="17"/>
  <c r="E367" i="17"/>
  <c r="C367" i="17"/>
  <c r="B367" i="17"/>
  <c r="H366" i="17"/>
  <c r="G366" i="17"/>
  <c r="F366" i="17"/>
  <c r="E366" i="17"/>
  <c r="C366" i="17"/>
  <c r="B366" i="17"/>
  <c r="H365" i="17"/>
  <c r="G365" i="17"/>
  <c r="F365" i="17"/>
  <c r="E365" i="17"/>
  <c r="C365" i="17"/>
  <c r="B365" i="17"/>
  <c r="H364" i="17"/>
  <c r="G364" i="17"/>
  <c r="F364" i="17"/>
  <c r="E364" i="17"/>
  <c r="C364" i="17"/>
  <c r="B364" i="17"/>
  <c r="H362" i="17"/>
  <c r="G362" i="17"/>
  <c r="F362" i="17"/>
  <c r="E362" i="17"/>
  <c r="C362" i="17"/>
  <c r="B362" i="17"/>
  <c r="H361" i="17"/>
  <c r="G361" i="17"/>
  <c r="F361" i="17"/>
  <c r="E361" i="17"/>
  <c r="C361" i="17"/>
  <c r="B361" i="17"/>
  <c r="H360" i="17"/>
  <c r="G360" i="17"/>
  <c r="F360" i="17"/>
  <c r="E360" i="17"/>
  <c r="C360" i="17"/>
  <c r="B360" i="17"/>
  <c r="H359" i="17"/>
  <c r="G359" i="17"/>
  <c r="F359" i="17"/>
  <c r="E359" i="17"/>
  <c r="C359" i="17"/>
  <c r="B359" i="17"/>
  <c r="H357" i="17"/>
  <c r="G357" i="17"/>
  <c r="F357" i="17"/>
  <c r="E357" i="17"/>
  <c r="C357" i="17"/>
  <c r="B357" i="17"/>
  <c r="H356" i="17"/>
  <c r="G356" i="17"/>
  <c r="F356" i="17"/>
  <c r="E356" i="17"/>
  <c r="C356" i="17"/>
  <c r="B356" i="17"/>
  <c r="H355" i="17"/>
  <c r="G355" i="17"/>
  <c r="F355" i="17"/>
  <c r="E355" i="17"/>
  <c r="C355" i="17"/>
  <c r="B355" i="17"/>
  <c r="H354" i="17"/>
  <c r="G354" i="17"/>
  <c r="F354" i="17"/>
  <c r="E354" i="17"/>
  <c r="C354" i="17"/>
  <c r="B354" i="17"/>
  <c r="H352" i="17"/>
  <c r="G352" i="17"/>
  <c r="F352" i="17"/>
  <c r="E352" i="17"/>
  <c r="C352" i="17"/>
  <c r="B352" i="17"/>
  <c r="H351" i="17"/>
  <c r="G351" i="17"/>
  <c r="F351" i="17"/>
  <c r="E351" i="17"/>
  <c r="C351" i="17"/>
  <c r="B351" i="17"/>
  <c r="H350" i="17"/>
  <c r="G350" i="17"/>
  <c r="F350" i="17"/>
  <c r="E350" i="17"/>
  <c r="C350" i="17"/>
  <c r="B350" i="17"/>
  <c r="H349" i="17"/>
  <c r="G349" i="17"/>
  <c r="F349" i="17"/>
  <c r="E349" i="17"/>
  <c r="C349" i="17"/>
  <c r="B349" i="17"/>
  <c r="H336" i="17"/>
  <c r="G336" i="17"/>
  <c r="F336" i="17"/>
  <c r="E336" i="17"/>
  <c r="C336" i="17"/>
  <c r="B336" i="17"/>
  <c r="H335" i="17"/>
  <c r="G335" i="17"/>
  <c r="F335" i="17"/>
  <c r="E335" i="17"/>
  <c r="C335" i="17"/>
  <c r="B335" i="17"/>
  <c r="H334" i="17"/>
  <c r="G334" i="17"/>
  <c r="F334" i="17"/>
  <c r="E334" i="17"/>
  <c r="C334" i="17"/>
  <c r="B334" i="17"/>
  <c r="H333" i="17"/>
  <c r="G333" i="17"/>
  <c r="F333" i="17"/>
  <c r="E333" i="17"/>
  <c r="C333" i="17"/>
  <c r="B333" i="17"/>
  <c r="H331" i="17"/>
  <c r="G331" i="17"/>
  <c r="F331" i="17"/>
  <c r="E331" i="17"/>
  <c r="C331" i="17"/>
  <c r="B331" i="17"/>
  <c r="H330" i="17"/>
  <c r="G330" i="17"/>
  <c r="F330" i="17"/>
  <c r="E330" i="17"/>
  <c r="C330" i="17"/>
  <c r="B330" i="17"/>
  <c r="H329" i="17"/>
  <c r="G329" i="17"/>
  <c r="F329" i="17"/>
  <c r="E329" i="17"/>
  <c r="C329" i="17"/>
  <c r="B329" i="17"/>
  <c r="H328" i="17"/>
  <c r="G328" i="17"/>
  <c r="F328" i="17"/>
  <c r="E328" i="17"/>
  <c r="C328" i="17"/>
  <c r="B328" i="17"/>
  <c r="H326" i="17"/>
  <c r="G326" i="17"/>
  <c r="F326" i="17"/>
  <c r="E326" i="17"/>
  <c r="C326" i="17"/>
  <c r="B326" i="17"/>
  <c r="H325" i="17"/>
  <c r="G325" i="17"/>
  <c r="F325" i="17"/>
  <c r="E325" i="17"/>
  <c r="C325" i="17"/>
  <c r="B325" i="17"/>
  <c r="H324" i="17"/>
  <c r="G324" i="17"/>
  <c r="F324" i="17"/>
  <c r="E324" i="17"/>
  <c r="C324" i="17"/>
  <c r="B324" i="17"/>
  <c r="H323" i="17"/>
  <c r="G323" i="17"/>
  <c r="F323" i="17"/>
  <c r="E323" i="17"/>
  <c r="C323" i="17"/>
  <c r="B323" i="17"/>
  <c r="H321" i="17"/>
  <c r="G321" i="17"/>
  <c r="F321" i="17"/>
  <c r="E321" i="17"/>
  <c r="C321" i="17"/>
  <c r="B321" i="17"/>
  <c r="H320" i="17"/>
  <c r="G320" i="17"/>
  <c r="F320" i="17"/>
  <c r="E320" i="17"/>
  <c r="C320" i="17"/>
  <c r="B320" i="17"/>
  <c r="H319" i="17"/>
  <c r="G319" i="17"/>
  <c r="F319" i="17"/>
  <c r="E319" i="17"/>
  <c r="C319" i="17"/>
  <c r="B319" i="17"/>
  <c r="H318" i="17"/>
  <c r="G318" i="17"/>
  <c r="F318" i="17"/>
  <c r="E318" i="17"/>
  <c r="C318" i="17"/>
  <c r="B318" i="17"/>
  <c r="H305" i="17"/>
  <c r="G305" i="17"/>
  <c r="F305" i="17"/>
  <c r="E305" i="17"/>
  <c r="C305" i="17"/>
  <c r="B305" i="17"/>
  <c r="H304" i="17"/>
  <c r="G304" i="17"/>
  <c r="F304" i="17"/>
  <c r="E304" i="17"/>
  <c r="C304" i="17"/>
  <c r="B304" i="17"/>
  <c r="H303" i="17"/>
  <c r="G303" i="17"/>
  <c r="F303" i="17"/>
  <c r="E303" i="17"/>
  <c r="C303" i="17"/>
  <c r="B303" i="17"/>
  <c r="H302" i="17"/>
  <c r="G302" i="17"/>
  <c r="F302" i="17"/>
  <c r="E302" i="17"/>
  <c r="C302" i="17"/>
  <c r="B302" i="17"/>
  <c r="H300" i="17"/>
  <c r="G300" i="17"/>
  <c r="F300" i="17"/>
  <c r="E300" i="17"/>
  <c r="C300" i="17"/>
  <c r="B300" i="17"/>
  <c r="H299" i="17"/>
  <c r="G299" i="17"/>
  <c r="F299" i="17"/>
  <c r="E299" i="17"/>
  <c r="C299" i="17"/>
  <c r="B299" i="17"/>
  <c r="H298" i="17"/>
  <c r="G298" i="17"/>
  <c r="F298" i="17"/>
  <c r="E298" i="17"/>
  <c r="C298" i="17"/>
  <c r="B298" i="17"/>
  <c r="H297" i="17"/>
  <c r="G297" i="17"/>
  <c r="F297" i="17"/>
  <c r="E297" i="17"/>
  <c r="C297" i="17"/>
  <c r="B297" i="17"/>
  <c r="H295" i="17"/>
  <c r="G295" i="17"/>
  <c r="F295" i="17"/>
  <c r="E295" i="17"/>
  <c r="C295" i="17"/>
  <c r="B295" i="17"/>
  <c r="H294" i="17"/>
  <c r="G294" i="17"/>
  <c r="F294" i="17"/>
  <c r="E294" i="17"/>
  <c r="C294" i="17"/>
  <c r="B294" i="17"/>
  <c r="H293" i="17"/>
  <c r="G293" i="17"/>
  <c r="F293" i="17"/>
  <c r="E293" i="17"/>
  <c r="C293" i="17"/>
  <c r="B293" i="17"/>
  <c r="H292" i="17"/>
  <c r="G292" i="17"/>
  <c r="F292" i="17"/>
  <c r="E292" i="17"/>
  <c r="C292" i="17"/>
  <c r="B292" i="17"/>
  <c r="H290" i="17"/>
  <c r="G290" i="17"/>
  <c r="F290" i="17"/>
  <c r="E290" i="17"/>
  <c r="C290" i="17"/>
  <c r="B290" i="17"/>
  <c r="H289" i="17"/>
  <c r="G289" i="17"/>
  <c r="F289" i="17"/>
  <c r="E289" i="17"/>
  <c r="C289" i="17"/>
  <c r="B289" i="17"/>
  <c r="H288" i="17"/>
  <c r="G288" i="17"/>
  <c r="F288" i="17"/>
  <c r="E288" i="17"/>
  <c r="C288" i="17"/>
  <c r="B288" i="17"/>
  <c r="H287" i="17"/>
  <c r="G287" i="17"/>
  <c r="F287" i="17"/>
  <c r="E287" i="17"/>
  <c r="C287" i="17"/>
  <c r="B287" i="17"/>
  <c r="H274" i="17"/>
  <c r="G274" i="17"/>
  <c r="F274" i="17"/>
  <c r="E274" i="17"/>
  <c r="C274" i="17"/>
  <c r="B274" i="17"/>
  <c r="H273" i="17"/>
  <c r="G273" i="17"/>
  <c r="F273" i="17"/>
  <c r="E273" i="17"/>
  <c r="C273" i="17"/>
  <c r="B273" i="17"/>
  <c r="H272" i="17"/>
  <c r="G272" i="17"/>
  <c r="F272" i="17"/>
  <c r="E272" i="17"/>
  <c r="C272" i="17"/>
  <c r="B272" i="17"/>
  <c r="H271" i="17"/>
  <c r="G271" i="17"/>
  <c r="F271" i="17"/>
  <c r="E271" i="17"/>
  <c r="C271" i="17"/>
  <c r="B271" i="17"/>
  <c r="H269" i="17"/>
  <c r="G269" i="17"/>
  <c r="F269" i="17"/>
  <c r="E269" i="17"/>
  <c r="C269" i="17"/>
  <c r="B269" i="17"/>
  <c r="H268" i="17"/>
  <c r="G268" i="17"/>
  <c r="F268" i="17"/>
  <c r="E268" i="17"/>
  <c r="C268" i="17"/>
  <c r="B268" i="17"/>
  <c r="H267" i="17"/>
  <c r="G267" i="17"/>
  <c r="F267" i="17"/>
  <c r="E267" i="17"/>
  <c r="C267" i="17"/>
  <c r="B267" i="17"/>
  <c r="H266" i="17"/>
  <c r="G266" i="17"/>
  <c r="F266" i="17"/>
  <c r="E266" i="17"/>
  <c r="C266" i="17"/>
  <c r="B266" i="17"/>
  <c r="H264" i="17"/>
  <c r="G264" i="17"/>
  <c r="F264" i="17"/>
  <c r="E264" i="17"/>
  <c r="C264" i="17"/>
  <c r="B264" i="17"/>
  <c r="H263" i="17"/>
  <c r="G263" i="17"/>
  <c r="F263" i="17"/>
  <c r="E263" i="17"/>
  <c r="C263" i="17"/>
  <c r="B263" i="17"/>
  <c r="H262" i="17"/>
  <c r="G262" i="17"/>
  <c r="F262" i="17"/>
  <c r="E262" i="17"/>
  <c r="C262" i="17"/>
  <c r="B262" i="17"/>
  <c r="H261" i="17"/>
  <c r="G261" i="17"/>
  <c r="F261" i="17"/>
  <c r="E261" i="17"/>
  <c r="C261" i="17"/>
  <c r="B261" i="17"/>
  <c r="H259" i="17"/>
  <c r="G259" i="17"/>
  <c r="F259" i="17"/>
  <c r="E259" i="17"/>
  <c r="C259" i="17"/>
  <c r="B259" i="17"/>
  <c r="H258" i="17"/>
  <c r="G258" i="17"/>
  <c r="F258" i="17"/>
  <c r="E258" i="17"/>
  <c r="C258" i="17"/>
  <c r="B258" i="17"/>
  <c r="H257" i="17"/>
  <c r="G257" i="17"/>
  <c r="F257" i="17"/>
  <c r="E257" i="17"/>
  <c r="C257" i="17"/>
  <c r="B257" i="17"/>
  <c r="H256" i="17"/>
  <c r="G256" i="17"/>
  <c r="F256" i="17"/>
  <c r="E256" i="17"/>
  <c r="C256" i="17"/>
  <c r="B256" i="17"/>
  <c r="H243" i="17"/>
  <c r="G243" i="17"/>
  <c r="F243" i="17"/>
  <c r="E243" i="17"/>
  <c r="C243" i="17"/>
  <c r="B243" i="17"/>
  <c r="H242" i="17"/>
  <c r="G242" i="17"/>
  <c r="F242" i="17"/>
  <c r="E242" i="17"/>
  <c r="C242" i="17"/>
  <c r="B242" i="17"/>
  <c r="H241" i="17"/>
  <c r="G241" i="17"/>
  <c r="F241" i="17"/>
  <c r="E241" i="17"/>
  <c r="C241" i="17"/>
  <c r="B241" i="17"/>
  <c r="H240" i="17"/>
  <c r="G240" i="17"/>
  <c r="F240" i="17"/>
  <c r="E240" i="17"/>
  <c r="C240" i="17"/>
  <c r="B240" i="17"/>
  <c r="H238" i="17"/>
  <c r="G238" i="17"/>
  <c r="F238" i="17"/>
  <c r="E238" i="17"/>
  <c r="C238" i="17"/>
  <c r="B238" i="17"/>
  <c r="H237" i="17"/>
  <c r="G237" i="17"/>
  <c r="F237" i="17"/>
  <c r="E237" i="17"/>
  <c r="C237" i="17"/>
  <c r="B237" i="17"/>
  <c r="H236" i="17"/>
  <c r="G236" i="17"/>
  <c r="F236" i="17"/>
  <c r="E236" i="17"/>
  <c r="C236" i="17"/>
  <c r="B236" i="17"/>
  <c r="H235" i="17"/>
  <c r="G235" i="17"/>
  <c r="F235" i="17"/>
  <c r="E235" i="17"/>
  <c r="C235" i="17"/>
  <c r="B235" i="17"/>
  <c r="H233" i="17"/>
  <c r="G233" i="17"/>
  <c r="F233" i="17"/>
  <c r="E233" i="17"/>
  <c r="C233" i="17"/>
  <c r="B233" i="17"/>
  <c r="H232" i="17"/>
  <c r="G232" i="17"/>
  <c r="F232" i="17"/>
  <c r="E232" i="17"/>
  <c r="C232" i="17"/>
  <c r="B232" i="17"/>
  <c r="H231" i="17"/>
  <c r="G231" i="17"/>
  <c r="F231" i="17"/>
  <c r="E231" i="17"/>
  <c r="C231" i="17"/>
  <c r="B231" i="17"/>
  <c r="H230" i="17"/>
  <c r="G230" i="17"/>
  <c r="F230" i="17"/>
  <c r="E230" i="17"/>
  <c r="C230" i="17"/>
  <c r="B230" i="17"/>
  <c r="H228" i="17"/>
  <c r="G228" i="17"/>
  <c r="F228" i="17"/>
  <c r="E228" i="17"/>
  <c r="C228" i="17"/>
  <c r="B228" i="17"/>
  <c r="H227" i="17"/>
  <c r="G227" i="17"/>
  <c r="F227" i="17"/>
  <c r="E227" i="17"/>
  <c r="C227" i="17"/>
  <c r="B227" i="17"/>
  <c r="H226" i="17"/>
  <c r="G226" i="17"/>
  <c r="F226" i="17"/>
  <c r="E226" i="17"/>
  <c r="C226" i="17"/>
  <c r="B226" i="17"/>
  <c r="H225" i="17"/>
  <c r="G225" i="17"/>
  <c r="F225" i="17"/>
  <c r="E225" i="17"/>
  <c r="C225" i="17"/>
  <c r="B225" i="17"/>
  <c r="P212" i="17"/>
  <c r="O212" i="17"/>
  <c r="N212" i="17"/>
  <c r="M212" i="17"/>
  <c r="K212" i="17"/>
  <c r="J212" i="17"/>
  <c r="H212" i="17"/>
  <c r="G212" i="17"/>
  <c r="F212" i="17"/>
  <c r="E212" i="17"/>
  <c r="C212" i="17"/>
  <c r="B212" i="17"/>
  <c r="P211" i="17"/>
  <c r="O211" i="17"/>
  <c r="N211" i="17"/>
  <c r="M211" i="17"/>
  <c r="K211" i="17"/>
  <c r="J211" i="17"/>
  <c r="H211" i="17"/>
  <c r="G211" i="17"/>
  <c r="F211" i="17"/>
  <c r="E211" i="17"/>
  <c r="C211" i="17"/>
  <c r="B211" i="17"/>
  <c r="P210" i="17"/>
  <c r="O210" i="17"/>
  <c r="N210" i="17"/>
  <c r="M210" i="17"/>
  <c r="K210" i="17"/>
  <c r="J210" i="17"/>
  <c r="H210" i="17"/>
  <c r="G210" i="17"/>
  <c r="F210" i="17"/>
  <c r="E210" i="17"/>
  <c r="C210" i="17"/>
  <c r="B210" i="17"/>
  <c r="P209" i="17"/>
  <c r="O209" i="17"/>
  <c r="N209" i="17"/>
  <c r="M209" i="17"/>
  <c r="K209" i="17"/>
  <c r="J209" i="17"/>
  <c r="H209" i="17"/>
  <c r="G209" i="17"/>
  <c r="F209" i="17"/>
  <c r="E209" i="17"/>
  <c r="C209" i="17"/>
  <c r="B209" i="17"/>
  <c r="P207" i="17"/>
  <c r="O207" i="17"/>
  <c r="N207" i="17"/>
  <c r="M207" i="17"/>
  <c r="K207" i="17"/>
  <c r="J207" i="17"/>
  <c r="H207" i="17"/>
  <c r="G207" i="17"/>
  <c r="F207" i="17"/>
  <c r="E207" i="17"/>
  <c r="C207" i="17"/>
  <c r="B207" i="17"/>
  <c r="P206" i="17"/>
  <c r="O206" i="17"/>
  <c r="N206" i="17"/>
  <c r="M206" i="17"/>
  <c r="K206" i="17"/>
  <c r="J206" i="17"/>
  <c r="H206" i="17"/>
  <c r="G206" i="17"/>
  <c r="F206" i="17"/>
  <c r="E206" i="17"/>
  <c r="C206" i="17"/>
  <c r="B206" i="17"/>
  <c r="P205" i="17"/>
  <c r="O205" i="17"/>
  <c r="N205" i="17"/>
  <c r="M205" i="17"/>
  <c r="K205" i="17"/>
  <c r="J205" i="17"/>
  <c r="H205" i="17"/>
  <c r="G205" i="17"/>
  <c r="F205" i="17"/>
  <c r="E205" i="17"/>
  <c r="C205" i="17"/>
  <c r="B205" i="17"/>
  <c r="P204" i="17"/>
  <c r="O204" i="17"/>
  <c r="N204" i="17"/>
  <c r="M204" i="17"/>
  <c r="K204" i="17"/>
  <c r="J204" i="17"/>
  <c r="H204" i="17"/>
  <c r="G204" i="17"/>
  <c r="F204" i="17"/>
  <c r="E204" i="17"/>
  <c r="C204" i="17"/>
  <c r="B204" i="17"/>
  <c r="P202" i="17"/>
  <c r="O202" i="17"/>
  <c r="N202" i="17"/>
  <c r="M202" i="17"/>
  <c r="K202" i="17"/>
  <c r="J202" i="17"/>
  <c r="H202" i="17"/>
  <c r="G202" i="17"/>
  <c r="F202" i="17"/>
  <c r="E202" i="17"/>
  <c r="C202" i="17"/>
  <c r="B202" i="17"/>
  <c r="P201" i="17"/>
  <c r="O201" i="17"/>
  <c r="N201" i="17"/>
  <c r="M201" i="17"/>
  <c r="K201" i="17"/>
  <c r="J201" i="17"/>
  <c r="H201" i="17"/>
  <c r="G201" i="17"/>
  <c r="F201" i="17"/>
  <c r="E201" i="17"/>
  <c r="C201" i="17"/>
  <c r="B201" i="17"/>
  <c r="P200" i="17"/>
  <c r="O200" i="17"/>
  <c r="N200" i="17"/>
  <c r="M200" i="17"/>
  <c r="K200" i="17"/>
  <c r="J200" i="17"/>
  <c r="H200" i="17"/>
  <c r="G200" i="17"/>
  <c r="F200" i="17"/>
  <c r="E200" i="17"/>
  <c r="C200" i="17"/>
  <c r="B200" i="17"/>
  <c r="P199" i="17"/>
  <c r="O199" i="17"/>
  <c r="N199" i="17"/>
  <c r="M199" i="17"/>
  <c r="K199" i="17"/>
  <c r="J199" i="17"/>
  <c r="H199" i="17"/>
  <c r="G199" i="17"/>
  <c r="F199" i="17"/>
  <c r="E199" i="17"/>
  <c r="C199" i="17"/>
  <c r="B199" i="17"/>
  <c r="P197" i="17"/>
  <c r="O197" i="17"/>
  <c r="N197" i="17"/>
  <c r="M197" i="17"/>
  <c r="K197" i="17"/>
  <c r="J197" i="17"/>
  <c r="H197" i="17"/>
  <c r="G197" i="17"/>
  <c r="F197" i="17"/>
  <c r="E197" i="17"/>
  <c r="C197" i="17"/>
  <c r="B197" i="17"/>
  <c r="P196" i="17"/>
  <c r="O196" i="17"/>
  <c r="N196" i="17"/>
  <c r="M196" i="17"/>
  <c r="K196" i="17"/>
  <c r="J196" i="17"/>
  <c r="H196" i="17"/>
  <c r="G196" i="17"/>
  <c r="F196" i="17"/>
  <c r="E196" i="17"/>
  <c r="C196" i="17"/>
  <c r="B196" i="17"/>
  <c r="P195" i="17"/>
  <c r="O195" i="17"/>
  <c r="N195" i="17"/>
  <c r="M195" i="17"/>
  <c r="K195" i="17"/>
  <c r="J195" i="17"/>
  <c r="H195" i="17"/>
  <c r="G195" i="17"/>
  <c r="F195" i="17"/>
  <c r="E195" i="17"/>
  <c r="C195" i="17"/>
  <c r="B195" i="17"/>
  <c r="P194" i="17"/>
  <c r="O194" i="17"/>
  <c r="N194" i="17"/>
  <c r="M194" i="17"/>
  <c r="K194" i="17"/>
  <c r="J194" i="17"/>
  <c r="H194" i="17"/>
  <c r="G194" i="17"/>
  <c r="F194" i="17"/>
  <c r="E194" i="17"/>
  <c r="C194" i="17"/>
  <c r="B194" i="17"/>
  <c r="P182" i="17"/>
  <c r="O182" i="17"/>
  <c r="N182" i="17"/>
  <c r="M182" i="17"/>
  <c r="K182" i="17"/>
  <c r="J182" i="17"/>
  <c r="H182" i="17"/>
  <c r="G182" i="17"/>
  <c r="F182" i="17"/>
  <c r="E182" i="17"/>
  <c r="C182" i="17"/>
  <c r="B182" i="17"/>
  <c r="P181" i="17"/>
  <c r="O181" i="17"/>
  <c r="N181" i="17"/>
  <c r="M181" i="17"/>
  <c r="K181" i="17"/>
  <c r="J181" i="17"/>
  <c r="H181" i="17"/>
  <c r="G181" i="17"/>
  <c r="F181" i="17"/>
  <c r="E181" i="17"/>
  <c r="C181" i="17"/>
  <c r="B181" i="17"/>
  <c r="P180" i="17"/>
  <c r="O180" i="17"/>
  <c r="N180" i="17"/>
  <c r="M180" i="17"/>
  <c r="K180" i="17"/>
  <c r="J180" i="17"/>
  <c r="H180" i="17"/>
  <c r="G180" i="17"/>
  <c r="F180" i="17"/>
  <c r="E180" i="17"/>
  <c r="C180" i="17"/>
  <c r="B180" i="17"/>
  <c r="P179" i="17"/>
  <c r="O179" i="17"/>
  <c r="N179" i="17"/>
  <c r="M179" i="17"/>
  <c r="K179" i="17"/>
  <c r="J179" i="17"/>
  <c r="H179" i="17"/>
  <c r="G179" i="17"/>
  <c r="F179" i="17"/>
  <c r="E179" i="17"/>
  <c r="C179" i="17"/>
  <c r="B179" i="17"/>
  <c r="P177" i="17"/>
  <c r="O177" i="17"/>
  <c r="N177" i="17"/>
  <c r="M177" i="17"/>
  <c r="K177" i="17"/>
  <c r="J177" i="17"/>
  <c r="H177" i="17"/>
  <c r="G177" i="17"/>
  <c r="F177" i="17"/>
  <c r="E177" i="17"/>
  <c r="C177" i="17"/>
  <c r="B177" i="17"/>
  <c r="P176" i="17"/>
  <c r="O176" i="17"/>
  <c r="N176" i="17"/>
  <c r="M176" i="17"/>
  <c r="K176" i="17"/>
  <c r="J176" i="17"/>
  <c r="H176" i="17"/>
  <c r="G176" i="17"/>
  <c r="F176" i="17"/>
  <c r="E176" i="17"/>
  <c r="C176" i="17"/>
  <c r="B176" i="17"/>
  <c r="P175" i="17"/>
  <c r="O175" i="17"/>
  <c r="N175" i="17"/>
  <c r="M175" i="17"/>
  <c r="K175" i="17"/>
  <c r="J175" i="17"/>
  <c r="H175" i="17"/>
  <c r="G175" i="17"/>
  <c r="F175" i="17"/>
  <c r="E175" i="17"/>
  <c r="C175" i="17"/>
  <c r="B175" i="17"/>
  <c r="P174" i="17"/>
  <c r="O174" i="17"/>
  <c r="N174" i="17"/>
  <c r="M174" i="17"/>
  <c r="K174" i="17"/>
  <c r="J174" i="17"/>
  <c r="H174" i="17"/>
  <c r="G174" i="17"/>
  <c r="F174" i="17"/>
  <c r="E174" i="17"/>
  <c r="C174" i="17"/>
  <c r="B174" i="17"/>
  <c r="P172" i="17"/>
  <c r="O172" i="17"/>
  <c r="N172" i="17"/>
  <c r="M172" i="17"/>
  <c r="K172" i="17"/>
  <c r="J172" i="17"/>
  <c r="H172" i="17"/>
  <c r="G172" i="17"/>
  <c r="F172" i="17"/>
  <c r="E172" i="17"/>
  <c r="C172" i="17"/>
  <c r="B172" i="17"/>
  <c r="P171" i="17"/>
  <c r="O171" i="17"/>
  <c r="N171" i="17"/>
  <c r="M171" i="17"/>
  <c r="K171" i="17"/>
  <c r="J171" i="17"/>
  <c r="H171" i="17"/>
  <c r="G171" i="17"/>
  <c r="F171" i="17"/>
  <c r="E171" i="17"/>
  <c r="C171" i="17"/>
  <c r="B171" i="17"/>
  <c r="P170" i="17"/>
  <c r="O170" i="17"/>
  <c r="N170" i="17"/>
  <c r="M170" i="17"/>
  <c r="K170" i="17"/>
  <c r="J170" i="17"/>
  <c r="H170" i="17"/>
  <c r="G170" i="17"/>
  <c r="F170" i="17"/>
  <c r="E170" i="17"/>
  <c r="C170" i="17"/>
  <c r="B170" i="17"/>
  <c r="P169" i="17"/>
  <c r="O169" i="17"/>
  <c r="N169" i="17"/>
  <c r="M169" i="17"/>
  <c r="K169" i="17"/>
  <c r="J169" i="17"/>
  <c r="H169" i="17"/>
  <c r="G169" i="17"/>
  <c r="F169" i="17"/>
  <c r="E169" i="17"/>
  <c r="C169" i="17"/>
  <c r="B169" i="17"/>
  <c r="P167" i="17"/>
  <c r="O167" i="17"/>
  <c r="N167" i="17"/>
  <c r="M167" i="17"/>
  <c r="K167" i="17"/>
  <c r="J167" i="17"/>
  <c r="H167" i="17"/>
  <c r="G167" i="17"/>
  <c r="F167" i="17"/>
  <c r="E167" i="17"/>
  <c r="C167" i="17"/>
  <c r="B167" i="17"/>
  <c r="P166" i="17"/>
  <c r="O166" i="17"/>
  <c r="N166" i="17"/>
  <c r="M166" i="17"/>
  <c r="K166" i="17"/>
  <c r="J166" i="17"/>
  <c r="H166" i="17"/>
  <c r="G166" i="17"/>
  <c r="F166" i="17"/>
  <c r="E166" i="17"/>
  <c r="C166" i="17"/>
  <c r="B166" i="17"/>
  <c r="P165" i="17"/>
  <c r="O165" i="17"/>
  <c r="N165" i="17"/>
  <c r="M165" i="17"/>
  <c r="K165" i="17"/>
  <c r="J165" i="17"/>
  <c r="H165" i="17"/>
  <c r="G165" i="17"/>
  <c r="F165" i="17"/>
  <c r="E165" i="17"/>
  <c r="C165" i="17"/>
  <c r="B165" i="17"/>
  <c r="P164" i="17"/>
  <c r="O164" i="17"/>
  <c r="N164" i="17"/>
  <c r="M164" i="17"/>
  <c r="K164" i="17"/>
  <c r="J164" i="17"/>
  <c r="H164" i="17"/>
  <c r="G164" i="17"/>
  <c r="F164" i="17"/>
  <c r="E164" i="17"/>
  <c r="C164" i="17"/>
  <c r="B164" i="17"/>
  <c r="P151" i="17"/>
  <c r="O151" i="17"/>
  <c r="N151" i="17"/>
  <c r="M151" i="17"/>
  <c r="K151" i="17"/>
  <c r="J151" i="17"/>
  <c r="H151" i="17"/>
  <c r="G151" i="17"/>
  <c r="F151" i="17"/>
  <c r="E151" i="17"/>
  <c r="C151" i="17"/>
  <c r="B151" i="17"/>
  <c r="P150" i="17"/>
  <c r="O150" i="17"/>
  <c r="N150" i="17"/>
  <c r="M150" i="17"/>
  <c r="K150" i="17"/>
  <c r="J150" i="17"/>
  <c r="H150" i="17"/>
  <c r="G150" i="17"/>
  <c r="F150" i="17"/>
  <c r="E150" i="17"/>
  <c r="C150" i="17"/>
  <c r="B150" i="17"/>
  <c r="P149" i="17"/>
  <c r="O149" i="17"/>
  <c r="N149" i="17"/>
  <c r="M149" i="17"/>
  <c r="K149" i="17"/>
  <c r="J149" i="17"/>
  <c r="H149" i="17"/>
  <c r="G149" i="17"/>
  <c r="F149" i="17"/>
  <c r="E149" i="17"/>
  <c r="C149" i="17"/>
  <c r="B149" i="17"/>
  <c r="P148" i="17"/>
  <c r="O148" i="17"/>
  <c r="N148" i="17"/>
  <c r="M148" i="17"/>
  <c r="K148" i="17"/>
  <c r="J148" i="17"/>
  <c r="H148" i="17"/>
  <c r="G148" i="17"/>
  <c r="F148" i="17"/>
  <c r="E148" i="17"/>
  <c r="C148" i="17"/>
  <c r="B148" i="17"/>
  <c r="P146" i="17"/>
  <c r="O146" i="17"/>
  <c r="N146" i="17"/>
  <c r="M146" i="17"/>
  <c r="K146" i="17"/>
  <c r="J146" i="17"/>
  <c r="H146" i="17"/>
  <c r="G146" i="17"/>
  <c r="F146" i="17"/>
  <c r="E146" i="17"/>
  <c r="C146" i="17"/>
  <c r="B146" i="17"/>
  <c r="P145" i="17"/>
  <c r="O145" i="17"/>
  <c r="N145" i="17"/>
  <c r="M145" i="17"/>
  <c r="K145" i="17"/>
  <c r="J145" i="17"/>
  <c r="H145" i="17"/>
  <c r="G145" i="17"/>
  <c r="F145" i="17"/>
  <c r="E145" i="17"/>
  <c r="C145" i="17"/>
  <c r="B145" i="17"/>
  <c r="P144" i="17"/>
  <c r="O144" i="17"/>
  <c r="N144" i="17"/>
  <c r="M144" i="17"/>
  <c r="K144" i="17"/>
  <c r="J144" i="17"/>
  <c r="H144" i="17"/>
  <c r="G144" i="17"/>
  <c r="F144" i="17"/>
  <c r="E144" i="17"/>
  <c r="C144" i="17"/>
  <c r="B144" i="17"/>
  <c r="P143" i="17"/>
  <c r="O143" i="17"/>
  <c r="N143" i="17"/>
  <c r="M143" i="17"/>
  <c r="K143" i="17"/>
  <c r="J143" i="17"/>
  <c r="H143" i="17"/>
  <c r="G143" i="17"/>
  <c r="F143" i="17"/>
  <c r="E143" i="17"/>
  <c r="C143" i="17"/>
  <c r="B143" i="17"/>
  <c r="P141" i="17"/>
  <c r="O141" i="17"/>
  <c r="N141" i="17"/>
  <c r="M141" i="17"/>
  <c r="K141" i="17"/>
  <c r="J141" i="17"/>
  <c r="H141" i="17"/>
  <c r="G141" i="17"/>
  <c r="F141" i="17"/>
  <c r="E141" i="17"/>
  <c r="C141" i="17"/>
  <c r="B141" i="17"/>
  <c r="P140" i="17"/>
  <c r="O140" i="17"/>
  <c r="N140" i="17"/>
  <c r="M140" i="17"/>
  <c r="K140" i="17"/>
  <c r="J140" i="17"/>
  <c r="H140" i="17"/>
  <c r="G140" i="17"/>
  <c r="F140" i="17"/>
  <c r="E140" i="17"/>
  <c r="C140" i="17"/>
  <c r="B140" i="17"/>
  <c r="P139" i="17"/>
  <c r="O139" i="17"/>
  <c r="N139" i="17"/>
  <c r="M139" i="17"/>
  <c r="K139" i="17"/>
  <c r="J139" i="17"/>
  <c r="H139" i="17"/>
  <c r="G139" i="17"/>
  <c r="F139" i="17"/>
  <c r="E139" i="17"/>
  <c r="C139" i="17"/>
  <c r="B139" i="17"/>
  <c r="P138" i="17"/>
  <c r="O138" i="17"/>
  <c r="N138" i="17"/>
  <c r="M138" i="17"/>
  <c r="K138" i="17"/>
  <c r="J138" i="17"/>
  <c r="H138" i="17"/>
  <c r="G138" i="17"/>
  <c r="F138" i="17"/>
  <c r="E138" i="17"/>
  <c r="C138" i="17"/>
  <c r="B138" i="17"/>
  <c r="P136" i="17"/>
  <c r="O136" i="17"/>
  <c r="N136" i="17"/>
  <c r="M136" i="17"/>
  <c r="K136" i="17"/>
  <c r="J136" i="17"/>
  <c r="H136" i="17"/>
  <c r="G136" i="17"/>
  <c r="F136" i="17"/>
  <c r="E136" i="17"/>
  <c r="C136" i="17"/>
  <c r="B136" i="17"/>
  <c r="P135" i="17"/>
  <c r="O135" i="17"/>
  <c r="N135" i="17"/>
  <c r="M135" i="17"/>
  <c r="K135" i="17"/>
  <c r="J135" i="17"/>
  <c r="H135" i="17"/>
  <c r="G135" i="17"/>
  <c r="F135" i="17"/>
  <c r="E135" i="17"/>
  <c r="C135" i="17"/>
  <c r="B135" i="17"/>
  <c r="P134" i="17"/>
  <c r="O134" i="17"/>
  <c r="N134" i="17"/>
  <c r="M134" i="17"/>
  <c r="K134" i="17"/>
  <c r="J134" i="17"/>
  <c r="H134" i="17"/>
  <c r="G134" i="17"/>
  <c r="F134" i="17"/>
  <c r="E134" i="17"/>
  <c r="C134" i="17"/>
  <c r="B134" i="17"/>
  <c r="P133" i="17"/>
  <c r="O133" i="17"/>
  <c r="N133" i="17"/>
  <c r="M133" i="17"/>
  <c r="K133" i="17"/>
  <c r="J133" i="17"/>
  <c r="H133" i="17"/>
  <c r="G133" i="17"/>
  <c r="F133" i="17"/>
  <c r="E133" i="17"/>
  <c r="C133" i="17"/>
  <c r="B133" i="17"/>
  <c r="P120" i="17"/>
  <c r="O120" i="17"/>
  <c r="N120" i="17"/>
  <c r="M120" i="17"/>
  <c r="K120" i="17"/>
  <c r="J120" i="17"/>
  <c r="H120" i="17"/>
  <c r="G120" i="17"/>
  <c r="F120" i="17"/>
  <c r="E120" i="17"/>
  <c r="C120" i="17"/>
  <c r="B120" i="17"/>
  <c r="P119" i="17"/>
  <c r="O119" i="17"/>
  <c r="N119" i="17"/>
  <c r="M119" i="17"/>
  <c r="K119" i="17"/>
  <c r="J119" i="17"/>
  <c r="H119" i="17"/>
  <c r="G119" i="17"/>
  <c r="F119" i="17"/>
  <c r="E119" i="17"/>
  <c r="C119" i="17"/>
  <c r="B119" i="17"/>
  <c r="P118" i="17"/>
  <c r="O118" i="17"/>
  <c r="N118" i="17"/>
  <c r="M118" i="17"/>
  <c r="K118" i="17"/>
  <c r="J118" i="17"/>
  <c r="H118" i="17"/>
  <c r="G118" i="17"/>
  <c r="F118" i="17"/>
  <c r="E118" i="17"/>
  <c r="C118" i="17"/>
  <c r="B118" i="17"/>
  <c r="P117" i="17"/>
  <c r="O117" i="17"/>
  <c r="N117" i="17"/>
  <c r="M117" i="17"/>
  <c r="K117" i="17"/>
  <c r="J117" i="17"/>
  <c r="H117" i="17"/>
  <c r="G117" i="17"/>
  <c r="F117" i="17"/>
  <c r="E117" i="17"/>
  <c r="C117" i="17"/>
  <c r="B117" i="17"/>
  <c r="P115" i="17"/>
  <c r="O115" i="17"/>
  <c r="N115" i="17"/>
  <c r="M115" i="17"/>
  <c r="K115" i="17"/>
  <c r="J115" i="17"/>
  <c r="H115" i="17"/>
  <c r="G115" i="17"/>
  <c r="F115" i="17"/>
  <c r="E115" i="17"/>
  <c r="C115" i="17"/>
  <c r="B115" i="17"/>
  <c r="P114" i="17"/>
  <c r="O114" i="17"/>
  <c r="N114" i="17"/>
  <c r="M114" i="17"/>
  <c r="K114" i="17"/>
  <c r="J114" i="17"/>
  <c r="H114" i="17"/>
  <c r="G114" i="17"/>
  <c r="F114" i="17"/>
  <c r="E114" i="17"/>
  <c r="C114" i="17"/>
  <c r="B114" i="17"/>
  <c r="P113" i="17"/>
  <c r="O113" i="17"/>
  <c r="N113" i="17"/>
  <c r="M113" i="17"/>
  <c r="K113" i="17"/>
  <c r="J113" i="17"/>
  <c r="H113" i="17"/>
  <c r="G113" i="17"/>
  <c r="F113" i="17"/>
  <c r="E113" i="17"/>
  <c r="C113" i="17"/>
  <c r="B113" i="17"/>
  <c r="P112" i="17"/>
  <c r="O112" i="17"/>
  <c r="N112" i="17"/>
  <c r="M112" i="17"/>
  <c r="K112" i="17"/>
  <c r="J112" i="17"/>
  <c r="H112" i="17"/>
  <c r="G112" i="17"/>
  <c r="F112" i="17"/>
  <c r="E112" i="17"/>
  <c r="C112" i="17"/>
  <c r="B112" i="17"/>
  <c r="P110" i="17"/>
  <c r="O110" i="17"/>
  <c r="N110" i="17"/>
  <c r="M110" i="17"/>
  <c r="K110" i="17"/>
  <c r="J110" i="17"/>
  <c r="H110" i="17"/>
  <c r="G110" i="17"/>
  <c r="F110" i="17"/>
  <c r="E110" i="17"/>
  <c r="C110" i="17"/>
  <c r="B110" i="17"/>
  <c r="P109" i="17"/>
  <c r="O109" i="17"/>
  <c r="N109" i="17"/>
  <c r="M109" i="17"/>
  <c r="K109" i="17"/>
  <c r="J109" i="17"/>
  <c r="H109" i="17"/>
  <c r="G109" i="17"/>
  <c r="F109" i="17"/>
  <c r="E109" i="17"/>
  <c r="C109" i="17"/>
  <c r="B109" i="17"/>
  <c r="P108" i="17"/>
  <c r="O108" i="17"/>
  <c r="N108" i="17"/>
  <c r="M108" i="17"/>
  <c r="K108" i="17"/>
  <c r="J108" i="17"/>
  <c r="H108" i="17"/>
  <c r="G108" i="17"/>
  <c r="F108" i="17"/>
  <c r="E108" i="17"/>
  <c r="C108" i="17"/>
  <c r="B108" i="17"/>
  <c r="P107" i="17"/>
  <c r="O107" i="17"/>
  <c r="N107" i="17"/>
  <c r="M107" i="17"/>
  <c r="K107" i="17"/>
  <c r="J107" i="17"/>
  <c r="H107" i="17"/>
  <c r="G107" i="17"/>
  <c r="F107" i="17"/>
  <c r="E107" i="17"/>
  <c r="C107" i="17"/>
  <c r="B107" i="17"/>
  <c r="P105" i="17"/>
  <c r="O105" i="17"/>
  <c r="N105" i="17"/>
  <c r="M105" i="17"/>
  <c r="K105" i="17"/>
  <c r="J105" i="17"/>
  <c r="H105" i="17"/>
  <c r="G105" i="17"/>
  <c r="F105" i="17"/>
  <c r="E105" i="17"/>
  <c r="C105" i="17"/>
  <c r="B105" i="17"/>
  <c r="P104" i="17"/>
  <c r="O104" i="17"/>
  <c r="N104" i="17"/>
  <c r="M104" i="17"/>
  <c r="K104" i="17"/>
  <c r="J104" i="17"/>
  <c r="H104" i="17"/>
  <c r="G104" i="17"/>
  <c r="F104" i="17"/>
  <c r="E104" i="17"/>
  <c r="C104" i="17"/>
  <c r="B104" i="17"/>
  <c r="P103" i="17"/>
  <c r="O103" i="17"/>
  <c r="N103" i="17"/>
  <c r="M103" i="17"/>
  <c r="K103" i="17"/>
  <c r="J103" i="17"/>
  <c r="H103" i="17"/>
  <c r="G103" i="17"/>
  <c r="F103" i="17"/>
  <c r="E103" i="17"/>
  <c r="C103" i="17"/>
  <c r="B103" i="17"/>
  <c r="P102" i="17"/>
  <c r="O102" i="17"/>
  <c r="N102" i="17"/>
  <c r="M102" i="17"/>
  <c r="K102" i="17"/>
  <c r="J102" i="17"/>
  <c r="H102" i="17"/>
  <c r="G102" i="17"/>
  <c r="F102" i="17"/>
  <c r="E102" i="17"/>
  <c r="C102" i="17"/>
  <c r="B102" i="17"/>
  <c r="P90" i="17"/>
  <c r="O90" i="17"/>
  <c r="N90" i="17"/>
  <c r="M90" i="17"/>
  <c r="K90" i="17"/>
  <c r="J90" i="17"/>
  <c r="H90" i="17"/>
  <c r="G90" i="17"/>
  <c r="F90" i="17"/>
  <c r="E90" i="17"/>
  <c r="C90" i="17"/>
  <c r="B90" i="17"/>
  <c r="P89" i="17"/>
  <c r="O89" i="17"/>
  <c r="N89" i="17"/>
  <c r="M89" i="17"/>
  <c r="K89" i="17"/>
  <c r="J89" i="17"/>
  <c r="H89" i="17"/>
  <c r="G89" i="17"/>
  <c r="F89" i="17"/>
  <c r="E89" i="17"/>
  <c r="C89" i="17"/>
  <c r="B89" i="17"/>
  <c r="P88" i="17"/>
  <c r="O88" i="17"/>
  <c r="N88" i="17"/>
  <c r="M88" i="17"/>
  <c r="K88" i="17"/>
  <c r="J88" i="17"/>
  <c r="H88" i="17"/>
  <c r="G88" i="17"/>
  <c r="F88" i="17"/>
  <c r="E88" i="17"/>
  <c r="C88" i="17"/>
  <c r="B88" i="17"/>
  <c r="P87" i="17"/>
  <c r="O87" i="17"/>
  <c r="N87" i="17"/>
  <c r="M87" i="17"/>
  <c r="K87" i="17"/>
  <c r="J87" i="17"/>
  <c r="H87" i="17"/>
  <c r="G87" i="17"/>
  <c r="F87" i="17"/>
  <c r="E87" i="17"/>
  <c r="C87" i="17"/>
  <c r="B87" i="17"/>
  <c r="P85" i="17"/>
  <c r="O85" i="17"/>
  <c r="N85" i="17"/>
  <c r="M85" i="17"/>
  <c r="K85" i="17"/>
  <c r="J85" i="17"/>
  <c r="H85" i="17"/>
  <c r="G85" i="17"/>
  <c r="F85" i="17"/>
  <c r="E85" i="17"/>
  <c r="C85" i="17"/>
  <c r="B85" i="17"/>
  <c r="P84" i="17"/>
  <c r="O84" i="17"/>
  <c r="N84" i="17"/>
  <c r="M84" i="17"/>
  <c r="K84" i="17"/>
  <c r="J84" i="17"/>
  <c r="H84" i="17"/>
  <c r="G84" i="17"/>
  <c r="F84" i="17"/>
  <c r="E84" i="17"/>
  <c r="C84" i="17"/>
  <c r="B84" i="17"/>
  <c r="P83" i="17"/>
  <c r="O83" i="17"/>
  <c r="N83" i="17"/>
  <c r="M83" i="17"/>
  <c r="K83" i="17"/>
  <c r="J83" i="17"/>
  <c r="H83" i="17"/>
  <c r="G83" i="17"/>
  <c r="F83" i="17"/>
  <c r="E83" i="17"/>
  <c r="C83" i="17"/>
  <c r="B83" i="17"/>
  <c r="P82" i="17"/>
  <c r="O82" i="17"/>
  <c r="N82" i="17"/>
  <c r="M82" i="17"/>
  <c r="K82" i="17"/>
  <c r="J82" i="17"/>
  <c r="H82" i="17"/>
  <c r="G82" i="17"/>
  <c r="F82" i="17"/>
  <c r="E82" i="17"/>
  <c r="C82" i="17"/>
  <c r="B82" i="17"/>
  <c r="P80" i="17"/>
  <c r="O80" i="17"/>
  <c r="N80" i="17"/>
  <c r="M80" i="17"/>
  <c r="K80" i="17"/>
  <c r="J80" i="17"/>
  <c r="H80" i="17"/>
  <c r="G80" i="17"/>
  <c r="F80" i="17"/>
  <c r="E80" i="17"/>
  <c r="C80" i="17"/>
  <c r="B80" i="17"/>
  <c r="P79" i="17"/>
  <c r="O79" i="17"/>
  <c r="N79" i="17"/>
  <c r="M79" i="17"/>
  <c r="K79" i="17"/>
  <c r="J79" i="17"/>
  <c r="H79" i="17"/>
  <c r="G79" i="17"/>
  <c r="F79" i="17"/>
  <c r="E79" i="17"/>
  <c r="C79" i="17"/>
  <c r="B79" i="17"/>
  <c r="P78" i="17"/>
  <c r="O78" i="17"/>
  <c r="N78" i="17"/>
  <c r="M78" i="17"/>
  <c r="K78" i="17"/>
  <c r="J78" i="17"/>
  <c r="H78" i="17"/>
  <c r="G78" i="17"/>
  <c r="F78" i="17"/>
  <c r="E78" i="17"/>
  <c r="C78" i="17"/>
  <c r="B78" i="17"/>
  <c r="P77" i="17"/>
  <c r="O77" i="17"/>
  <c r="N77" i="17"/>
  <c r="M77" i="17"/>
  <c r="K77" i="17"/>
  <c r="J77" i="17"/>
  <c r="H77" i="17"/>
  <c r="G77" i="17"/>
  <c r="F77" i="17"/>
  <c r="E77" i="17"/>
  <c r="C77" i="17"/>
  <c r="B77" i="17"/>
  <c r="P75" i="17"/>
  <c r="O75" i="17"/>
  <c r="N75" i="17"/>
  <c r="M75" i="17"/>
  <c r="K75" i="17"/>
  <c r="J75" i="17"/>
  <c r="H75" i="17"/>
  <c r="G75" i="17"/>
  <c r="F75" i="17"/>
  <c r="E75" i="17"/>
  <c r="C75" i="17"/>
  <c r="B75" i="17"/>
  <c r="P74" i="17"/>
  <c r="O74" i="17"/>
  <c r="N74" i="17"/>
  <c r="M74" i="17"/>
  <c r="K74" i="17"/>
  <c r="J74" i="17"/>
  <c r="H74" i="17"/>
  <c r="G74" i="17"/>
  <c r="F74" i="17"/>
  <c r="E74" i="17"/>
  <c r="C74" i="17"/>
  <c r="B74" i="17"/>
  <c r="P73" i="17"/>
  <c r="O73" i="17"/>
  <c r="N73" i="17"/>
  <c r="M73" i="17"/>
  <c r="K73" i="17"/>
  <c r="J73" i="17"/>
  <c r="H73" i="17"/>
  <c r="G73" i="17"/>
  <c r="F73" i="17"/>
  <c r="E73" i="17"/>
  <c r="C73" i="17"/>
  <c r="B73" i="17"/>
  <c r="P72" i="17"/>
  <c r="O72" i="17"/>
  <c r="N72" i="17"/>
  <c r="M72" i="17"/>
  <c r="K72" i="17"/>
  <c r="J72" i="17"/>
  <c r="H72" i="17"/>
  <c r="G72" i="17"/>
  <c r="F72" i="17"/>
  <c r="E72" i="17"/>
  <c r="C72" i="17"/>
  <c r="B72" i="17"/>
  <c r="P59" i="17"/>
  <c r="O59" i="17"/>
  <c r="N59" i="17"/>
  <c r="M59" i="17"/>
  <c r="K59" i="17"/>
  <c r="J59" i="17"/>
  <c r="H59" i="17"/>
  <c r="G59" i="17"/>
  <c r="F59" i="17"/>
  <c r="E59" i="17"/>
  <c r="C59" i="17"/>
  <c r="B59" i="17"/>
  <c r="P58" i="17"/>
  <c r="O58" i="17"/>
  <c r="N58" i="17"/>
  <c r="M58" i="17"/>
  <c r="K58" i="17"/>
  <c r="J58" i="17"/>
  <c r="H58" i="17"/>
  <c r="G58" i="17"/>
  <c r="F58" i="17"/>
  <c r="E58" i="17"/>
  <c r="C58" i="17"/>
  <c r="B58" i="17"/>
  <c r="P57" i="17"/>
  <c r="O57" i="17"/>
  <c r="N57" i="17"/>
  <c r="M57" i="17"/>
  <c r="K57" i="17"/>
  <c r="J57" i="17"/>
  <c r="H57" i="17"/>
  <c r="G57" i="17"/>
  <c r="F57" i="17"/>
  <c r="E57" i="17"/>
  <c r="C57" i="17"/>
  <c r="B57" i="17"/>
  <c r="P56" i="17"/>
  <c r="O56" i="17"/>
  <c r="N56" i="17"/>
  <c r="M56" i="17"/>
  <c r="K56" i="17"/>
  <c r="J56" i="17"/>
  <c r="H56" i="17"/>
  <c r="G56" i="17"/>
  <c r="F56" i="17"/>
  <c r="E56" i="17"/>
  <c r="C56" i="17"/>
  <c r="B56" i="17"/>
  <c r="P54" i="17"/>
  <c r="O54" i="17"/>
  <c r="N54" i="17"/>
  <c r="M54" i="17"/>
  <c r="K54" i="17"/>
  <c r="J54" i="17"/>
  <c r="H54" i="17"/>
  <c r="G54" i="17"/>
  <c r="F54" i="17"/>
  <c r="E54" i="17"/>
  <c r="C54" i="17"/>
  <c r="B54" i="17"/>
  <c r="P53" i="17"/>
  <c r="O53" i="17"/>
  <c r="N53" i="17"/>
  <c r="M53" i="17"/>
  <c r="K53" i="17"/>
  <c r="J53" i="17"/>
  <c r="H53" i="17"/>
  <c r="G53" i="17"/>
  <c r="F53" i="17"/>
  <c r="E53" i="17"/>
  <c r="C53" i="17"/>
  <c r="B53" i="17"/>
  <c r="P52" i="17"/>
  <c r="O52" i="17"/>
  <c r="N52" i="17"/>
  <c r="M52" i="17"/>
  <c r="K52" i="17"/>
  <c r="J52" i="17"/>
  <c r="H52" i="17"/>
  <c r="G52" i="17"/>
  <c r="F52" i="17"/>
  <c r="E52" i="17"/>
  <c r="C52" i="17"/>
  <c r="B52" i="17"/>
  <c r="P51" i="17"/>
  <c r="O51" i="17"/>
  <c r="N51" i="17"/>
  <c r="M51" i="17"/>
  <c r="K51" i="17"/>
  <c r="J51" i="17"/>
  <c r="H51" i="17"/>
  <c r="G51" i="17"/>
  <c r="F51" i="17"/>
  <c r="E51" i="17"/>
  <c r="C51" i="17"/>
  <c r="B51" i="17"/>
  <c r="P49" i="17"/>
  <c r="O49" i="17"/>
  <c r="N49" i="17"/>
  <c r="M49" i="17"/>
  <c r="K49" i="17"/>
  <c r="J49" i="17"/>
  <c r="H49" i="17"/>
  <c r="G49" i="17"/>
  <c r="F49" i="17"/>
  <c r="E49" i="17"/>
  <c r="C49" i="17"/>
  <c r="B49" i="17"/>
  <c r="P48" i="17"/>
  <c r="O48" i="17"/>
  <c r="N48" i="17"/>
  <c r="M48" i="17"/>
  <c r="K48" i="17"/>
  <c r="J48" i="17"/>
  <c r="H48" i="17"/>
  <c r="G48" i="17"/>
  <c r="F48" i="17"/>
  <c r="E48" i="17"/>
  <c r="C48" i="17"/>
  <c r="B48" i="17"/>
  <c r="P47" i="17"/>
  <c r="O47" i="17"/>
  <c r="N47" i="17"/>
  <c r="M47" i="17"/>
  <c r="K47" i="17"/>
  <c r="J47" i="17"/>
  <c r="H47" i="17"/>
  <c r="G47" i="17"/>
  <c r="F47" i="17"/>
  <c r="E47" i="17"/>
  <c r="C47" i="17"/>
  <c r="B47" i="17"/>
  <c r="P46" i="17"/>
  <c r="O46" i="17"/>
  <c r="N46" i="17"/>
  <c r="M46" i="17"/>
  <c r="K46" i="17"/>
  <c r="J46" i="17"/>
  <c r="H46" i="17"/>
  <c r="G46" i="17"/>
  <c r="F46" i="17"/>
  <c r="E46" i="17"/>
  <c r="C46" i="17"/>
  <c r="B46" i="17"/>
  <c r="P44" i="17"/>
  <c r="O44" i="17"/>
  <c r="N44" i="17"/>
  <c r="M44" i="17"/>
  <c r="K44" i="17"/>
  <c r="J44" i="17"/>
  <c r="H44" i="17"/>
  <c r="G44" i="17"/>
  <c r="F44" i="17"/>
  <c r="E44" i="17"/>
  <c r="C44" i="17"/>
  <c r="B44" i="17"/>
  <c r="P43" i="17"/>
  <c r="O43" i="17"/>
  <c r="N43" i="17"/>
  <c r="M43" i="17"/>
  <c r="K43" i="17"/>
  <c r="J43" i="17"/>
  <c r="H43" i="17"/>
  <c r="G43" i="17"/>
  <c r="F43" i="17"/>
  <c r="E43" i="17"/>
  <c r="C43" i="17"/>
  <c r="B43" i="17"/>
  <c r="P42" i="17"/>
  <c r="O42" i="17"/>
  <c r="N42" i="17"/>
  <c r="M42" i="17"/>
  <c r="K42" i="17"/>
  <c r="J42" i="17"/>
  <c r="H42" i="17"/>
  <c r="G42" i="17"/>
  <c r="F42" i="17"/>
  <c r="E42" i="17"/>
  <c r="C42" i="17"/>
  <c r="B42" i="17"/>
  <c r="P41" i="17"/>
  <c r="O41" i="17"/>
  <c r="N41" i="17"/>
  <c r="M41" i="17"/>
  <c r="K41" i="17"/>
  <c r="J41" i="17"/>
  <c r="H41" i="17"/>
  <c r="G41" i="17"/>
  <c r="F41" i="17"/>
  <c r="E41" i="17"/>
  <c r="C41" i="17"/>
  <c r="B41" i="17"/>
  <c r="P27" i="17"/>
  <c r="O27" i="17"/>
  <c r="N27" i="17"/>
  <c r="M27" i="17"/>
  <c r="K27" i="17"/>
  <c r="J27" i="17"/>
  <c r="H27" i="17"/>
  <c r="G27" i="17"/>
  <c r="F27" i="17"/>
  <c r="E27" i="17"/>
  <c r="C27" i="17"/>
  <c r="B27" i="17"/>
  <c r="P26" i="17"/>
  <c r="O26" i="17"/>
  <c r="N26" i="17"/>
  <c r="M26" i="17"/>
  <c r="K26" i="17"/>
  <c r="J26" i="17"/>
  <c r="H26" i="17"/>
  <c r="G26" i="17"/>
  <c r="F26" i="17"/>
  <c r="E26" i="17"/>
  <c r="C26" i="17"/>
  <c r="B26" i="17"/>
  <c r="P25" i="17"/>
  <c r="O25" i="17"/>
  <c r="N25" i="17"/>
  <c r="M25" i="17"/>
  <c r="K25" i="17"/>
  <c r="J25" i="17"/>
  <c r="H25" i="17"/>
  <c r="G25" i="17"/>
  <c r="F25" i="17"/>
  <c r="E25" i="17"/>
  <c r="C25" i="17"/>
  <c r="B25" i="17"/>
  <c r="P24" i="17"/>
  <c r="O24" i="17"/>
  <c r="N24" i="17"/>
  <c r="M24" i="17"/>
  <c r="K24" i="17"/>
  <c r="J24" i="17"/>
  <c r="H24" i="17"/>
  <c r="G24" i="17"/>
  <c r="F24" i="17"/>
  <c r="E24" i="17"/>
  <c r="C24" i="17"/>
  <c r="B24" i="17"/>
  <c r="P22" i="17"/>
  <c r="O22" i="17"/>
  <c r="N22" i="17"/>
  <c r="M22" i="17"/>
  <c r="K22" i="17"/>
  <c r="J22" i="17"/>
  <c r="H22" i="17"/>
  <c r="G22" i="17"/>
  <c r="F22" i="17"/>
  <c r="E22" i="17"/>
  <c r="C22" i="17"/>
  <c r="B22" i="17"/>
  <c r="P21" i="17"/>
  <c r="O21" i="17"/>
  <c r="N21" i="17"/>
  <c r="M21" i="17"/>
  <c r="K21" i="17"/>
  <c r="J21" i="17"/>
  <c r="H21" i="17"/>
  <c r="G21" i="17"/>
  <c r="F21" i="17"/>
  <c r="E21" i="17"/>
  <c r="C21" i="17"/>
  <c r="B21" i="17"/>
  <c r="P20" i="17"/>
  <c r="O20" i="17"/>
  <c r="N20" i="17"/>
  <c r="M20" i="17"/>
  <c r="K20" i="17"/>
  <c r="J20" i="17"/>
  <c r="H20" i="17"/>
  <c r="G20" i="17"/>
  <c r="F20" i="17"/>
  <c r="E20" i="17"/>
  <c r="C20" i="17"/>
  <c r="B20" i="17"/>
  <c r="P19" i="17"/>
  <c r="O19" i="17"/>
  <c r="N19" i="17"/>
  <c r="M19" i="17"/>
  <c r="K19" i="17"/>
  <c r="J19" i="17"/>
  <c r="H19" i="17"/>
  <c r="G19" i="17"/>
  <c r="F19" i="17"/>
  <c r="E19" i="17"/>
  <c r="C19" i="17"/>
  <c r="B19" i="17"/>
  <c r="P17" i="17"/>
  <c r="O17" i="17"/>
  <c r="N17" i="17"/>
  <c r="M17" i="17"/>
  <c r="K17" i="17"/>
  <c r="J17" i="17"/>
  <c r="H17" i="17"/>
  <c r="G17" i="17"/>
  <c r="F17" i="17"/>
  <c r="E17" i="17"/>
  <c r="C17" i="17"/>
  <c r="B17" i="17"/>
  <c r="P16" i="17"/>
  <c r="O16" i="17"/>
  <c r="N16" i="17"/>
  <c r="M16" i="17"/>
  <c r="K16" i="17"/>
  <c r="J16" i="17"/>
  <c r="H16" i="17"/>
  <c r="G16" i="17"/>
  <c r="F16" i="17"/>
  <c r="E16" i="17"/>
  <c r="C16" i="17"/>
  <c r="B16" i="17"/>
  <c r="P15" i="17"/>
  <c r="O15" i="17"/>
  <c r="N15" i="17"/>
  <c r="M15" i="17"/>
  <c r="K15" i="17"/>
  <c r="J15" i="17"/>
  <c r="H15" i="17"/>
  <c r="G15" i="17"/>
  <c r="F15" i="17"/>
  <c r="E15" i="17"/>
  <c r="C15" i="17"/>
  <c r="B15" i="17"/>
  <c r="P14" i="17"/>
  <c r="O14" i="17"/>
  <c r="N14" i="17"/>
  <c r="M14" i="17"/>
  <c r="K14" i="17"/>
  <c r="J14" i="17"/>
  <c r="H14" i="17"/>
  <c r="G14" i="17"/>
  <c r="F14" i="17"/>
  <c r="E14" i="17"/>
  <c r="C14" i="17"/>
  <c r="B14" i="17"/>
  <c r="P12" i="17"/>
  <c r="O12" i="17"/>
  <c r="N12" i="17"/>
  <c r="M12" i="17"/>
  <c r="K12" i="17"/>
  <c r="J12" i="17"/>
  <c r="H12" i="17"/>
  <c r="G12" i="17"/>
  <c r="F12" i="17"/>
  <c r="E12" i="17"/>
  <c r="C12" i="17"/>
  <c r="B12" i="17"/>
  <c r="P11" i="17"/>
  <c r="O11" i="17"/>
  <c r="N11" i="17"/>
  <c r="M11" i="17"/>
  <c r="K11" i="17"/>
  <c r="J11" i="17"/>
  <c r="H11" i="17"/>
  <c r="G11" i="17"/>
  <c r="F11" i="17"/>
  <c r="E11" i="17"/>
  <c r="C11" i="17"/>
  <c r="B11" i="17"/>
  <c r="P10" i="17"/>
  <c r="O10" i="17"/>
  <c r="N10" i="17"/>
  <c r="M10" i="17"/>
  <c r="K10" i="17"/>
  <c r="J10" i="17"/>
  <c r="H10" i="17"/>
  <c r="G10" i="17"/>
  <c r="F10" i="17"/>
  <c r="E10" i="17"/>
  <c r="C10" i="17"/>
  <c r="B10" i="17"/>
  <c r="P9" i="17"/>
  <c r="O9" i="17"/>
  <c r="N9" i="17"/>
  <c r="M9" i="17"/>
  <c r="K9" i="17"/>
  <c r="J9" i="17"/>
  <c r="H9" i="17"/>
  <c r="G9" i="17"/>
  <c r="F9" i="17"/>
  <c r="E9" i="17"/>
  <c r="C9" i="17"/>
  <c r="B9" i="17"/>
  <c r="Q454" i="17"/>
  <c r="Q449" i="17"/>
  <c r="Q444" i="17"/>
  <c r="Q439" i="17"/>
  <c r="Q438" i="17"/>
  <c r="Q437" i="17"/>
  <c r="Q436" i="17"/>
  <c r="Q435" i="17"/>
  <c r="Q434" i="17"/>
  <c r="Q433" i="17"/>
  <c r="Q432" i="17"/>
  <c r="Q431" i="17"/>
  <c r="Q430" i="17"/>
  <c r="Q429" i="17"/>
  <c r="Q424" i="17"/>
  <c r="Q419" i="17"/>
  <c r="Q414" i="17"/>
  <c r="Q409" i="17"/>
  <c r="Q408" i="17"/>
  <c r="Q407" i="17"/>
  <c r="Q406" i="17"/>
  <c r="Q405" i="17"/>
  <c r="Q404" i="17"/>
  <c r="Q403" i="17"/>
  <c r="Q402" i="17"/>
  <c r="Q401" i="17"/>
  <c r="Q400" i="17"/>
  <c r="Q399" i="17"/>
  <c r="Q394" i="17"/>
  <c r="Q389" i="17"/>
  <c r="Q384" i="17"/>
  <c r="Q379" i="17"/>
  <c r="Q378" i="17"/>
  <c r="Q377" i="17"/>
  <c r="Q376" i="17"/>
  <c r="Q375" i="17"/>
  <c r="Q374" i="17"/>
  <c r="Q373" i="17"/>
  <c r="Q372" i="17"/>
  <c r="Q371" i="17"/>
  <c r="Q370" i="17"/>
  <c r="Q369" i="17"/>
  <c r="Q368" i="17"/>
  <c r="Q363" i="17"/>
  <c r="Q358" i="17"/>
  <c r="Q353" i="17"/>
  <c r="Q348" i="17"/>
  <c r="Q347" i="17"/>
  <c r="Q346" i="17"/>
  <c r="Q345" i="17"/>
  <c r="Q344" i="17"/>
  <c r="Q343" i="17"/>
  <c r="Q342" i="17"/>
  <c r="Q341" i="17"/>
  <c r="Q340" i="17"/>
  <c r="Q338" i="17"/>
  <c r="Q337" i="17"/>
  <c r="Q332" i="17"/>
  <c r="Q327" i="17"/>
  <c r="Q322" i="17"/>
  <c r="Q317" i="17"/>
  <c r="Q316" i="17"/>
  <c r="Q315" i="17"/>
  <c r="Q314" i="17"/>
  <c r="Q313" i="17"/>
  <c r="Q312" i="17"/>
  <c r="Q311" i="17"/>
  <c r="Q310" i="17"/>
  <c r="Q309" i="17"/>
  <c r="Q308" i="17"/>
  <c r="Q307" i="17"/>
  <c r="Q306" i="17"/>
  <c r="Q301" i="17"/>
  <c r="Q296" i="17"/>
  <c r="Q291" i="17"/>
  <c r="Q286" i="17"/>
  <c r="Q285" i="17"/>
  <c r="Q284" i="17"/>
  <c r="Q283" i="17"/>
  <c r="Q282" i="17"/>
  <c r="Q281" i="17"/>
  <c r="Q280" i="17"/>
  <c r="Q279" i="17"/>
  <c r="Q278" i="17"/>
  <c r="Q277" i="17"/>
  <c r="Q276" i="17"/>
  <c r="Q275" i="17"/>
  <c r="Q270" i="17"/>
  <c r="Q265" i="17"/>
  <c r="Q260" i="17"/>
  <c r="Q255" i="17"/>
  <c r="Q254" i="17"/>
  <c r="Q253" i="17"/>
  <c r="Q252" i="17"/>
  <c r="Q251" i="17"/>
  <c r="Q250" i="17"/>
  <c r="Q249" i="17"/>
  <c r="Q248" i="17"/>
  <c r="Q247" i="17"/>
  <c r="Q246" i="17"/>
  <c r="Q245" i="17"/>
  <c r="Q244" i="17"/>
  <c r="Q239" i="17"/>
  <c r="Q234" i="17"/>
  <c r="Q229" i="17"/>
  <c r="Q224" i="17"/>
  <c r="Q223" i="17"/>
  <c r="Q222" i="17"/>
  <c r="Q221" i="17"/>
  <c r="Q220" i="17"/>
  <c r="Q219" i="17"/>
  <c r="Q218" i="17"/>
  <c r="Q217" i="17"/>
  <c r="R216" i="17"/>
  <c r="Q216" i="17"/>
  <c r="R214" i="17"/>
  <c r="Q214" i="17"/>
  <c r="R213" i="17"/>
  <c r="Q213" i="17"/>
  <c r="R208" i="17"/>
  <c r="Q208" i="17"/>
  <c r="R203" i="17"/>
  <c r="Q203" i="17"/>
  <c r="R198" i="17"/>
  <c r="Q198" i="17"/>
  <c r="R178" i="17"/>
  <c r="Q178" i="17"/>
  <c r="R173" i="17"/>
  <c r="Q173" i="17"/>
  <c r="R168" i="17"/>
  <c r="Q168" i="17"/>
  <c r="R147" i="17"/>
  <c r="Q147" i="17"/>
  <c r="R142" i="17"/>
  <c r="Q142" i="17"/>
  <c r="R137" i="17"/>
  <c r="Q137" i="17"/>
  <c r="R116" i="17"/>
  <c r="Q116" i="17"/>
  <c r="R111" i="17"/>
  <c r="Q111" i="17"/>
  <c r="R106" i="17"/>
  <c r="Q106" i="17"/>
  <c r="R86" i="17"/>
  <c r="Q86" i="17"/>
  <c r="R81" i="17"/>
  <c r="Q81" i="17"/>
  <c r="R76" i="17"/>
  <c r="Q76" i="17"/>
  <c r="R55" i="17"/>
  <c r="Q55" i="17"/>
  <c r="R50" i="17"/>
  <c r="Q50" i="17"/>
  <c r="R45" i="17"/>
  <c r="Q45" i="17"/>
  <c r="R23" i="17"/>
  <c r="Q23" i="17"/>
  <c r="R18" i="17"/>
  <c r="Q18" i="17"/>
  <c r="R13" i="17"/>
  <c r="Q13" i="17"/>
  <c r="D73" i="18" l="1"/>
  <c r="H70" i="19"/>
  <c r="B18" i="19"/>
  <c r="B20" i="19"/>
  <c r="B23" i="19"/>
  <c r="B25" i="19"/>
  <c r="C8" i="19"/>
  <c r="C10" i="19"/>
  <c r="C13" i="19"/>
  <c r="C15" i="19"/>
  <c r="C18" i="19"/>
  <c r="D264" i="18"/>
  <c r="I43" i="20" s="1"/>
  <c r="D290" i="18"/>
  <c r="H7" i="20"/>
  <c r="H9" i="20"/>
  <c r="H12" i="20"/>
  <c r="H14" i="20"/>
  <c r="H17" i="20"/>
  <c r="H22" i="20"/>
  <c r="H24" i="20"/>
  <c r="B7" i="20"/>
  <c r="B9" i="20"/>
  <c r="B12" i="20"/>
  <c r="B17" i="20"/>
  <c r="B19" i="20"/>
  <c r="B24" i="20"/>
  <c r="C7" i="20"/>
  <c r="C12" i="20"/>
  <c r="C14" i="20"/>
  <c r="C19" i="20"/>
  <c r="C22" i="20"/>
  <c r="C24" i="20"/>
  <c r="D7" i="20"/>
  <c r="D12" i="20"/>
  <c r="D14" i="20"/>
  <c r="D19" i="20"/>
  <c r="D22" i="20"/>
  <c r="D24" i="20"/>
  <c r="E7" i="20"/>
  <c r="E9" i="20"/>
  <c r="E12" i="20"/>
  <c r="E17" i="20"/>
  <c r="E19" i="20"/>
  <c r="E22" i="20"/>
  <c r="E24" i="20"/>
  <c r="H77" i="20"/>
  <c r="D53" i="18"/>
  <c r="B47" i="20" s="1"/>
  <c r="D84" i="18"/>
  <c r="C47" i="20" s="1"/>
  <c r="K10" i="20"/>
  <c r="L15" i="20"/>
  <c r="D445" i="18"/>
  <c r="O40" i="20" s="1"/>
  <c r="H8" i="20"/>
  <c r="H25" i="20"/>
  <c r="B25" i="20"/>
  <c r="C15" i="20"/>
  <c r="D13" i="20"/>
  <c r="E8" i="20"/>
  <c r="E18" i="20"/>
  <c r="F10" i="20"/>
  <c r="F23" i="20"/>
  <c r="I9" i="20"/>
  <c r="J14" i="20"/>
  <c r="N24" i="20"/>
  <c r="O19" i="20"/>
  <c r="D331" i="17"/>
  <c r="K47" i="19" s="1"/>
  <c r="D362" i="17"/>
  <c r="L47" i="19" s="1"/>
  <c r="L205" i="17"/>
  <c r="G103" i="19" s="1"/>
  <c r="F67" i="19"/>
  <c r="L141" i="17"/>
  <c r="E100" i="19" s="1"/>
  <c r="D10" i="19"/>
  <c r="M8" i="20"/>
  <c r="L12" i="18"/>
  <c r="H97" i="20" s="1"/>
  <c r="L15" i="18"/>
  <c r="R15" i="18" s="1"/>
  <c r="L20" i="18"/>
  <c r="H105" i="20" s="1"/>
  <c r="L25" i="18"/>
  <c r="H110" i="20" s="1"/>
  <c r="L49" i="18"/>
  <c r="B102" i="20" s="1"/>
  <c r="L57" i="18"/>
  <c r="B110" i="20" s="1"/>
  <c r="L103" i="18"/>
  <c r="D95" i="20" s="1"/>
  <c r="L115" i="18"/>
  <c r="D107" i="20" s="1"/>
  <c r="L136" i="18"/>
  <c r="E97" i="20" s="1"/>
  <c r="L139" i="18"/>
  <c r="R139" i="18" s="1"/>
  <c r="L141" i="18"/>
  <c r="E102" i="20" s="1"/>
  <c r="L149" i="18"/>
  <c r="E110" i="20" s="1"/>
  <c r="L151" i="18"/>
  <c r="E112" i="20" s="1"/>
  <c r="L172" i="18"/>
  <c r="F102" i="20" s="1"/>
  <c r="L177" i="18"/>
  <c r="F107" i="20" s="1"/>
  <c r="L180" i="18"/>
  <c r="F110" i="20" s="1"/>
  <c r="L197" i="18"/>
  <c r="G97" i="20" s="1"/>
  <c r="L202" i="18"/>
  <c r="G102" i="20" s="1"/>
  <c r="L207" i="18"/>
  <c r="R207" i="18" s="1"/>
  <c r="L212" i="18"/>
  <c r="G112" i="20" s="1"/>
  <c r="D228" i="18"/>
  <c r="M38" i="20" s="1"/>
  <c r="D238" i="18"/>
  <c r="M48" i="20" s="1"/>
  <c r="D243" i="18"/>
  <c r="Q243" i="18" s="1"/>
  <c r="D259" i="18"/>
  <c r="I38" i="20" s="1"/>
  <c r="D295" i="18"/>
  <c r="J43" i="20" s="1"/>
  <c r="D321" i="18"/>
  <c r="K38" i="20" s="1"/>
  <c r="D326" i="18"/>
  <c r="K43" i="20" s="1"/>
  <c r="D352" i="18"/>
  <c r="L38" i="20" s="1"/>
  <c r="D367" i="18"/>
  <c r="L53" i="20" s="1"/>
  <c r="D383" i="18"/>
  <c r="P38" i="20" s="1"/>
  <c r="D398" i="18"/>
  <c r="P53" i="20" s="1"/>
  <c r="D413" i="18"/>
  <c r="Q413" i="18" s="1"/>
  <c r="D428" i="18"/>
  <c r="N53" i="20" s="1"/>
  <c r="M15" i="19"/>
  <c r="D15" i="19"/>
  <c r="D18" i="19"/>
  <c r="E8" i="19"/>
  <c r="E13" i="19"/>
  <c r="E18" i="19"/>
  <c r="E20" i="19"/>
  <c r="E23" i="19"/>
  <c r="F10" i="19"/>
  <c r="H64" i="19"/>
  <c r="H66" i="19"/>
  <c r="H69" i="19"/>
  <c r="H71" i="19"/>
  <c r="H74" i="19"/>
  <c r="H76" i="19"/>
  <c r="H79" i="19"/>
  <c r="H81" i="19"/>
  <c r="B64" i="19"/>
  <c r="B66" i="19"/>
  <c r="B69" i="19"/>
  <c r="B71" i="19"/>
  <c r="B74" i="19"/>
  <c r="B76" i="19"/>
  <c r="B79" i="19"/>
  <c r="B81" i="19"/>
  <c r="C64" i="19"/>
  <c r="C66" i="19"/>
  <c r="C69" i="19"/>
  <c r="C71" i="19"/>
  <c r="C74" i="19"/>
  <c r="C76" i="19"/>
  <c r="C79" i="19"/>
  <c r="C81" i="19"/>
  <c r="D64" i="19"/>
  <c r="D66" i="19"/>
  <c r="D69" i="19"/>
  <c r="D71" i="19"/>
  <c r="D74" i="19"/>
  <c r="D76" i="19"/>
  <c r="D79" i="19"/>
  <c r="D81" i="19"/>
  <c r="E64" i="19"/>
  <c r="E66" i="19"/>
  <c r="E69" i="19"/>
  <c r="E71" i="19"/>
  <c r="E74" i="19"/>
  <c r="E76" i="19"/>
  <c r="E79" i="19"/>
  <c r="E81" i="19"/>
  <c r="F64" i="19"/>
  <c r="F66" i="19"/>
  <c r="F69" i="19"/>
  <c r="F71" i="19"/>
  <c r="F74" i="19"/>
  <c r="F76" i="19"/>
  <c r="F79" i="19"/>
  <c r="F81" i="19"/>
  <c r="G64" i="19"/>
  <c r="G66" i="19"/>
  <c r="G69" i="19"/>
  <c r="G71" i="19"/>
  <c r="G74" i="19"/>
  <c r="G76" i="19"/>
  <c r="G79" i="19"/>
  <c r="G81" i="19"/>
  <c r="M8" i="19"/>
  <c r="M13" i="19"/>
  <c r="M18" i="19"/>
  <c r="M23" i="19"/>
  <c r="I8" i="19"/>
  <c r="I13" i="19"/>
  <c r="I18" i="19"/>
  <c r="I23" i="19"/>
  <c r="J8" i="19"/>
  <c r="J13" i="19"/>
  <c r="J18" i="19"/>
  <c r="J23" i="19"/>
  <c r="K8" i="19"/>
  <c r="K13" i="19"/>
  <c r="K18" i="19"/>
  <c r="K23" i="19"/>
  <c r="L8" i="19"/>
  <c r="D66" i="20"/>
  <c r="G71" i="20"/>
  <c r="D78" i="17"/>
  <c r="C40" i="19" s="1"/>
  <c r="L11" i="18"/>
  <c r="R11" i="18" s="1"/>
  <c r="L14" i="18"/>
  <c r="H99" i="20" s="1"/>
  <c r="L16" i="18"/>
  <c r="H101" i="20" s="1"/>
  <c r="L21" i="18"/>
  <c r="H106" i="20" s="1"/>
  <c r="L24" i="18"/>
  <c r="H109" i="20" s="1"/>
  <c r="L26" i="18"/>
  <c r="H111" i="20" s="1"/>
  <c r="L41" i="18"/>
  <c r="R41" i="18" s="1"/>
  <c r="L43" i="18"/>
  <c r="R43" i="18" s="1"/>
  <c r="L46" i="18"/>
  <c r="B99" i="20" s="1"/>
  <c r="L48" i="18"/>
  <c r="B101" i="20" s="1"/>
  <c r="L51" i="18"/>
  <c r="R51" i="18" s="1"/>
  <c r="L53" i="18"/>
  <c r="B106" i="20" s="1"/>
  <c r="L56" i="18"/>
  <c r="B109" i="20" s="1"/>
  <c r="L58" i="18"/>
  <c r="B111" i="20" s="1"/>
  <c r="L72" i="18"/>
  <c r="C94" i="20" s="1"/>
  <c r="L74" i="18"/>
  <c r="C96" i="20" s="1"/>
  <c r="L77" i="18"/>
  <c r="C99" i="20" s="1"/>
  <c r="L79" i="18"/>
  <c r="C101" i="20" s="1"/>
  <c r="L82" i="18"/>
  <c r="R82" i="18" s="1"/>
  <c r="L84" i="18"/>
  <c r="C106" i="20" s="1"/>
  <c r="L87" i="18"/>
  <c r="R87" i="18" s="1"/>
  <c r="L102" i="18"/>
  <c r="D94" i="20" s="1"/>
  <c r="L104" i="18"/>
  <c r="D96" i="20" s="1"/>
  <c r="L107" i="18"/>
  <c r="D99" i="20" s="1"/>
  <c r="L112" i="18"/>
  <c r="D104" i="20" s="1"/>
  <c r="L114" i="18"/>
  <c r="R114" i="18" s="1"/>
  <c r="L117" i="18"/>
  <c r="R117" i="18" s="1"/>
  <c r="L119" i="18"/>
  <c r="D111" i="20" s="1"/>
  <c r="L133" i="18"/>
  <c r="R133" i="18" s="1"/>
  <c r="L135" i="18"/>
  <c r="E96" i="20" s="1"/>
  <c r="L138" i="18"/>
  <c r="R138" i="18" s="1"/>
  <c r="L140" i="18"/>
  <c r="E101" i="20" s="1"/>
  <c r="L143" i="18"/>
  <c r="R143" i="18" s="1"/>
  <c r="L148" i="18"/>
  <c r="E109" i="20" s="1"/>
  <c r="L150" i="18"/>
  <c r="R150" i="18" s="1"/>
  <c r="H82" i="19"/>
  <c r="B75" i="19"/>
  <c r="M10" i="19"/>
  <c r="I15" i="19"/>
  <c r="D302" i="17"/>
  <c r="J49" i="19" s="1"/>
  <c r="L25" i="19"/>
  <c r="L57" i="17"/>
  <c r="B108" i="19" s="1"/>
  <c r="L59" i="17"/>
  <c r="B110" i="19" s="1"/>
  <c r="L85" i="17"/>
  <c r="C105" i="19" s="1"/>
  <c r="L105" i="17"/>
  <c r="D95" i="19" s="1"/>
  <c r="L110" i="17"/>
  <c r="D100" i="19" s="1"/>
  <c r="L134" i="17"/>
  <c r="E93" i="19" s="1"/>
  <c r="L136" i="17"/>
  <c r="E95" i="19" s="1"/>
  <c r="L146" i="17"/>
  <c r="E105" i="19" s="1"/>
  <c r="L151" i="17"/>
  <c r="R151" i="17" s="1"/>
  <c r="F23" i="19"/>
  <c r="L180" i="17"/>
  <c r="F108" i="19" s="1"/>
  <c r="L195" i="17"/>
  <c r="G93" i="19" s="1"/>
  <c r="L197" i="17"/>
  <c r="G95" i="19" s="1"/>
  <c r="G13" i="19"/>
  <c r="L202" i="17"/>
  <c r="R202" i="17" s="1"/>
  <c r="G18" i="19"/>
  <c r="M19" i="19"/>
  <c r="D238" i="17"/>
  <c r="M47" i="19" s="1"/>
  <c r="D243" i="17"/>
  <c r="Q243" i="17" s="1"/>
  <c r="J14" i="19"/>
  <c r="D295" i="17"/>
  <c r="J42" i="19" s="1"/>
  <c r="D305" i="17"/>
  <c r="J52" i="19" s="1"/>
  <c r="K9" i="19"/>
  <c r="K19" i="19"/>
  <c r="D352" i="17"/>
  <c r="L37" i="19" s="1"/>
  <c r="L19" i="19"/>
  <c r="D383" i="17"/>
  <c r="P37" i="19" s="1"/>
  <c r="P14" i="19"/>
  <c r="D393" i="17"/>
  <c r="P47" i="19" s="1"/>
  <c r="P24" i="19"/>
  <c r="N14" i="19"/>
  <c r="D418" i="17"/>
  <c r="N42" i="19" s="1"/>
  <c r="N19" i="19"/>
  <c r="D423" i="17"/>
  <c r="N47" i="19" s="1"/>
  <c r="O9" i="19"/>
  <c r="O24" i="19"/>
  <c r="P8" i="19"/>
  <c r="P13" i="19"/>
  <c r="N8" i="19"/>
  <c r="N18" i="19"/>
  <c r="O13" i="19"/>
  <c r="O18" i="19"/>
  <c r="B10" i="20"/>
  <c r="J24" i="20"/>
  <c r="D453" i="18"/>
  <c r="O48" i="20" s="1"/>
  <c r="F7" i="20"/>
  <c r="L164" i="18"/>
  <c r="R164" i="18" s="1"/>
  <c r="F9" i="20"/>
  <c r="L166" i="18"/>
  <c r="F96" i="20" s="1"/>
  <c r="L169" i="18"/>
  <c r="F99" i="20" s="1"/>
  <c r="F14" i="20"/>
  <c r="L171" i="18"/>
  <c r="R171" i="18" s="1"/>
  <c r="F17" i="20"/>
  <c r="L174" i="18"/>
  <c r="R174" i="18" s="1"/>
  <c r="F19" i="20"/>
  <c r="L176" i="18"/>
  <c r="F106" i="20" s="1"/>
  <c r="F22" i="20"/>
  <c r="L179" i="18"/>
  <c r="F109" i="20" s="1"/>
  <c r="L181" i="18"/>
  <c r="R181" i="18" s="1"/>
  <c r="G7" i="20"/>
  <c r="L194" i="18"/>
  <c r="G94" i="20" s="1"/>
  <c r="G9" i="20"/>
  <c r="L196" i="18"/>
  <c r="G96" i="20" s="1"/>
  <c r="L199" i="18"/>
  <c r="G99" i="20" s="1"/>
  <c r="G14" i="20"/>
  <c r="L201" i="18"/>
  <c r="G101" i="20" s="1"/>
  <c r="G17" i="20"/>
  <c r="L204" i="18"/>
  <c r="G104" i="20" s="1"/>
  <c r="G19" i="20"/>
  <c r="L206" i="18"/>
  <c r="G106" i="20" s="1"/>
  <c r="G22" i="20"/>
  <c r="L209" i="18"/>
  <c r="G109" i="20" s="1"/>
  <c r="G24" i="20"/>
  <c r="L211" i="18"/>
  <c r="G111" i="20" s="1"/>
  <c r="M7" i="20"/>
  <c r="D226" i="18"/>
  <c r="Q226" i="18" s="1"/>
  <c r="M12" i="20"/>
  <c r="D231" i="18"/>
  <c r="M41" i="20" s="1"/>
  <c r="M17" i="20"/>
  <c r="D236" i="18"/>
  <c r="Q236" i="18" s="1"/>
  <c r="M22" i="20"/>
  <c r="D241" i="18"/>
  <c r="M51" i="20" s="1"/>
  <c r="I7" i="20"/>
  <c r="D257" i="18"/>
  <c r="I36" i="20" s="1"/>
  <c r="I12" i="20"/>
  <c r="D262" i="18"/>
  <c r="I41" i="20" s="1"/>
  <c r="I17" i="20"/>
  <c r="D267" i="18"/>
  <c r="I46" i="20" s="1"/>
  <c r="I22" i="20"/>
  <c r="D272" i="18"/>
  <c r="I51" i="20" s="1"/>
  <c r="J7" i="20"/>
  <c r="D293" i="18"/>
  <c r="J41" i="20" s="1"/>
  <c r="D298" i="18"/>
  <c r="J46" i="20" s="1"/>
  <c r="J22" i="20"/>
  <c r="D303" i="18"/>
  <c r="J51" i="20" s="1"/>
  <c r="K7" i="20"/>
  <c r="D319" i="18"/>
  <c r="Q319" i="18" s="1"/>
  <c r="K12" i="20"/>
  <c r="K17" i="20"/>
  <c r="D329" i="18"/>
  <c r="Q329" i="18" s="1"/>
  <c r="K22" i="20"/>
  <c r="D334" i="18"/>
  <c r="K51" i="20" s="1"/>
  <c r="L7" i="20"/>
  <c r="D350" i="18"/>
  <c r="Q350" i="18" s="1"/>
  <c r="D355" i="18"/>
  <c r="L41" i="20" s="1"/>
  <c r="L17" i="20"/>
  <c r="D360" i="18"/>
  <c r="Q360" i="18" s="1"/>
  <c r="L22" i="20"/>
  <c r="P7" i="20"/>
  <c r="D381" i="18"/>
  <c r="P36" i="20" s="1"/>
  <c r="D386" i="18"/>
  <c r="P41" i="20" s="1"/>
  <c r="P17" i="20"/>
  <c r="D391" i="18"/>
  <c r="Q391" i="18" s="1"/>
  <c r="P22" i="20"/>
  <c r="D396" i="18"/>
  <c r="P51" i="20" s="1"/>
  <c r="N7" i="20"/>
  <c r="D411" i="18"/>
  <c r="N36" i="20" s="1"/>
  <c r="D416" i="18"/>
  <c r="N41" i="20" s="1"/>
  <c r="N17" i="20"/>
  <c r="D421" i="18"/>
  <c r="Q421" i="18" s="1"/>
  <c r="N22" i="20"/>
  <c r="D426" i="18"/>
  <c r="Q426" i="18" s="1"/>
  <c r="O7" i="20"/>
  <c r="O12" i="20"/>
  <c r="D446" i="18"/>
  <c r="Q446" i="18" s="1"/>
  <c r="O17" i="20"/>
  <c r="D451" i="18"/>
  <c r="O46" i="20" s="1"/>
  <c r="O22" i="20"/>
  <c r="D456" i="18"/>
  <c r="O51" i="20" s="1"/>
  <c r="D74" i="17"/>
  <c r="C36" i="19" s="1"/>
  <c r="D206" i="17"/>
  <c r="G46" i="19" s="1"/>
  <c r="D390" i="17"/>
  <c r="P44" i="19" s="1"/>
  <c r="D59" i="17"/>
  <c r="B52" i="19" s="1"/>
  <c r="D202" i="17"/>
  <c r="G42" i="19" s="1"/>
  <c r="D258" i="17"/>
  <c r="I36" i="19" s="1"/>
  <c r="D382" i="17"/>
  <c r="Q382" i="17" s="1"/>
  <c r="D82" i="17"/>
  <c r="C44" i="19" s="1"/>
  <c r="D266" i="17"/>
  <c r="I44" i="19" s="1"/>
  <c r="D43" i="17"/>
  <c r="B36" i="19" s="1"/>
  <c r="D79" i="17"/>
  <c r="C41" i="19" s="1"/>
  <c r="D145" i="17"/>
  <c r="E46" i="19" s="1"/>
  <c r="D181" i="17"/>
  <c r="F51" i="19" s="1"/>
  <c r="D415" i="17"/>
  <c r="N39" i="19" s="1"/>
  <c r="L46" i="17"/>
  <c r="B97" i="19" s="1"/>
  <c r="C14" i="19"/>
  <c r="F14" i="19"/>
  <c r="F24" i="19"/>
  <c r="G9" i="19"/>
  <c r="I12" i="19"/>
  <c r="K7" i="19"/>
  <c r="D350" i="17"/>
  <c r="L35" i="19" s="1"/>
  <c r="L12" i="19"/>
  <c r="L17" i="19"/>
  <c r="P7" i="19"/>
  <c r="N17" i="19"/>
  <c r="D119" i="17"/>
  <c r="D51" i="19" s="1"/>
  <c r="H65" i="19"/>
  <c r="H67" i="19"/>
  <c r="H72" i="19"/>
  <c r="H77" i="19"/>
  <c r="H80" i="19"/>
  <c r="D26" i="17"/>
  <c r="H51" i="19" s="1"/>
  <c r="B65" i="19"/>
  <c r="B67" i="19"/>
  <c r="B70" i="19"/>
  <c r="B72" i="19"/>
  <c r="B77" i="19"/>
  <c r="D56" i="17"/>
  <c r="B49" i="19" s="1"/>
  <c r="B80" i="19"/>
  <c r="B82" i="19"/>
  <c r="C65" i="19"/>
  <c r="C67" i="19"/>
  <c r="C70" i="19"/>
  <c r="C72" i="19"/>
  <c r="C75" i="19"/>
  <c r="C77" i="19"/>
  <c r="C80" i="19"/>
  <c r="D65" i="19"/>
  <c r="D70" i="19"/>
  <c r="D72" i="19"/>
  <c r="D75" i="19"/>
  <c r="D77" i="19"/>
  <c r="D80" i="19"/>
  <c r="D82" i="19"/>
  <c r="E65" i="19"/>
  <c r="E67" i="19"/>
  <c r="E72" i="19"/>
  <c r="E75" i="19"/>
  <c r="E77" i="19"/>
  <c r="E80" i="19"/>
  <c r="E82" i="19"/>
  <c r="F65" i="19"/>
  <c r="F70" i="19"/>
  <c r="F72" i="19"/>
  <c r="F77" i="19"/>
  <c r="F80" i="19"/>
  <c r="F82" i="19"/>
  <c r="G65" i="19"/>
  <c r="G67" i="19"/>
  <c r="G70" i="19"/>
  <c r="G72" i="19"/>
  <c r="G77" i="19"/>
  <c r="G82" i="19"/>
  <c r="M20" i="19"/>
  <c r="M25" i="19"/>
  <c r="I10" i="19"/>
  <c r="I20" i="19"/>
  <c r="I25" i="19"/>
  <c r="J15" i="19"/>
  <c r="J20" i="19"/>
  <c r="J25" i="19"/>
  <c r="K10" i="19"/>
  <c r="K15" i="19"/>
  <c r="K25" i="19"/>
  <c r="L15" i="19"/>
  <c r="L20" i="19"/>
  <c r="P15" i="19"/>
  <c r="P20" i="19"/>
  <c r="P25" i="19"/>
  <c r="N10" i="19"/>
  <c r="N15" i="19"/>
  <c r="N25" i="19"/>
  <c r="O15" i="19"/>
  <c r="O20" i="19"/>
  <c r="O25" i="19"/>
  <c r="J18" i="20"/>
  <c r="E100" i="20"/>
  <c r="L20" i="17"/>
  <c r="H103" i="19" s="1"/>
  <c r="C23" i="19"/>
  <c r="L90" i="17"/>
  <c r="C110" i="19" s="1"/>
  <c r="L108" i="17"/>
  <c r="D98" i="19" s="1"/>
  <c r="L120" i="17"/>
  <c r="D110" i="19" s="1"/>
  <c r="L139" i="17"/>
  <c r="E98" i="19" s="1"/>
  <c r="L144" i="17"/>
  <c r="E103" i="19" s="1"/>
  <c r="F18" i="19"/>
  <c r="L177" i="17"/>
  <c r="R177" i="17" s="1"/>
  <c r="G15" i="19"/>
  <c r="L207" i="17"/>
  <c r="G105" i="19" s="1"/>
  <c r="M9" i="19"/>
  <c r="I9" i="19"/>
  <c r="D16" i="17"/>
  <c r="H41" i="19" s="1"/>
  <c r="D19" i="17"/>
  <c r="H44" i="19" s="1"/>
  <c r="D107" i="17"/>
  <c r="D39" i="19" s="1"/>
  <c r="H20" i="19"/>
  <c r="D8" i="19"/>
  <c r="L167" i="17"/>
  <c r="F95" i="19" s="1"/>
  <c r="L172" i="17"/>
  <c r="F100" i="19" s="1"/>
  <c r="L182" i="17"/>
  <c r="F110" i="19" s="1"/>
  <c r="G25" i="19"/>
  <c r="D228" i="17"/>
  <c r="M37" i="19" s="1"/>
  <c r="D233" i="17"/>
  <c r="M42" i="19" s="1"/>
  <c r="D259" i="17"/>
  <c r="I37" i="19" s="1"/>
  <c r="D264" i="17"/>
  <c r="I42" i="19" s="1"/>
  <c r="D321" i="17"/>
  <c r="K37" i="19" s="1"/>
  <c r="D357" i="17"/>
  <c r="L42" i="19" s="1"/>
  <c r="D367" i="17"/>
  <c r="Q367" i="17" s="1"/>
  <c r="N9" i="19"/>
  <c r="D428" i="17"/>
  <c r="N52" i="19" s="1"/>
  <c r="D443" i="17"/>
  <c r="O37" i="19" s="1"/>
  <c r="D448" i="17"/>
  <c r="Q448" i="17" s="1"/>
  <c r="N23" i="19"/>
  <c r="O23" i="19"/>
  <c r="H82" i="20"/>
  <c r="D48" i="18"/>
  <c r="B42" i="20" s="1"/>
  <c r="B74" i="20"/>
  <c r="D74" i="18"/>
  <c r="C37" i="20" s="1"/>
  <c r="D82" i="18"/>
  <c r="C45" i="20" s="1"/>
  <c r="D109" i="18"/>
  <c r="D42" i="20" s="1"/>
  <c r="D148" i="18"/>
  <c r="E50" i="20" s="1"/>
  <c r="F67" i="20"/>
  <c r="D169" i="18"/>
  <c r="F40" i="20" s="1"/>
  <c r="G79" i="20"/>
  <c r="D230" i="18"/>
  <c r="M40" i="20" s="1"/>
  <c r="D266" i="18"/>
  <c r="I45" i="20" s="1"/>
  <c r="J10" i="20"/>
  <c r="J15" i="20"/>
  <c r="D302" i="18"/>
  <c r="J50" i="20" s="1"/>
  <c r="K20" i="20"/>
  <c r="D333" i="18"/>
  <c r="K50" i="20" s="1"/>
  <c r="D349" i="18"/>
  <c r="L35" i="20" s="1"/>
  <c r="D390" i="18"/>
  <c r="P45" i="20" s="1"/>
  <c r="L17" i="17"/>
  <c r="H100" i="19" s="1"/>
  <c r="L27" i="17"/>
  <c r="H110" i="19" s="1"/>
  <c r="C20" i="19"/>
  <c r="L88" i="17"/>
  <c r="L103" i="17"/>
  <c r="D93" i="19" s="1"/>
  <c r="L115" i="17"/>
  <c r="D105" i="19" s="1"/>
  <c r="L175" i="17"/>
  <c r="F103" i="19" s="1"/>
  <c r="G20" i="19"/>
  <c r="L210" i="17"/>
  <c r="G108" i="19" s="1"/>
  <c r="L212" i="17"/>
  <c r="G110" i="19" s="1"/>
  <c r="I14" i="19"/>
  <c r="D269" i="17"/>
  <c r="I47" i="19" s="1"/>
  <c r="D290" i="17"/>
  <c r="D300" i="17"/>
  <c r="J47" i="19" s="1"/>
  <c r="D336" i="17"/>
  <c r="K52" i="19" s="1"/>
  <c r="L24" i="19"/>
  <c r="D388" i="17"/>
  <c r="Q388" i="17" s="1"/>
  <c r="D398" i="17"/>
  <c r="P52" i="19" s="1"/>
  <c r="D413" i="17"/>
  <c r="N37" i="19" s="1"/>
  <c r="N24" i="19"/>
  <c r="D453" i="17"/>
  <c r="O47" i="19" s="1"/>
  <c r="D458" i="17"/>
  <c r="O52" i="19" s="1"/>
  <c r="N13" i="19"/>
  <c r="H7" i="19"/>
  <c r="D12" i="17"/>
  <c r="H37" i="19" s="1"/>
  <c r="D15" i="17"/>
  <c r="H40" i="19" s="1"/>
  <c r="D17" i="17"/>
  <c r="H42" i="19" s="1"/>
  <c r="D20" i="17"/>
  <c r="Q20" i="17" s="1"/>
  <c r="D22" i="17"/>
  <c r="H47" i="19" s="1"/>
  <c r="H22" i="19"/>
  <c r="D25" i="17"/>
  <c r="H50" i="19" s="1"/>
  <c r="D42" i="17"/>
  <c r="B35" i="19" s="1"/>
  <c r="D47" i="17"/>
  <c r="B40" i="19" s="1"/>
  <c r="D49" i="17"/>
  <c r="B42" i="19" s="1"/>
  <c r="D52" i="17"/>
  <c r="B45" i="19" s="1"/>
  <c r="D54" i="17"/>
  <c r="B47" i="19" s="1"/>
  <c r="D57" i="17"/>
  <c r="B50" i="19" s="1"/>
  <c r="C35" i="19"/>
  <c r="D75" i="17"/>
  <c r="C37" i="19" s="1"/>
  <c r="D80" i="17"/>
  <c r="C42" i="19" s="1"/>
  <c r="D83" i="17"/>
  <c r="Q83" i="17" s="1"/>
  <c r="D85" i="17"/>
  <c r="C47" i="19" s="1"/>
  <c r="H13" i="20"/>
  <c r="I14" i="20"/>
  <c r="J19" i="20"/>
  <c r="D88" i="17"/>
  <c r="C50" i="19" s="1"/>
  <c r="D90" i="17"/>
  <c r="C52" i="19" s="1"/>
  <c r="D103" i="17"/>
  <c r="D35" i="19" s="1"/>
  <c r="D108" i="17"/>
  <c r="Q108" i="17" s="1"/>
  <c r="D110" i="17"/>
  <c r="D42" i="19" s="1"/>
  <c r="D113" i="17"/>
  <c r="D45" i="19" s="1"/>
  <c r="D115" i="17"/>
  <c r="D47" i="19" s="1"/>
  <c r="D118" i="17"/>
  <c r="Q118" i="17" s="1"/>
  <c r="D24" i="19"/>
  <c r="D120" i="17"/>
  <c r="D52" i="19" s="1"/>
  <c r="D134" i="17"/>
  <c r="E35" i="19" s="1"/>
  <c r="D136" i="17"/>
  <c r="E37" i="19" s="1"/>
  <c r="D141" i="17"/>
  <c r="E42" i="19" s="1"/>
  <c r="D144" i="17"/>
  <c r="E45" i="19" s="1"/>
  <c r="D146" i="17"/>
  <c r="Q146" i="17" s="1"/>
  <c r="D165" i="17"/>
  <c r="F35" i="19" s="1"/>
  <c r="D170" i="17"/>
  <c r="F40" i="19" s="1"/>
  <c r="D172" i="17"/>
  <c r="F42" i="19" s="1"/>
  <c r="F17" i="19"/>
  <c r="D175" i="17"/>
  <c r="F45" i="19" s="1"/>
  <c r="D177" i="17"/>
  <c r="F47" i="19" s="1"/>
  <c r="D180" i="17"/>
  <c r="F50" i="19" s="1"/>
  <c r="D182" i="17"/>
  <c r="Q182" i="17" s="1"/>
  <c r="D195" i="17"/>
  <c r="D197" i="17"/>
  <c r="G37" i="19" s="1"/>
  <c r="D200" i="17"/>
  <c r="G40" i="19" s="1"/>
  <c r="D205" i="17"/>
  <c r="G45" i="19" s="1"/>
  <c r="D207" i="17"/>
  <c r="G47" i="19" s="1"/>
  <c r="D210" i="17"/>
  <c r="G50" i="19" s="1"/>
  <c r="D212" i="17"/>
  <c r="G52" i="19" s="1"/>
  <c r="D227" i="17"/>
  <c r="Q227" i="17" s="1"/>
  <c r="D232" i="17"/>
  <c r="D237" i="17"/>
  <c r="M46" i="19" s="1"/>
  <c r="D242" i="17"/>
  <c r="Q242" i="17" s="1"/>
  <c r="D268" i="17"/>
  <c r="I46" i="19" s="1"/>
  <c r="I22" i="19"/>
  <c r="D289" i="17"/>
  <c r="J36" i="19" s="1"/>
  <c r="D294" i="17"/>
  <c r="J41" i="19" s="1"/>
  <c r="D335" i="17"/>
  <c r="K51" i="19" s="1"/>
  <c r="D351" i="17"/>
  <c r="Q351" i="17" s="1"/>
  <c r="D356" i="17"/>
  <c r="L41" i="19" s="1"/>
  <c r="D366" i="17"/>
  <c r="Q366" i="17" s="1"/>
  <c r="D387" i="17"/>
  <c r="P41" i="19" s="1"/>
  <c r="D392" i="17"/>
  <c r="P46" i="19" s="1"/>
  <c r="D412" i="17"/>
  <c r="N36" i="19" s="1"/>
  <c r="D417" i="17"/>
  <c r="N41" i="19" s="1"/>
  <c r="D422" i="17"/>
  <c r="Q422" i="17" s="1"/>
  <c r="D427" i="17"/>
  <c r="D442" i="17"/>
  <c r="Q442" i="17" s="1"/>
  <c r="D447" i="17"/>
  <c r="Q447" i="17" s="1"/>
  <c r="D452" i="17"/>
  <c r="O46" i="19" s="1"/>
  <c r="D457" i="17"/>
  <c r="O51" i="19" s="1"/>
  <c r="D10" i="20"/>
  <c r="D20" i="20"/>
  <c r="D23" i="20"/>
  <c r="E15" i="20"/>
  <c r="G8" i="20"/>
  <c r="G18" i="20"/>
  <c r="G25" i="20"/>
  <c r="M19" i="20"/>
  <c r="K9" i="20"/>
  <c r="P14" i="20"/>
  <c r="P19" i="20"/>
  <c r="P24" i="20"/>
  <c r="N9" i="20"/>
  <c r="N14" i="20"/>
  <c r="N19" i="20"/>
  <c r="O9" i="20"/>
  <c r="O14" i="20"/>
  <c r="O24" i="20"/>
  <c r="D109" i="17"/>
  <c r="D41" i="19" s="1"/>
  <c r="D114" i="17"/>
  <c r="D46" i="19" s="1"/>
  <c r="D117" i="17"/>
  <c r="D49" i="19" s="1"/>
  <c r="D133" i="17"/>
  <c r="E34" i="19" s="1"/>
  <c r="D135" i="17"/>
  <c r="E36" i="19" s="1"/>
  <c r="D143" i="17"/>
  <c r="E44" i="19" s="1"/>
  <c r="D166" i="17"/>
  <c r="F36" i="19" s="1"/>
  <c r="D169" i="17"/>
  <c r="F39" i="19" s="1"/>
  <c r="D179" i="17"/>
  <c r="F49" i="19" s="1"/>
  <c r="D194" i="17"/>
  <c r="G34" i="19" s="1"/>
  <c r="D196" i="17"/>
  <c r="G36" i="19" s="1"/>
  <c r="D201" i="17"/>
  <c r="G41" i="19" s="1"/>
  <c r="D204" i="17"/>
  <c r="G44" i="19" s="1"/>
  <c r="D225" i="17"/>
  <c r="M34" i="19" s="1"/>
  <c r="D230" i="17"/>
  <c r="M39" i="19" s="1"/>
  <c r="D240" i="17"/>
  <c r="M49" i="19" s="1"/>
  <c r="D256" i="17"/>
  <c r="I34" i="19" s="1"/>
  <c r="D261" i="17"/>
  <c r="I39" i="19" s="1"/>
  <c r="D292" i="17"/>
  <c r="J39" i="19" s="1"/>
  <c r="D297" i="17"/>
  <c r="J44" i="19" s="1"/>
  <c r="D328" i="17"/>
  <c r="K44" i="19" s="1"/>
  <c r="D333" i="17"/>
  <c r="K49" i="19" s="1"/>
  <c r="D349" i="17"/>
  <c r="L34" i="19" s="1"/>
  <c r="D354" i="17"/>
  <c r="L39" i="19" s="1"/>
  <c r="D385" i="17"/>
  <c r="P39" i="19" s="1"/>
  <c r="D410" i="17"/>
  <c r="N34" i="19" s="1"/>
  <c r="D425" i="17"/>
  <c r="N49" i="19" s="1"/>
  <c r="D445" i="17"/>
  <c r="O39" i="19" s="1"/>
  <c r="D450" i="17"/>
  <c r="O44" i="19" s="1"/>
  <c r="D455" i="17"/>
  <c r="O49" i="19" s="1"/>
  <c r="L22" i="18"/>
  <c r="H107" i="20" s="1"/>
  <c r="L200" i="18"/>
  <c r="G100" i="20" s="1"/>
  <c r="D448" i="18"/>
  <c r="O43" i="20" s="1"/>
  <c r="D172" i="18"/>
  <c r="F43" i="20" s="1"/>
  <c r="D237" i="18"/>
  <c r="M47" i="20" s="1"/>
  <c r="O18" i="20"/>
  <c r="H71" i="20"/>
  <c r="H8" i="19"/>
  <c r="L10" i="17"/>
  <c r="H93" i="19" s="1"/>
  <c r="H10" i="19"/>
  <c r="H13" i="19"/>
  <c r="L15" i="17"/>
  <c r="H15" i="19"/>
  <c r="H18" i="19"/>
  <c r="H23" i="19"/>
  <c r="L25" i="17"/>
  <c r="H108" i="19" s="1"/>
  <c r="H25" i="19"/>
  <c r="B8" i="19"/>
  <c r="B10" i="19"/>
  <c r="L44" i="17"/>
  <c r="B95" i="19" s="1"/>
  <c r="B13" i="19"/>
  <c r="B15" i="19"/>
  <c r="L49" i="17"/>
  <c r="L52" i="17"/>
  <c r="R195" i="18"/>
  <c r="Q357" i="18"/>
  <c r="H9" i="19"/>
  <c r="L11" i="17"/>
  <c r="H12" i="19"/>
  <c r="L14" i="17"/>
  <c r="H97" i="19" s="1"/>
  <c r="H14" i="19"/>
  <c r="L16" i="17"/>
  <c r="H17" i="19"/>
  <c r="H19" i="19"/>
  <c r="L21" i="17"/>
  <c r="L24" i="17"/>
  <c r="H107" i="19" s="1"/>
  <c r="H24" i="19"/>
  <c r="L26" i="17"/>
  <c r="H109" i="19" s="1"/>
  <c r="B7" i="19"/>
  <c r="L41" i="17"/>
  <c r="B9" i="19"/>
  <c r="L43" i="17"/>
  <c r="B94" i="19" s="1"/>
  <c r="B12" i="19"/>
  <c r="B14" i="19"/>
  <c r="L48" i="17"/>
  <c r="B99" i="19" s="1"/>
  <c r="B17" i="19"/>
  <c r="L51" i="17"/>
  <c r="B19" i="19"/>
  <c r="L53" i="17"/>
  <c r="B104" i="19" s="1"/>
  <c r="B22" i="19"/>
  <c r="L56" i="17"/>
  <c r="B107" i="19" s="1"/>
  <c r="B24" i="19"/>
  <c r="L58" i="17"/>
  <c r="C7" i="19"/>
  <c r="L72" i="17"/>
  <c r="C92" i="19" s="1"/>
  <c r="C9" i="19"/>
  <c r="L74" i="17"/>
  <c r="C12" i="19"/>
  <c r="L77" i="17"/>
  <c r="L79" i="17"/>
  <c r="C17" i="19"/>
  <c r="L82" i="17"/>
  <c r="C102" i="19" s="1"/>
  <c r="C19" i="19"/>
  <c r="L84" i="17"/>
  <c r="C22" i="19"/>
  <c r="L87" i="17"/>
  <c r="C24" i="19"/>
  <c r="L89" i="17"/>
  <c r="D7" i="19"/>
  <c r="L102" i="17"/>
  <c r="D9" i="19"/>
  <c r="L104" i="17"/>
  <c r="D94" i="19" s="1"/>
  <c r="D12" i="19"/>
  <c r="L107" i="17"/>
  <c r="D97" i="19" s="1"/>
  <c r="D14" i="19"/>
  <c r="L109" i="17"/>
  <c r="D17" i="19"/>
  <c r="L112" i="17"/>
  <c r="D19" i="19"/>
  <c r="L114" i="17"/>
  <c r="D22" i="19"/>
  <c r="L117" i="17"/>
  <c r="D107" i="19" s="1"/>
  <c r="L119" i="17"/>
  <c r="D109" i="19" s="1"/>
  <c r="E7" i="19"/>
  <c r="L133" i="17"/>
  <c r="E9" i="19"/>
  <c r="L135" i="17"/>
  <c r="E94" i="19" s="1"/>
  <c r="E12" i="19"/>
  <c r="L138" i="17"/>
  <c r="E97" i="19" s="1"/>
  <c r="E14" i="19"/>
  <c r="L140" i="17"/>
  <c r="E99" i="19" s="1"/>
  <c r="E17" i="19"/>
  <c r="L143" i="17"/>
  <c r="E19" i="19"/>
  <c r="L145" i="17"/>
  <c r="E22" i="19"/>
  <c r="L148" i="17"/>
  <c r="E24" i="19"/>
  <c r="L150" i="17"/>
  <c r="F7" i="19"/>
  <c r="L164" i="17"/>
  <c r="F9" i="19"/>
  <c r="F12" i="19"/>
  <c r="L169" i="17"/>
  <c r="L171" i="17"/>
  <c r="L174" i="17"/>
  <c r="F19" i="19"/>
  <c r="L176" i="17"/>
  <c r="F104" i="19" s="1"/>
  <c r="F22" i="19"/>
  <c r="L179" i="17"/>
  <c r="F107" i="19" s="1"/>
  <c r="L181" i="17"/>
  <c r="F109" i="19" s="1"/>
  <c r="G7" i="19"/>
  <c r="L194" i="17"/>
  <c r="L196" i="17"/>
  <c r="G12" i="19"/>
  <c r="L199" i="17"/>
  <c r="G14" i="19"/>
  <c r="L201" i="17"/>
  <c r="G99" i="19" s="1"/>
  <c r="G17" i="19"/>
  <c r="L204" i="17"/>
  <c r="G102" i="19" s="1"/>
  <c r="G19" i="19"/>
  <c r="L206" i="17"/>
  <c r="G104" i="19" s="1"/>
  <c r="G22" i="19"/>
  <c r="L209" i="17"/>
  <c r="G24" i="19"/>
  <c r="L211" i="17"/>
  <c r="M7" i="19"/>
  <c r="D226" i="17"/>
  <c r="M35" i="19" s="1"/>
  <c r="M12" i="19"/>
  <c r="D231" i="17"/>
  <c r="M17" i="19"/>
  <c r="D236" i="17"/>
  <c r="M22" i="19"/>
  <c r="D241" i="17"/>
  <c r="I7" i="19"/>
  <c r="D257" i="17"/>
  <c r="D262" i="17"/>
  <c r="I40" i="19" s="1"/>
  <c r="I17" i="19"/>
  <c r="D267" i="17"/>
  <c r="I45" i="19" s="1"/>
  <c r="D272" i="17"/>
  <c r="J7" i="19"/>
  <c r="J12" i="19"/>
  <c r="D293" i="17"/>
  <c r="J17" i="19"/>
  <c r="J22" i="19"/>
  <c r="K17" i="19"/>
  <c r="P12" i="19"/>
  <c r="O12" i="19"/>
  <c r="O22" i="19"/>
  <c r="D9" i="17"/>
  <c r="H34" i="19" s="1"/>
  <c r="D11" i="17"/>
  <c r="H36" i="19" s="1"/>
  <c r="D14" i="17"/>
  <c r="H39" i="19" s="1"/>
  <c r="H75" i="19"/>
  <c r="D21" i="17"/>
  <c r="D46" i="17"/>
  <c r="B39" i="19" s="1"/>
  <c r="D58" i="17"/>
  <c r="B51" i="19" s="1"/>
  <c r="D72" i="17"/>
  <c r="C34" i="19" s="1"/>
  <c r="D84" i="17"/>
  <c r="C46" i="19" s="1"/>
  <c r="C82" i="19"/>
  <c r="D67" i="19"/>
  <c r="E70" i="19"/>
  <c r="F75" i="19"/>
  <c r="G75" i="19"/>
  <c r="G80" i="19"/>
  <c r="J10" i="19"/>
  <c r="K20" i="19"/>
  <c r="P10" i="19"/>
  <c r="O10" i="19"/>
  <c r="Q290" i="18"/>
  <c r="J38" i="20"/>
  <c r="F76" i="20"/>
  <c r="G81" i="20"/>
  <c r="K13" i="20"/>
  <c r="N23" i="20"/>
  <c r="L10" i="19"/>
  <c r="L54" i="17"/>
  <c r="L80" i="17"/>
  <c r="D17" i="18"/>
  <c r="H43" i="20" s="1"/>
  <c r="D20" i="18"/>
  <c r="D25" i="18"/>
  <c r="D27" i="18"/>
  <c r="D44" i="18"/>
  <c r="B22" i="20"/>
  <c r="D57" i="18"/>
  <c r="D80" i="18"/>
  <c r="D88" i="18"/>
  <c r="D103" i="18"/>
  <c r="D36" i="20" s="1"/>
  <c r="D9" i="20"/>
  <c r="D105" i="18"/>
  <c r="D38" i="20" s="1"/>
  <c r="D118" i="18"/>
  <c r="D134" i="18"/>
  <c r="E36" i="20" s="1"/>
  <c r="D139" i="18"/>
  <c r="E41" i="20" s="1"/>
  <c r="E14" i="20"/>
  <c r="D146" i="18"/>
  <c r="E48" i="20" s="1"/>
  <c r="D151" i="18"/>
  <c r="D180" i="18"/>
  <c r="D210" i="18"/>
  <c r="D258" i="18"/>
  <c r="J12" i="20"/>
  <c r="D294" i="18"/>
  <c r="J17" i="20"/>
  <c r="D304" i="18"/>
  <c r="J52" i="20" s="1"/>
  <c r="D330" i="18"/>
  <c r="D351" i="18"/>
  <c r="L12" i="20"/>
  <c r="D366" i="18"/>
  <c r="D427" i="18"/>
  <c r="D447" i="18"/>
  <c r="D457" i="18"/>
  <c r="O52" i="20" s="1"/>
  <c r="L73" i="17"/>
  <c r="C93" i="19" s="1"/>
  <c r="L75" i="17"/>
  <c r="D10" i="18"/>
  <c r="D12" i="18"/>
  <c r="D15" i="18"/>
  <c r="H41" i="20" s="1"/>
  <c r="H19" i="20"/>
  <c r="D22" i="18"/>
  <c r="D42" i="18"/>
  <c r="B36" i="20" s="1"/>
  <c r="D47" i="18"/>
  <c r="B14" i="20"/>
  <c r="D49" i="18"/>
  <c r="D59" i="18"/>
  <c r="C36" i="20"/>
  <c r="C9" i="20"/>
  <c r="D75" i="18"/>
  <c r="D78" i="18"/>
  <c r="C17" i="20"/>
  <c r="D83" i="18"/>
  <c r="D85" i="18"/>
  <c r="D110" i="18"/>
  <c r="D17" i="20"/>
  <c r="D113" i="18"/>
  <c r="D115" i="18"/>
  <c r="D120" i="18"/>
  <c r="D53" i="20" s="1"/>
  <c r="D136" i="18"/>
  <c r="E38" i="20" s="1"/>
  <c r="D141" i="18"/>
  <c r="E43" i="20" s="1"/>
  <c r="D149" i="18"/>
  <c r="D165" i="18"/>
  <c r="F36" i="20" s="1"/>
  <c r="F12" i="20"/>
  <c r="D170" i="18"/>
  <c r="D175" i="18"/>
  <c r="D177" i="18"/>
  <c r="F24" i="20"/>
  <c r="D182" i="18"/>
  <c r="D195" i="18"/>
  <c r="G36" i="20" s="1"/>
  <c r="G12" i="20"/>
  <c r="D200" i="18"/>
  <c r="D202" i="18"/>
  <c r="D205" i="18"/>
  <c r="D212" i="18"/>
  <c r="D227" i="18"/>
  <c r="M37" i="20" s="1"/>
  <c r="D232" i="18"/>
  <c r="M42" i="20" s="1"/>
  <c r="D242" i="18"/>
  <c r="M52" i="20" s="1"/>
  <c r="D268" i="18"/>
  <c r="D289" i="18"/>
  <c r="D325" i="18"/>
  <c r="K42" i="20" s="1"/>
  <c r="D335" i="18"/>
  <c r="K52" i="20" s="1"/>
  <c r="D356" i="18"/>
  <c r="L42" i="20" s="1"/>
  <c r="D382" i="18"/>
  <c r="P12" i="20"/>
  <c r="D387" i="18"/>
  <c r="D392" i="18"/>
  <c r="D412" i="18"/>
  <c r="N37" i="20" s="1"/>
  <c r="N12" i="20"/>
  <c r="D417" i="18"/>
  <c r="N42" i="20" s="1"/>
  <c r="D422" i="18"/>
  <c r="D442" i="18"/>
  <c r="D452" i="18"/>
  <c r="O47" i="20" s="1"/>
  <c r="N20" i="19"/>
  <c r="H69" i="20"/>
  <c r="C25" i="19"/>
  <c r="D13" i="19"/>
  <c r="D20" i="19"/>
  <c r="D23" i="19"/>
  <c r="D25" i="19"/>
  <c r="E10" i="19"/>
  <c r="E15" i="19"/>
  <c r="E25" i="19"/>
  <c r="F8" i="19"/>
  <c r="F13" i="19"/>
  <c r="F15" i="19"/>
  <c r="F20" i="19"/>
  <c r="F25" i="19"/>
  <c r="G8" i="19"/>
  <c r="G10" i="19"/>
  <c r="G23" i="19"/>
  <c r="M14" i="19"/>
  <c r="M24" i="19"/>
  <c r="I19" i="19"/>
  <c r="I24" i="19"/>
  <c r="J9" i="19"/>
  <c r="J19" i="19"/>
  <c r="J24" i="19"/>
  <c r="K14" i="19"/>
  <c r="K24" i="19"/>
  <c r="L9" i="19"/>
  <c r="L14" i="19"/>
  <c r="P9" i="19"/>
  <c r="P19" i="19"/>
  <c r="O14" i="19"/>
  <c r="O19" i="19"/>
  <c r="D9" i="18"/>
  <c r="H35" i="20" s="1"/>
  <c r="H67" i="20"/>
  <c r="D11" i="18"/>
  <c r="H37" i="20" s="1"/>
  <c r="D14" i="18"/>
  <c r="H40" i="20" s="1"/>
  <c r="H72" i="20"/>
  <c r="D19" i="18"/>
  <c r="B82" i="20"/>
  <c r="E72" i="20"/>
  <c r="K15" i="20"/>
  <c r="O10" i="20"/>
  <c r="L42" i="18"/>
  <c r="B95" i="20" s="1"/>
  <c r="L54" i="18"/>
  <c r="D298" i="17"/>
  <c r="J45" i="19" s="1"/>
  <c r="D303" i="17"/>
  <c r="J50" i="19" s="1"/>
  <c r="D304" i="17"/>
  <c r="J51" i="19" s="1"/>
  <c r="D319" i="17"/>
  <c r="K35" i="19" s="1"/>
  <c r="K12" i="19"/>
  <c r="D325" i="17"/>
  <c r="K41" i="19" s="1"/>
  <c r="D329" i="17"/>
  <c r="D330" i="17"/>
  <c r="K22" i="19"/>
  <c r="D334" i="17"/>
  <c r="L7" i="19"/>
  <c r="D355" i="17"/>
  <c r="D360" i="17"/>
  <c r="L22" i="19"/>
  <c r="D381" i="17"/>
  <c r="D386" i="17"/>
  <c r="P17" i="19"/>
  <c r="D391" i="17"/>
  <c r="P22" i="19"/>
  <c r="D396" i="17"/>
  <c r="P50" i="19" s="1"/>
  <c r="N7" i="19"/>
  <c r="D411" i="17"/>
  <c r="N35" i="19" s="1"/>
  <c r="N12" i="19"/>
  <c r="D416" i="17"/>
  <c r="Q416" i="17" s="1"/>
  <c r="D421" i="17"/>
  <c r="N22" i="19"/>
  <c r="D426" i="17"/>
  <c r="O7" i="19"/>
  <c r="D446" i="17"/>
  <c r="O17" i="19"/>
  <c r="D451" i="17"/>
  <c r="O45" i="19" s="1"/>
  <c r="D456" i="17"/>
  <c r="O50" i="19" s="1"/>
  <c r="Q274" i="18"/>
  <c r="I53" i="20"/>
  <c r="H66" i="20"/>
  <c r="H68" i="20"/>
  <c r="H73" i="20"/>
  <c r="H76" i="20"/>
  <c r="H78" i="20"/>
  <c r="H81" i="20"/>
  <c r="H83" i="20"/>
  <c r="B66" i="20"/>
  <c r="B68" i="20"/>
  <c r="B71" i="20"/>
  <c r="B73" i="20"/>
  <c r="B76" i="20"/>
  <c r="B78" i="20"/>
  <c r="B81" i="20"/>
  <c r="B83" i="20"/>
  <c r="C66" i="20"/>
  <c r="C68" i="20"/>
  <c r="C71" i="20"/>
  <c r="C73" i="20"/>
  <c r="C76" i="20"/>
  <c r="C78" i="20"/>
  <c r="C81" i="20"/>
  <c r="C83" i="20"/>
  <c r="D68" i="20"/>
  <c r="D71" i="20"/>
  <c r="D73" i="20"/>
  <c r="D76" i="20"/>
  <c r="D78" i="20"/>
  <c r="D81" i="20"/>
  <c r="D83" i="20"/>
  <c r="E66" i="20"/>
  <c r="E68" i="20"/>
  <c r="E71" i="20"/>
  <c r="E73" i="20"/>
  <c r="E76" i="20"/>
  <c r="E78" i="20"/>
  <c r="E81" i="20"/>
  <c r="E83" i="20"/>
  <c r="F66" i="20"/>
  <c r="F68" i="20"/>
  <c r="F71" i="20"/>
  <c r="F73" i="20"/>
  <c r="F78" i="20"/>
  <c r="F81" i="20"/>
  <c r="F83" i="20"/>
  <c r="G66" i="20"/>
  <c r="G68" i="20"/>
  <c r="G73" i="20"/>
  <c r="G76" i="20"/>
  <c r="G78" i="20"/>
  <c r="G83" i="20"/>
  <c r="M13" i="20"/>
  <c r="M18" i="20"/>
  <c r="M23" i="20"/>
  <c r="I8" i="20"/>
  <c r="I13" i="20"/>
  <c r="I18" i="20"/>
  <c r="I23" i="20"/>
  <c r="J8" i="20"/>
  <c r="J13" i="20"/>
  <c r="J23" i="20"/>
  <c r="K8" i="20"/>
  <c r="K18" i="20"/>
  <c r="K23" i="20"/>
  <c r="L8" i="20"/>
  <c r="L13" i="20"/>
  <c r="L18" i="20"/>
  <c r="L23" i="20"/>
  <c r="P8" i="20"/>
  <c r="P13" i="20"/>
  <c r="P18" i="20"/>
  <c r="P23" i="20"/>
  <c r="N8" i="20"/>
  <c r="N13" i="20"/>
  <c r="N18" i="20"/>
  <c r="O8" i="20"/>
  <c r="O13" i="20"/>
  <c r="O23" i="20"/>
  <c r="D16" i="18"/>
  <c r="H74" i="20"/>
  <c r="D21" i="18"/>
  <c r="H79" i="20"/>
  <c r="H84" i="20"/>
  <c r="B67" i="20"/>
  <c r="B69" i="20"/>
  <c r="D46" i="18"/>
  <c r="B40" i="20" s="1"/>
  <c r="B72" i="20"/>
  <c r="B77" i="20"/>
  <c r="B79" i="20"/>
  <c r="D56" i="18"/>
  <c r="B84" i="20"/>
  <c r="D72" i="18"/>
  <c r="C35" i="20" s="1"/>
  <c r="C67" i="20"/>
  <c r="C69" i="20"/>
  <c r="C72" i="20"/>
  <c r="C74" i="20"/>
  <c r="C77" i="20"/>
  <c r="C79" i="20"/>
  <c r="C82" i="20"/>
  <c r="D89" i="18"/>
  <c r="C52" i="20" s="1"/>
  <c r="C84" i="20"/>
  <c r="D102" i="18"/>
  <c r="D67" i="20"/>
  <c r="D104" i="18"/>
  <c r="D69" i="20"/>
  <c r="D72" i="20"/>
  <c r="D74" i="20"/>
  <c r="D112" i="18"/>
  <c r="D45" i="20" s="1"/>
  <c r="D77" i="20"/>
  <c r="D114" i="18"/>
  <c r="D79" i="20"/>
  <c r="D82" i="20"/>
  <c r="D84" i="20"/>
  <c r="E67" i="20"/>
  <c r="E69" i="20"/>
  <c r="D138" i="18"/>
  <c r="D140" i="18"/>
  <c r="E42" i="20" s="1"/>
  <c r="E74" i="20"/>
  <c r="E77" i="20"/>
  <c r="D145" i="18"/>
  <c r="E47" i="20" s="1"/>
  <c r="E79" i="20"/>
  <c r="E82" i="20"/>
  <c r="D150" i="18"/>
  <c r="E84" i="20"/>
  <c r="D166" i="18"/>
  <c r="F69" i="20"/>
  <c r="F72" i="20"/>
  <c r="F74" i="20"/>
  <c r="F79" i="20"/>
  <c r="D179" i="18"/>
  <c r="F50" i="20" s="1"/>
  <c r="F82" i="20"/>
  <c r="D181" i="18"/>
  <c r="F84" i="20"/>
  <c r="G67" i="20"/>
  <c r="G69" i="20"/>
  <c r="D199" i="18"/>
  <c r="G40" i="20" s="1"/>
  <c r="G72" i="20"/>
  <c r="D201" i="18"/>
  <c r="G74" i="20"/>
  <c r="G77" i="20"/>
  <c r="D206" i="18"/>
  <c r="G47" i="20" s="1"/>
  <c r="D209" i="18"/>
  <c r="G50" i="20" s="1"/>
  <c r="G82" i="20"/>
  <c r="G84" i="20"/>
  <c r="D225" i="18"/>
  <c r="M35" i="20" s="1"/>
  <c r="M10" i="20"/>
  <c r="M15" i="20"/>
  <c r="M20" i="20"/>
  <c r="D240" i="18"/>
  <c r="M50" i="20" s="1"/>
  <c r="M25" i="20"/>
  <c r="D256" i="18"/>
  <c r="I35" i="20" s="1"/>
  <c r="I10" i="20"/>
  <c r="D261" i="18"/>
  <c r="I40" i="20" s="1"/>
  <c r="I15" i="20"/>
  <c r="I20" i="20"/>
  <c r="I25" i="20"/>
  <c r="D292" i="18"/>
  <c r="J40" i="20" s="1"/>
  <c r="D297" i="18"/>
  <c r="J45" i="20" s="1"/>
  <c r="J20" i="20"/>
  <c r="J25" i="20"/>
  <c r="D328" i="18"/>
  <c r="K45" i="20" s="1"/>
  <c r="Q336" i="18"/>
  <c r="K25" i="20"/>
  <c r="L10" i="20"/>
  <c r="D354" i="18"/>
  <c r="L40" i="20" s="1"/>
  <c r="L20" i="20"/>
  <c r="L25" i="20"/>
  <c r="P10" i="20"/>
  <c r="D385" i="18"/>
  <c r="P40" i="20" s="1"/>
  <c r="P15" i="20"/>
  <c r="P20" i="20"/>
  <c r="P25" i="20"/>
  <c r="D410" i="18"/>
  <c r="N10" i="20"/>
  <c r="D415" i="18"/>
  <c r="N40" i="20" s="1"/>
  <c r="N15" i="20"/>
  <c r="N20" i="20"/>
  <c r="D425" i="18"/>
  <c r="N50" i="20" s="1"/>
  <c r="N25" i="20"/>
  <c r="O15" i="20"/>
  <c r="D450" i="18"/>
  <c r="O45" i="20" s="1"/>
  <c r="O20" i="20"/>
  <c r="D455" i="18"/>
  <c r="O25" i="20"/>
  <c r="L13" i="19"/>
  <c r="L18" i="19"/>
  <c r="L23" i="19"/>
  <c r="P18" i="19"/>
  <c r="P23" i="19"/>
  <c r="O8" i="19"/>
  <c r="H10" i="20"/>
  <c r="H15" i="20"/>
  <c r="L17" i="18"/>
  <c r="H102" i="20" s="1"/>
  <c r="H18" i="20"/>
  <c r="H20" i="20"/>
  <c r="H23" i="20"/>
  <c r="L27" i="18"/>
  <c r="H112" i="20" s="1"/>
  <c r="B8" i="20"/>
  <c r="B13" i="20"/>
  <c r="L47" i="18"/>
  <c r="B100" i="20" s="1"/>
  <c r="B15" i="20"/>
  <c r="B18" i="20"/>
  <c r="B20" i="20"/>
  <c r="B23" i="20"/>
  <c r="L59" i="18"/>
  <c r="B112" i="20" s="1"/>
  <c r="C8" i="20"/>
  <c r="C10" i="20"/>
  <c r="L75" i="18"/>
  <c r="C97" i="20" s="1"/>
  <c r="C13" i="20"/>
  <c r="L80" i="18"/>
  <c r="C102" i="20" s="1"/>
  <c r="C18" i="20"/>
  <c r="L83" i="18"/>
  <c r="C20" i="20"/>
  <c r="L85" i="18"/>
  <c r="C107" i="20" s="1"/>
  <c r="C23" i="20"/>
  <c r="C25" i="20"/>
  <c r="D8" i="20"/>
  <c r="L105" i="18"/>
  <c r="D15" i="20"/>
  <c r="D18" i="20"/>
  <c r="L118" i="18"/>
  <c r="D110" i="20" s="1"/>
  <c r="D25" i="20"/>
  <c r="L134" i="18"/>
  <c r="E95" i="20" s="1"/>
  <c r="E10" i="20"/>
  <c r="E13" i="20"/>
  <c r="E20" i="20"/>
  <c r="E23" i="20"/>
  <c r="E25" i="20"/>
  <c r="F8" i="20"/>
  <c r="L167" i="18"/>
  <c r="F13" i="20"/>
  <c r="F15" i="20"/>
  <c r="F18" i="20"/>
  <c r="L175" i="18"/>
  <c r="F20" i="20"/>
  <c r="F25" i="20"/>
  <c r="L182" i="18"/>
  <c r="F112" i="20" s="1"/>
  <c r="G10" i="20"/>
  <c r="G13" i="20"/>
  <c r="G15" i="20"/>
  <c r="G20" i="20"/>
  <c r="G23" i="20"/>
  <c r="M9" i="20"/>
  <c r="M14" i="20"/>
  <c r="D233" i="18"/>
  <c r="M43" i="20" s="1"/>
  <c r="M24" i="20"/>
  <c r="I19" i="20"/>
  <c r="D269" i="18"/>
  <c r="I48" i="20" s="1"/>
  <c r="I24" i="20"/>
  <c r="J9" i="20"/>
  <c r="D300" i="18"/>
  <c r="D305" i="18"/>
  <c r="J53" i="20" s="1"/>
  <c r="K14" i="20"/>
  <c r="K19" i="20"/>
  <c r="D331" i="18"/>
  <c r="K24" i="20"/>
  <c r="L9" i="20"/>
  <c r="L14" i="20"/>
  <c r="L19" i="20"/>
  <c r="D362" i="18"/>
  <c r="L24" i="20"/>
  <c r="P9" i="20"/>
  <c r="D388" i="18"/>
  <c r="D393" i="18"/>
  <c r="P48" i="20" s="1"/>
  <c r="D418" i="18"/>
  <c r="D443" i="18"/>
  <c r="D458" i="18"/>
  <c r="F77" i="20"/>
  <c r="D423" i="18"/>
  <c r="D52" i="18"/>
  <c r="D167" i="18"/>
  <c r="D211" i="18"/>
  <c r="D26" i="18"/>
  <c r="D54" i="18"/>
  <c r="L109" i="18"/>
  <c r="R113" i="18"/>
  <c r="L145" i="18"/>
  <c r="D197" i="18"/>
  <c r="L210" i="18"/>
  <c r="G110" i="20" s="1"/>
  <c r="D263" i="18"/>
  <c r="D299" i="18"/>
  <c r="L10" i="18"/>
  <c r="R72" i="18"/>
  <c r="D171" i="18"/>
  <c r="D207" i="18"/>
  <c r="L9" i="18"/>
  <c r="L19" i="18"/>
  <c r="D24" i="18"/>
  <c r="L44" i="18"/>
  <c r="D58" i="18"/>
  <c r="L78" i="18"/>
  <c r="L88" i="18"/>
  <c r="L90" i="18"/>
  <c r="D108" i="18"/>
  <c r="L110" i="18"/>
  <c r="L120" i="18"/>
  <c r="D144" i="18"/>
  <c r="L146" i="18"/>
  <c r="L170" i="18"/>
  <c r="Q264" i="18"/>
  <c r="D273" i="18"/>
  <c r="D288" i="18"/>
  <c r="D361" i="18"/>
  <c r="L47" i="20" s="1"/>
  <c r="D441" i="18"/>
  <c r="D43" i="18"/>
  <c r="D51" i="18"/>
  <c r="D77" i="18"/>
  <c r="D107" i="18"/>
  <c r="D119" i="18"/>
  <c r="D135" i="18"/>
  <c r="D143" i="18"/>
  <c r="D164" i="18"/>
  <c r="D176" i="18"/>
  <c r="F47" i="20" s="1"/>
  <c r="D196" i="18"/>
  <c r="D204" i="18"/>
  <c r="D271" i="18"/>
  <c r="I50" i="20" s="1"/>
  <c r="D287" i="18"/>
  <c r="D320" i="18"/>
  <c r="D397" i="18"/>
  <c r="D420" i="18"/>
  <c r="D440" i="18"/>
  <c r="D90" i="18"/>
  <c r="L205" i="18"/>
  <c r="D324" i="18"/>
  <c r="D365" i="18"/>
  <c r="D41" i="18"/>
  <c r="L52" i="18"/>
  <c r="D79" i="18"/>
  <c r="C42" i="20" s="1"/>
  <c r="D87" i="18"/>
  <c r="L89" i="18"/>
  <c r="L108" i="18"/>
  <c r="D117" i="18"/>
  <c r="D133" i="18"/>
  <c r="L144" i="18"/>
  <c r="L165" i="18"/>
  <c r="D174" i="18"/>
  <c r="D194" i="18"/>
  <c r="D235" i="18"/>
  <c r="M45" i="20" s="1"/>
  <c r="D318" i="18"/>
  <c r="K35" i="20" s="1"/>
  <c r="D323" i="18"/>
  <c r="K40" i="20" s="1"/>
  <c r="D359" i="18"/>
  <c r="D364" i="18"/>
  <c r="D380" i="18"/>
  <c r="P35" i="20" s="1"/>
  <c r="D395" i="18"/>
  <c r="D10" i="17"/>
  <c r="D44" i="17"/>
  <c r="D167" i="17"/>
  <c r="Q305" i="17"/>
  <c r="D320" i="17"/>
  <c r="L12" i="17"/>
  <c r="L22" i="17"/>
  <c r="D150" i="17"/>
  <c r="D263" i="17"/>
  <c r="D299" i="17"/>
  <c r="D326" i="17"/>
  <c r="L9" i="17"/>
  <c r="L19" i="17"/>
  <c r="D24" i="17"/>
  <c r="D48" i="17"/>
  <c r="L83" i="17"/>
  <c r="D105" i="17"/>
  <c r="L118" i="17"/>
  <c r="D139" i="17"/>
  <c r="D171" i="17"/>
  <c r="F41" i="19" s="1"/>
  <c r="D274" i="17"/>
  <c r="L47" i="17"/>
  <c r="D149" i="17"/>
  <c r="L170" i="17"/>
  <c r="D273" i="17"/>
  <c r="D288" i="17"/>
  <c r="D441" i="17"/>
  <c r="D41" i="17"/>
  <c r="D53" i="17"/>
  <c r="B46" i="19" s="1"/>
  <c r="D77" i="17"/>
  <c r="C39" i="19" s="1"/>
  <c r="D89" i="17"/>
  <c r="D104" i="17"/>
  <c r="D36" i="19" s="1"/>
  <c r="D112" i="17"/>
  <c r="D138" i="17"/>
  <c r="L149" i="17"/>
  <c r="D164" i="17"/>
  <c r="L166" i="17"/>
  <c r="F94" i="19" s="1"/>
  <c r="D176" i="17"/>
  <c r="D199" i="17"/>
  <c r="D211" i="17"/>
  <c r="D271" i="17"/>
  <c r="D287" i="17"/>
  <c r="D361" i="17"/>
  <c r="L46" i="19" s="1"/>
  <c r="D397" i="17"/>
  <c r="D420" i="17"/>
  <c r="D440" i="17"/>
  <c r="D27" i="17"/>
  <c r="D151" i="17"/>
  <c r="L200" i="17"/>
  <c r="D324" i="17"/>
  <c r="D365" i="17"/>
  <c r="L50" i="19" s="1"/>
  <c r="L78" i="17"/>
  <c r="L42" i="17"/>
  <c r="D51" i="17"/>
  <c r="D87" i="17"/>
  <c r="D102" i="17"/>
  <c r="L113" i="17"/>
  <c r="D140" i="17"/>
  <c r="D148" i="17"/>
  <c r="E49" i="19" s="1"/>
  <c r="L165" i="17"/>
  <c r="D174" i="17"/>
  <c r="D209" i="17"/>
  <c r="D235" i="17"/>
  <c r="D318" i="17"/>
  <c r="D323" i="17"/>
  <c r="D359" i="17"/>
  <c r="D364" i="17"/>
  <c r="D380" i="17"/>
  <c r="D395" i="17"/>
  <c r="P49" i="19" s="1"/>
  <c r="Q84" i="18" l="1"/>
  <c r="R177" i="18"/>
  <c r="R104" i="18"/>
  <c r="R49" i="18"/>
  <c r="Q417" i="17"/>
  <c r="Q381" i="18"/>
  <c r="Q387" i="17"/>
  <c r="Q415" i="17"/>
  <c r="Q266" i="18"/>
  <c r="Q331" i="17"/>
  <c r="H100" i="20"/>
  <c r="Q321" i="18"/>
  <c r="R202" i="18"/>
  <c r="R85" i="17"/>
  <c r="R21" i="18"/>
  <c r="R141" i="18"/>
  <c r="Q53" i="18"/>
  <c r="Q230" i="17"/>
  <c r="G107" i="20"/>
  <c r="R58" i="18"/>
  <c r="Q298" i="18"/>
  <c r="Q445" i="18"/>
  <c r="Q202" i="17"/>
  <c r="Q416" i="18"/>
  <c r="Q181" i="17"/>
  <c r="R151" i="18"/>
  <c r="Q228" i="18"/>
  <c r="Q367" i="18"/>
  <c r="R134" i="17"/>
  <c r="Q231" i="18"/>
  <c r="Q262" i="18"/>
  <c r="R206" i="18"/>
  <c r="Q334" i="18"/>
  <c r="Q349" i="17"/>
  <c r="Q268" i="17"/>
  <c r="R141" i="17"/>
  <c r="F104" i="20"/>
  <c r="R38" i="20"/>
  <c r="R46" i="18"/>
  <c r="Q297" i="17"/>
  <c r="Q49" i="17"/>
  <c r="Q362" i="17"/>
  <c r="Q79" i="17"/>
  <c r="R212" i="17"/>
  <c r="Q232" i="18"/>
  <c r="R205" i="17"/>
  <c r="Q295" i="17"/>
  <c r="Q411" i="18"/>
  <c r="R212" i="18"/>
  <c r="Q141" i="18"/>
  <c r="R20" i="18"/>
  <c r="F101" i="20"/>
  <c r="Q47" i="17"/>
  <c r="Q59" i="17"/>
  <c r="R110" i="17"/>
  <c r="R43" i="20"/>
  <c r="Q453" i="18"/>
  <c r="Q177" i="17"/>
  <c r="Q225" i="17"/>
  <c r="Q457" i="17"/>
  <c r="Q233" i="17"/>
  <c r="Q145" i="17"/>
  <c r="R194" i="18"/>
  <c r="Q74" i="18"/>
  <c r="Q110" i="17"/>
  <c r="Q352" i="18"/>
  <c r="Q393" i="17"/>
  <c r="Q143" i="17"/>
  <c r="R26" i="18"/>
  <c r="Q41" i="20"/>
  <c r="Q326" i="18"/>
  <c r="Q85" i="17"/>
  <c r="R197" i="18"/>
  <c r="Q428" i="17"/>
  <c r="Q349" i="18"/>
  <c r="Q16" i="17"/>
  <c r="R169" i="18"/>
  <c r="Q25" i="17"/>
  <c r="Q295" i="18"/>
  <c r="Q428" i="18"/>
  <c r="E99" i="20"/>
  <c r="R102" i="18"/>
  <c r="B94" i="20"/>
  <c r="R210" i="17"/>
  <c r="L52" i="19"/>
  <c r="Q105" i="18"/>
  <c r="R12" i="18"/>
  <c r="R48" i="20"/>
  <c r="Q48" i="18"/>
  <c r="R136" i="18"/>
  <c r="R35" i="20"/>
  <c r="B96" i="20"/>
  <c r="S45" i="20"/>
  <c r="Q259" i="18"/>
  <c r="R166" i="18"/>
  <c r="E47" i="19"/>
  <c r="N38" i="20"/>
  <c r="M53" i="20"/>
  <c r="R172" i="18"/>
  <c r="R48" i="18"/>
  <c r="Q383" i="18"/>
  <c r="F94" i="20"/>
  <c r="R107" i="18"/>
  <c r="Q78" i="17"/>
  <c r="Q451" i="18"/>
  <c r="Q303" i="18"/>
  <c r="R57" i="18"/>
  <c r="R196" i="18"/>
  <c r="Q302" i="17"/>
  <c r="R74" i="18"/>
  <c r="G100" i="19"/>
  <c r="R136" i="17"/>
  <c r="R140" i="18"/>
  <c r="Q238" i="18"/>
  <c r="Q386" i="18"/>
  <c r="Q350" i="17"/>
  <c r="R57" i="17"/>
  <c r="R180" i="18"/>
  <c r="D106" i="20"/>
  <c r="Q207" i="17"/>
  <c r="Q355" i="18"/>
  <c r="P46" i="20"/>
  <c r="P42" i="19"/>
  <c r="Q456" i="18"/>
  <c r="R135" i="17"/>
  <c r="Q452" i="18"/>
  <c r="Q46" i="18"/>
  <c r="O41" i="20"/>
  <c r="R17" i="17"/>
  <c r="Q418" i="17"/>
  <c r="Q335" i="18"/>
  <c r="R25" i="18"/>
  <c r="S53" i="20"/>
  <c r="Q352" i="17"/>
  <c r="R117" i="17"/>
  <c r="Q333" i="17"/>
  <c r="R197" i="17"/>
  <c r="Q107" i="17"/>
  <c r="Q398" i="18"/>
  <c r="R149" i="18"/>
  <c r="Q325" i="18"/>
  <c r="S48" i="20"/>
  <c r="R79" i="18"/>
  <c r="K36" i="20"/>
  <c r="C45" i="19"/>
  <c r="R14" i="18"/>
  <c r="S38" i="20"/>
  <c r="R115" i="18"/>
  <c r="R148" i="18"/>
  <c r="Q242" i="18"/>
  <c r="R20" i="17"/>
  <c r="D40" i="19"/>
  <c r="R46" i="17"/>
  <c r="Q228" i="17"/>
  <c r="R53" i="17"/>
  <c r="R112" i="18"/>
  <c r="R135" i="18"/>
  <c r="R103" i="18"/>
  <c r="R44" i="17"/>
  <c r="R77" i="18"/>
  <c r="Q269" i="17"/>
  <c r="Q272" i="18"/>
  <c r="Q17" i="18"/>
  <c r="L36" i="20"/>
  <c r="E111" i="20"/>
  <c r="H96" i="20"/>
  <c r="R176" i="18"/>
  <c r="R138" i="17"/>
  <c r="Q425" i="17"/>
  <c r="Q267" i="18"/>
  <c r="R199" i="18"/>
  <c r="E104" i="20"/>
  <c r="Q241" i="18"/>
  <c r="R172" i="17"/>
  <c r="R181" i="17"/>
  <c r="R146" i="17"/>
  <c r="R209" i="18"/>
  <c r="N46" i="20"/>
  <c r="M46" i="20"/>
  <c r="Q303" i="17"/>
  <c r="Q179" i="17"/>
  <c r="Q37" i="20"/>
  <c r="N51" i="20"/>
  <c r="Q396" i="18"/>
  <c r="R182" i="17"/>
  <c r="Q356" i="17"/>
  <c r="R206" i="17"/>
  <c r="Q292" i="17"/>
  <c r="Q457" i="18"/>
  <c r="R211" i="18"/>
  <c r="O41" i="19"/>
  <c r="R84" i="18"/>
  <c r="Q90" i="17"/>
  <c r="Q336" i="17"/>
  <c r="Q445" i="17"/>
  <c r="R16" i="18"/>
  <c r="R53" i="18"/>
  <c r="Q237" i="18"/>
  <c r="R119" i="18"/>
  <c r="L51" i="19"/>
  <c r="D109" i="20"/>
  <c r="F111" i="20"/>
  <c r="C104" i="20"/>
  <c r="M51" i="19"/>
  <c r="R52" i="20" s="1"/>
  <c r="Q206" i="17"/>
  <c r="Q133" i="17"/>
  <c r="M52" i="19"/>
  <c r="Q383" i="17"/>
  <c r="Q43" i="17"/>
  <c r="R59" i="17"/>
  <c r="Q74" i="17"/>
  <c r="Q75" i="17"/>
  <c r="Q172" i="17"/>
  <c r="R179" i="18"/>
  <c r="L46" i="20"/>
  <c r="R144" i="17"/>
  <c r="Q200" i="17"/>
  <c r="Q201" i="17"/>
  <c r="Q266" i="17"/>
  <c r="Q120" i="17"/>
  <c r="R201" i="18"/>
  <c r="Q40" i="20"/>
  <c r="R175" i="17"/>
  <c r="R180" i="17"/>
  <c r="Q14" i="17"/>
  <c r="Q238" i="17"/>
  <c r="Q73" i="17"/>
  <c r="Q42" i="17"/>
  <c r="Q293" i="18"/>
  <c r="E94" i="20"/>
  <c r="R204" i="18"/>
  <c r="Q72" i="17"/>
  <c r="Q134" i="17"/>
  <c r="R24" i="18"/>
  <c r="C109" i="20"/>
  <c r="Q205" i="17"/>
  <c r="Q257" i="18"/>
  <c r="Q171" i="17"/>
  <c r="K46" i="20"/>
  <c r="M36" i="20"/>
  <c r="R36" i="20" s="1"/>
  <c r="Q361" i="17"/>
  <c r="R195" i="17"/>
  <c r="Q204" i="17"/>
  <c r="R56" i="18"/>
  <c r="Q119" i="17"/>
  <c r="Q452" i="17"/>
  <c r="Q103" i="17"/>
  <c r="Q390" i="18"/>
  <c r="R105" i="17"/>
  <c r="P36" i="19"/>
  <c r="Q165" i="17"/>
  <c r="R26" i="17"/>
  <c r="R104" i="17"/>
  <c r="Q450" i="17"/>
  <c r="R107" i="17"/>
  <c r="Q325" i="17"/>
  <c r="Q385" i="17"/>
  <c r="Q145" i="18"/>
  <c r="S40" i="20"/>
  <c r="N46" i="19"/>
  <c r="Q335" i="17"/>
  <c r="D50" i="19"/>
  <c r="Q57" i="17"/>
  <c r="H45" i="19"/>
  <c r="Q82" i="17"/>
  <c r="Q411" i="17"/>
  <c r="Q302" i="18"/>
  <c r="Q54" i="17"/>
  <c r="Q413" i="17"/>
  <c r="Q17" i="17"/>
  <c r="Q390" i="17"/>
  <c r="R119" i="17"/>
  <c r="Q328" i="17"/>
  <c r="Q230" i="18"/>
  <c r="Q139" i="18"/>
  <c r="M36" i="19"/>
  <c r="R37" i="20" s="1"/>
  <c r="F52" i="19"/>
  <c r="R108" i="17"/>
  <c r="R10" i="17"/>
  <c r="Q235" i="18"/>
  <c r="S51" i="20"/>
  <c r="Q451" i="17"/>
  <c r="Q298" i="17"/>
  <c r="Q113" i="17"/>
  <c r="R207" i="17"/>
  <c r="Q395" i="17"/>
  <c r="Q135" i="17"/>
  <c r="R43" i="17"/>
  <c r="R24" i="17"/>
  <c r="Q240" i="17"/>
  <c r="Q448" i="18"/>
  <c r="Q318" i="18"/>
  <c r="Q14" i="18"/>
  <c r="Q425" i="18"/>
  <c r="L36" i="19"/>
  <c r="Q56" i="17"/>
  <c r="Q19" i="17"/>
  <c r="Q453" i="17"/>
  <c r="Q115" i="17"/>
  <c r="Q256" i="17"/>
  <c r="Q292" i="18"/>
  <c r="Q109" i="17"/>
  <c r="Q410" i="17"/>
  <c r="Q261" i="17"/>
  <c r="Q262" i="17"/>
  <c r="R82" i="17"/>
  <c r="Q114" i="17"/>
  <c r="Q264" i="17"/>
  <c r="Q80" i="17"/>
  <c r="Q258" i="17"/>
  <c r="Q148" i="18"/>
  <c r="Q328" i="18"/>
  <c r="R47" i="20"/>
  <c r="Q176" i="18"/>
  <c r="Q11" i="18"/>
  <c r="R50" i="20"/>
  <c r="Q209" i="18"/>
  <c r="Q180" i="17"/>
  <c r="Q144" i="17"/>
  <c r="Q365" i="17"/>
  <c r="Q53" i="17"/>
  <c r="Q197" i="17"/>
  <c r="Q89" i="18"/>
  <c r="Q134" i="18"/>
  <c r="Q271" i="18"/>
  <c r="Q443" i="17"/>
  <c r="R139" i="17"/>
  <c r="Q289" i="17"/>
  <c r="Q58" i="17"/>
  <c r="Q398" i="17"/>
  <c r="R204" i="17"/>
  <c r="Q210" i="17"/>
  <c r="Q166" i="17"/>
  <c r="Q52" i="17"/>
  <c r="Q300" i="17"/>
  <c r="Q319" i="17"/>
  <c r="Q194" i="17"/>
  <c r="Q259" i="17"/>
  <c r="Q412" i="17"/>
  <c r="Q117" i="17"/>
  <c r="Q380" i="18"/>
  <c r="R200" i="18"/>
  <c r="Q304" i="18"/>
  <c r="Q240" i="18"/>
  <c r="Q103" i="18"/>
  <c r="Q43" i="20"/>
  <c r="R27" i="17"/>
  <c r="Q22" i="17"/>
  <c r="R103" i="17"/>
  <c r="C108" i="19"/>
  <c r="R88" i="17"/>
  <c r="Q148" i="17"/>
  <c r="Q141" i="17"/>
  <c r="Q9" i="17"/>
  <c r="Q261" i="18"/>
  <c r="R17" i="18"/>
  <c r="R210" i="18"/>
  <c r="O42" i="19"/>
  <c r="Q321" i="17"/>
  <c r="Q455" i="17"/>
  <c r="Q357" i="17"/>
  <c r="Q15" i="17"/>
  <c r="Q136" i="17"/>
  <c r="Q450" i="18"/>
  <c r="Q323" i="18"/>
  <c r="Q72" i="18"/>
  <c r="Q179" i="18"/>
  <c r="O36" i="19"/>
  <c r="Q82" i="18"/>
  <c r="Q237" i="17"/>
  <c r="F105" i="19"/>
  <c r="R40" i="20"/>
  <c r="R14" i="17"/>
  <c r="Q456" i="17"/>
  <c r="Q88" i="17"/>
  <c r="Q458" i="17"/>
  <c r="R115" i="17"/>
  <c r="Q354" i="17"/>
  <c r="Q120" i="18"/>
  <c r="Q333" i="18"/>
  <c r="Q109" i="18"/>
  <c r="Q79" i="18"/>
  <c r="Q35" i="20"/>
  <c r="R90" i="17"/>
  <c r="Q212" i="17"/>
  <c r="Q267" i="17"/>
  <c r="Q175" i="17"/>
  <c r="R120" i="17"/>
  <c r="Q396" i="17"/>
  <c r="R25" i="17"/>
  <c r="Q392" i="17"/>
  <c r="R166" i="17"/>
  <c r="Q294" i="17"/>
  <c r="Q12" i="17"/>
  <c r="Q412" i="18"/>
  <c r="Q195" i="18"/>
  <c r="Q417" i="18"/>
  <c r="R182" i="18"/>
  <c r="Q172" i="18"/>
  <c r="R22" i="18"/>
  <c r="Q196" i="17"/>
  <c r="Q11" i="17"/>
  <c r="Q85" i="18"/>
  <c r="C48" i="20"/>
  <c r="R149" i="17"/>
  <c r="E108" i="19"/>
  <c r="Q89" i="17"/>
  <c r="C51" i="19"/>
  <c r="Q41" i="17"/>
  <c r="B34" i="19"/>
  <c r="Q273" i="17"/>
  <c r="I51" i="19"/>
  <c r="Q320" i="17"/>
  <c r="K36" i="19"/>
  <c r="Q299" i="18"/>
  <c r="J47" i="20"/>
  <c r="Q227" i="18"/>
  <c r="O53" i="20"/>
  <c r="Q458" i="18"/>
  <c r="J48" i="20"/>
  <c r="Q300" i="18"/>
  <c r="Q392" i="18"/>
  <c r="P47" i="20"/>
  <c r="S47" i="20" s="1"/>
  <c r="Q212" i="18"/>
  <c r="G53" i="20"/>
  <c r="Q113" i="18"/>
  <c r="D46" i="20"/>
  <c r="Q83" i="18"/>
  <c r="C46" i="20"/>
  <c r="Q287" i="17"/>
  <c r="J34" i="19"/>
  <c r="Q199" i="17"/>
  <c r="G39" i="19"/>
  <c r="R83" i="17"/>
  <c r="C103" i="19"/>
  <c r="Q273" i="18"/>
  <c r="I52" i="20"/>
  <c r="R120" i="18"/>
  <c r="D112" i="20"/>
  <c r="R73" i="18"/>
  <c r="C95" i="20"/>
  <c r="Q171" i="18"/>
  <c r="F42" i="20"/>
  <c r="Q443" i="18"/>
  <c r="O38" i="20"/>
  <c r="F105" i="20"/>
  <c r="R175" i="18"/>
  <c r="D97" i="20"/>
  <c r="R105" i="18"/>
  <c r="Q446" i="17"/>
  <c r="O40" i="19"/>
  <c r="Q442" i="18"/>
  <c r="O37" i="20"/>
  <c r="Q289" i="18"/>
  <c r="J37" i="20"/>
  <c r="G46" i="20"/>
  <c r="Q205" i="18"/>
  <c r="F48" i="20"/>
  <c r="Q177" i="18"/>
  <c r="Q20" i="18"/>
  <c r="H46" i="20"/>
  <c r="R80" i="17"/>
  <c r="C100" i="19"/>
  <c r="M40" i="19"/>
  <c r="R41" i="20" s="1"/>
  <c r="Q231" i="17"/>
  <c r="R209" i="17"/>
  <c r="G107" i="19"/>
  <c r="F97" i="19"/>
  <c r="R169" i="17"/>
  <c r="R148" i="17"/>
  <c r="E107" i="19"/>
  <c r="E102" i="19"/>
  <c r="R143" i="17"/>
  <c r="R102" i="17"/>
  <c r="D92" i="19"/>
  <c r="R84" i="17"/>
  <c r="C104" i="19"/>
  <c r="R77" i="17"/>
  <c r="C97" i="19"/>
  <c r="R51" i="17"/>
  <c r="B102" i="19"/>
  <c r="R78" i="17"/>
  <c r="C98" i="19"/>
  <c r="Q151" i="17"/>
  <c r="E52" i="19"/>
  <c r="Q440" i="17"/>
  <c r="O34" i="19"/>
  <c r="Q271" i="17"/>
  <c r="I49" i="19"/>
  <c r="Q176" i="17"/>
  <c r="F46" i="19"/>
  <c r="Q138" i="17"/>
  <c r="E39" i="19"/>
  <c r="Q441" i="17"/>
  <c r="O35" i="19"/>
  <c r="R47" i="17"/>
  <c r="B98" i="19"/>
  <c r="R179" i="17"/>
  <c r="R56" i="17"/>
  <c r="Q44" i="17"/>
  <c r="B37" i="19"/>
  <c r="Q174" i="18"/>
  <c r="F45" i="20"/>
  <c r="R89" i="18"/>
  <c r="C111" i="20"/>
  <c r="Q441" i="18"/>
  <c r="O36" i="20"/>
  <c r="R110" i="18"/>
  <c r="D102" i="20"/>
  <c r="Q58" i="18"/>
  <c r="B52" i="20"/>
  <c r="Q356" i="18"/>
  <c r="Q146" i="18"/>
  <c r="Q15" i="18"/>
  <c r="N43" i="20"/>
  <c r="Q418" i="18"/>
  <c r="B50" i="20"/>
  <c r="Q56" i="18"/>
  <c r="P45" i="19"/>
  <c r="Q391" i="17"/>
  <c r="L45" i="19"/>
  <c r="Q360" i="17"/>
  <c r="K50" i="19"/>
  <c r="Q334" i="17"/>
  <c r="I47" i="20"/>
  <c r="Q268" i="18"/>
  <c r="G43" i="20"/>
  <c r="Q202" i="18"/>
  <c r="B38" i="20"/>
  <c r="Q44" i="18"/>
  <c r="R54" i="17"/>
  <c r="B105" i="19"/>
  <c r="G92" i="19"/>
  <c r="R194" i="17"/>
  <c r="Q46" i="17"/>
  <c r="H99" i="19"/>
  <c r="R16" i="17"/>
  <c r="B103" i="19"/>
  <c r="R52" i="17"/>
  <c r="Q299" i="17"/>
  <c r="J46" i="19"/>
  <c r="Q305" i="18"/>
  <c r="G42" i="20"/>
  <c r="Q201" i="18"/>
  <c r="B41" i="19"/>
  <c r="Q48" i="17"/>
  <c r="R165" i="18"/>
  <c r="F95" i="20"/>
  <c r="Q77" i="18"/>
  <c r="C40" i="20"/>
  <c r="B97" i="20"/>
  <c r="R44" i="18"/>
  <c r="R109" i="18"/>
  <c r="D101" i="20"/>
  <c r="D37" i="20"/>
  <c r="Q104" i="18"/>
  <c r="N45" i="19"/>
  <c r="Q421" i="17"/>
  <c r="Q387" i="18"/>
  <c r="P42" i="20"/>
  <c r="S42" i="20" s="1"/>
  <c r="Q151" i="18"/>
  <c r="E53" i="20"/>
  <c r="H46" i="19"/>
  <c r="Q21" i="17"/>
  <c r="I50" i="19"/>
  <c r="Q272" i="17"/>
  <c r="E92" i="19"/>
  <c r="R133" i="17"/>
  <c r="R74" i="17"/>
  <c r="C94" i="19"/>
  <c r="B100" i="19"/>
  <c r="R49" i="17"/>
  <c r="Q209" i="17"/>
  <c r="G49" i="19"/>
  <c r="E40" i="19"/>
  <c r="Q139" i="17"/>
  <c r="R176" i="17"/>
  <c r="Q87" i="18"/>
  <c r="C50" i="20"/>
  <c r="E37" i="20"/>
  <c r="Q135" i="18"/>
  <c r="Q197" i="18"/>
  <c r="G38" i="20"/>
  <c r="N40" i="19"/>
  <c r="H45" i="20"/>
  <c r="Q45" i="20" s="1"/>
  <c r="Q19" i="18"/>
  <c r="Q297" i="18"/>
  <c r="Q180" i="18"/>
  <c r="F51" i="20"/>
  <c r="R114" i="17"/>
  <c r="D104" i="19"/>
  <c r="R21" i="17"/>
  <c r="H104" i="19"/>
  <c r="Q359" i="17"/>
  <c r="L44" i="19"/>
  <c r="Q326" i="17"/>
  <c r="K42" i="19"/>
  <c r="Q136" i="18"/>
  <c r="Q420" i="18"/>
  <c r="N45" i="20"/>
  <c r="Q423" i="18"/>
  <c r="N48" i="20"/>
  <c r="D47" i="20"/>
  <c r="Q114" i="18"/>
  <c r="D35" i="20"/>
  <c r="Q102" i="18"/>
  <c r="C41" i="20"/>
  <c r="Q78" i="18"/>
  <c r="Q12" i="18"/>
  <c r="H38" i="20"/>
  <c r="Q38" i="20" s="1"/>
  <c r="Q354" i="18"/>
  <c r="Q294" i="18"/>
  <c r="J42" i="20"/>
  <c r="C43" i="20"/>
  <c r="Q80" i="18"/>
  <c r="Q318" i="17"/>
  <c r="K34" i="19"/>
  <c r="J35" i="19"/>
  <c r="Q288" i="17"/>
  <c r="Q41" i="18"/>
  <c r="B35" i="20"/>
  <c r="Q397" i="18"/>
  <c r="P52" i="20"/>
  <c r="L48" i="20"/>
  <c r="Q362" i="18"/>
  <c r="C105" i="20"/>
  <c r="R83" i="18"/>
  <c r="E52" i="20"/>
  <c r="Q150" i="18"/>
  <c r="Q115" i="18"/>
  <c r="D48" i="20"/>
  <c r="C95" i="19"/>
  <c r="R75" i="17"/>
  <c r="Q330" i="18"/>
  <c r="K47" i="20"/>
  <c r="R113" i="17"/>
  <c r="D103" i="19"/>
  <c r="Q420" i="17"/>
  <c r="N44" i="19"/>
  <c r="Q359" i="18"/>
  <c r="L45" i="20"/>
  <c r="D41" i="20"/>
  <c r="Q108" i="18"/>
  <c r="Q211" i="18"/>
  <c r="G52" i="20"/>
  <c r="Q355" i="17"/>
  <c r="L40" i="19"/>
  <c r="Q241" i="17"/>
  <c r="M50" i="19"/>
  <c r="R51" i="20" s="1"/>
  <c r="C109" i="19"/>
  <c r="R89" i="17"/>
  <c r="Q364" i="17"/>
  <c r="L49" i="19"/>
  <c r="Q102" i="17"/>
  <c r="D34" i="19"/>
  <c r="R170" i="17"/>
  <c r="F98" i="19"/>
  <c r="Q24" i="17"/>
  <c r="H49" i="19"/>
  <c r="R144" i="18"/>
  <c r="E105" i="20"/>
  <c r="Q440" i="18"/>
  <c r="O35" i="20"/>
  <c r="Q24" i="18"/>
  <c r="H50" i="20"/>
  <c r="Q9" i="18"/>
  <c r="R80" i="18"/>
  <c r="H47" i="20"/>
  <c r="Q21" i="18"/>
  <c r="Q330" i="17"/>
  <c r="K46" i="19"/>
  <c r="R54" i="18"/>
  <c r="B107" i="20"/>
  <c r="Q422" i="18"/>
  <c r="N47" i="20"/>
  <c r="R199" i="17"/>
  <c r="G97" i="19"/>
  <c r="Q323" i="17"/>
  <c r="K39" i="19"/>
  <c r="Q174" i="17"/>
  <c r="F44" i="19"/>
  <c r="Q149" i="17"/>
  <c r="E50" i="19"/>
  <c r="Q304" i="17"/>
  <c r="Q167" i="17"/>
  <c r="F37" i="19"/>
  <c r="R140" i="17"/>
  <c r="Q324" i="18"/>
  <c r="K41" i="20"/>
  <c r="Q165" i="18"/>
  <c r="Q225" i="18"/>
  <c r="D52" i="20"/>
  <c r="Q119" i="18"/>
  <c r="Q51" i="18"/>
  <c r="B45" i="20"/>
  <c r="Q361" i="18"/>
  <c r="N35" i="20"/>
  <c r="Q410" i="18"/>
  <c r="E40" i="20"/>
  <c r="Q138" i="18"/>
  <c r="Q182" i="18"/>
  <c r="F53" i="20"/>
  <c r="C38" i="20"/>
  <c r="Q75" i="18"/>
  <c r="Q47" i="18"/>
  <c r="B41" i="20"/>
  <c r="Q10" i="18"/>
  <c r="H36" i="20"/>
  <c r="Q351" i="18"/>
  <c r="L37" i="20"/>
  <c r="Q210" i="18"/>
  <c r="G51" i="20"/>
  <c r="Q140" i="18"/>
  <c r="Q263" i="17"/>
  <c r="I41" i="19"/>
  <c r="Q133" i="18"/>
  <c r="E35" i="20"/>
  <c r="R170" i="18"/>
  <c r="F100" i="20"/>
  <c r="R10" i="18"/>
  <c r="H95" i="20"/>
  <c r="Q54" i="18"/>
  <c r="B48" i="20"/>
  <c r="Q200" i="18"/>
  <c r="G41" i="20"/>
  <c r="Q112" i="18"/>
  <c r="R87" i="17"/>
  <c r="C107" i="19"/>
  <c r="R200" i="17"/>
  <c r="G98" i="19"/>
  <c r="Q397" i="17"/>
  <c r="P51" i="19"/>
  <c r="Q211" i="17"/>
  <c r="G51" i="19"/>
  <c r="Q112" i="17"/>
  <c r="D44" i="19"/>
  <c r="Q104" i="17"/>
  <c r="Q274" i="17"/>
  <c r="I52" i="19"/>
  <c r="R118" i="17"/>
  <c r="D108" i="19"/>
  <c r="R72" i="17"/>
  <c r="Q395" i="18"/>
  <c r="P50" i="20"/>
  <c r="S50" i="20" s="1"/>
  <c r="R75" i="18"/>
  <c r="Q90" i="18"/>
  <c r="C53" i="20"/>
  <c r="Q320" i="18"/>
  <c r="K37" i="20"/>
  <c r="Q204" i="18"/>
  <c r="G45" i="20"/>
  <c r="Q42" i="18"/>
  <c r="R146" i="18"/>
  <c r="E107" i="20"/>
  <c r="R88" i="18"/>
  <c r="C110" i="20"/>
  <c r="Q263" i="18"/>
  <c r="I42" i="20"/>
  <c r="Q73" i="18"/>
  <c r="Q331" i="18"/>
  <c r="K48" i="20"/>
  <c r="R134" i="18"/>
  <c r="Q381" i="17"/>
  <c r="P35" i="19"/>
  <c r="S36" i="20" s="1"/>
  <c r="Q385" i="18"/>
  <c r="Q149" i="18"/>
  <c r="E51" i="20"/>
  <c r="Q59" i="18"/>
  <c r="B53" i="20"/>
  <c r="Q22" i="18"/>
  <c r="H48" i="20"/>
  <c r="Q48" i="20" s="1"/>
  <c r="Q256" i="18"/>
  <c r="Q25" i="18"/>
  <c r="H51" i="20"/>
  <c r="Q51" i="20" s="1"/>
  <c r="R196" i="17"/>
  <c r="G94" i="19"/>
  <c r="R112" i="17"/>
  <c r="D102" i="19"/>
  <c r="R165" i="17"/>
  <c r="F93" i="19"/>
  <c r="R19" i="17"/>
  <c r="H102" i="19"/>
  <c r="R22" i="17"/>
  <c r="H105" i="19"/>
  <c r="Q164" i="18"/>
  <c r="F35" i="20"/>
  <c r="Q43" i="18"/>
  <c r="B37" i="20"/>
  <c r="R90" i="18"/>
  <c r="C112" i="20"/>
  <c r="Q329" i="17"/>
  <c r="K45" i="19"/>
  <c r="Q27" i="18"/>
  <c r="H53" i="20"/>
  <c r="R164" i="17"/>
  <c r="F92" i="19"/>
  <c r="R145" i="17"/>
  <c r="E104" i="19"/>
  <c r="R41" i="17"/>
  <c r="B92" i="19"/>
  <c r="Q235" i="17"/>
  <c r="M44" i="19"/>
  <c r="R45" i="20" s="1"/>
  <c r="Q140" i="17"/>
  <c r="E41" i="19"/>
  <c r="Q51" i="17"/>
  <c r="B44" i="19"/>
  <c r="Q105" i="17"/>
  <c r="D37" i="19"/>
  <c r="R9" i="17"/>
  <c r="H92" i="19"/>
  <c r="R12" i="17"/>
  <c r="H95" i="19"/>
  <c r="Q226" i="17"/>
  <c r="Q77" i="17"/>
  <c r="Q10" i="17"/>
  <c r="H35" i="19"/>
  <c r="Q194" i="18"/>
  <c r="G35" i="20"/>
  <c r="Q117" i="18"/>
  <c r="D50" i="20"/>
  <c r="R52" i="18"/>
  <c r="B105" i="20"/>
  <c r="Q365" i="18"/>
  <c r="L51" i="20"/>
  <c r="R205" i="18"/>
  <c r="G105" i="20"/>
  <c r="Q196" i="18"/>
  <c r="G37" i="20"/>
  <c r="Q107" i="18"/>
  <c r="D40" i="20"/>
  <c r="Q144" i="18"/>
  <c r="E46" i="20"/>
  <c r="R9" i="18"/>
  <c r="H94" i="20"/>
  <c r="Q393" i="18"/>
  <c r="Q207" i="18"/>
  <c r="G48" i="20"/>
  <c r="R145" i="18"/>
  <c r="E106" i="20"/>
  <c r="R47" i="18"/>
  <c r="R167" i="18"/>
  <c r="F97" i="20"/>
  <c r="Q426" i="17"/>
  <c r="N50" i="19"/>
  <c r="Q415" i="18"/>
  <c r="Q382" i="18"/>
  <c r="P37" i="20"/>
  <c r="Q199" i="18"/>
  <c r="Q49" i="18"/>
  <c r="B43" i="20"/>
  <c r="Q447" i="18"/>
  <c r="O42" i="20"/>
  <c r="Q293" i="17"/>
  <c r="J40" i="19"/>
  <c r="Q257" i="17"/>
  <c r="I35" i="19"/>
  <c r="Q236" i="17"/>
  <c r="M45" i="19"/>
  <c r="R58" i="17"/>
  <c r="B109" i="19"/>
  <c r="R11" i="17"/>
  <c r="H94" i="19"/>
  <c r="H98" i="19"/>
  <c r="R15" i="17"/>
  <c r="Q87" i="17"/>
  <c r="C49" i="19"/>
  <c r="R19" i="18"/>
  <c r="H104" i="20"/>
  <c r="Q167" i="18"/>
  <c r="F38" i="20"/>
  <c r="Q386" i="17"/>
  <c r="P40" i="19"/>
  <c r="S41" i="20" s="1"/>
  <c r="Q258" i="18"/>
  <c r="I37" i="20"/>
  <c r="Q57" i="18"/>
  <c r="B51" i="20"/>
  <c r="R174" i="17"/>
  <c r="F102" i="19"/>
  <c r="Q380" i="17"/>
  <c r="P34" i="19"/>
  <c r="S35" i="20" s="1"/>
  <c r="R42" i="17"/>
  <c r="B93" i="19"/>
  <c r="Q324" i="17"/>
  <c r="K40" i="19"/>
  <c r="Q27" i="17"/>
  <c r="H52" i="19"/>
  <c r="Q164" i="17"/>
  <c r="F34" i="19"/>
  <c r="Q150" i="17"/>
  <c r="E51" i="19"/>
  <c r="R48" i="17"/>
  <c r="R73" i="17"/>
  <c r="Q364" i="18"/>
  <c r="L50" i="20"/>
  <c r="R108" i="18"/>
  <c r="D100" i="20"/>
  <c r="Q287" i="18"/>
  <c r="J35" i="20"/>
  <c r="Q143" i="18"/>
  <c r="E45" i="20"/>
  <c r="Q288" i="18"/>
  <c r="J36" i="20"/>
  <c r="R78" i="18"/>
  <c r="C100" i="20"/>
  <c r="Q26" i="18"/>
  <c r="H52" i="20"/>
  <c r="Q52" i="20" s="1"/>
  <c r="Q52" i="18"/>
  <c r="B46" i="20"/>
  <c r="Q269" i="18"/>
  <c r="R85" i="18"/>
  <c r="R42" i="18"/>
  <c r="Q170" i="18"/>
  <c r="F41" i="20"/>
  <c r="Q366" i="18"/>
  <c r="L52" i="20"/>
  <c r="R109" i="17"/>
  <c r="D99" i="19"/>
  <c r="R79" i="17"/>
  <c r="C99" i="19"/>
  <c r="R53" i="20" l="1"/>
  <c r="R46" i="20"/>
  <c r="S37" i="20"/>
  <c r="S46" i="20"/>
  <c r="F52" i="20"/>
  <c r="Q181" i="18"/>
  <c r="F37" i="20"/>
  <c r="Q166" i="18"/>
  <c r="G109" i="19"/>
  <c r="R211" i="17"/>
  <c r="P43" i="20"/>
  <c r="S43" i="20" s="1"/>
  <c r="Q388" i="18"/>
  <c r="O50" i="20"/>
  <c r="Q455" i="18"/>
  <c r="Q427" i="17"/>
  <c r="N51" i="19"/>
  <c r="M41" i="19"/>
  <c r="R42" i="20" s="1"/>
  <c r="Q232" i="17"/>
  <c r="Q195" i="17"/>
  <c r="G35" i="19"/>
  <c r="J37" i="19"/>
  <c r="Q290" i="17"/>
  <c r="D51" i="20"/>
  <c r="Q118" i="18"/>
  <c r="C51" i="20"/>
  <c r="Q88" i="18"/>
  <c r="D43" i="20"/>
  <c r="Q110" i="18"/>
  <c r="N52" i="20"/>
  <c r="Q427" i="18"/>
  <c r="F46" i="20"/>
  <c r="Q175" i="18"/>
  <c r="E109" i="19"/>
  <c r="R150" i="17"/>
  <c r="H42" i="20"/>
  <c r="Q42" i="20" s="1"/>
  <c r="Q16" i="18"/>
  <c r="F99" i="19"/>
  <c r="R171" i="17"/>
  <c r="Q206" i="18"/>
  <c r="R59" i="18"/>
  <c r="Q170" i="17"/>
  <c r="Q233" i="18"/>
  <c r="Q423" i="17"/>
  <c r="R201" i="17"/>
  <c r="R167" i="17"/>
  <c r="Q169" i="17"/>
  <c r="Q26" i="17"/>
  <c r="R27" i="18"/>
  <c r="Q169" i="18"/>
  <c r="Q84" i="17"/>
  <c r="E110" i="19"/>
  <c r="R118" i="18"/>
  <c r="Q46" i="20"/>
  <c r="Q47" i="20"/>
  <c r="S52" i="20"/>
  <c r="Q53" i="20"/>
  <c r="Q36" i="20"/>
  <c r="Q50" i="20"/>
  <c r="X36" i="16"/>
  <c r="L11" i="16"/>
  <c r="D34" i="16"/>
  <c r="I14" i="16"/>
  <c r="E14" i="16"/>
  <c r="P74" i="16"/>
  <c r="C73" i="16"/>
  <c r="R18" i="16"/>
  <c r="D12" i="16"/>
  <c r="E61" i="16"/>
  <c r="W8" i="16"/>
  <c r="H83" i="16"/>
  <c r="G34" i="16"/>
  <c r="F33" i="16"/>
  <c r="I72" i="16"/>
  <c r="X28" i="16"/>
  <c r="AC27" i="16"/>
  <c r="AG31" i="16"/>
  <c r="P60" i="16"/>
  <c r="AB30" i="16"/>
  <c r="Q79" i="16"/>
  <c r="U15" i="16"/>
  <c r="U27" i="16"/>
  <c r="AB19" i="16"/>
  <c r="M74" i="16"/>
  <c r="U33" i="16"/>
  <c r="I52" i="16"/>
  <c r="G74" i="16"/>
  <c r="X14" i="16"/>
  <c r="I30" i="16"/>
  <c r="K47" i="16"/>
  <c r="O30" i="16"/>
  <c r="M7" i="16"/>
  <c r="O35" i="16"/>
  <c r="M61" i="16"/>
  <c r="H35" i="16"/>
  <c r="O76" i="16"/>
  <c r="E8" i="16"/>
  <c r="AG10" i="16"/>
  <c r="Q40" i="16"/>
  <c r="G32" i="16"/>
  <c r="M54" i="16"/>
  <c r="N62" i="16"/>
  <c r="AA13" i="16"/>
  <c r="Q10" i="16"/>
  <c r="AE29" i="16"/>
  <c r="AC7" i="16"/>
  <c r="T5" i="16"/>
  <c r="C80" i="16"/>
  <c r="K78" i="16"/>
  <c r="K53" i="16"/>
  <c r="AG39" i="16"/>
  <c r="AA37" i="16"/>
  <c r="G71" i="16"/>
  <c r="Y40" i="16"/>
  <c r="K51" i="16"/>
  <c r="E36" i="16"/>
  <c r="I73" i="16"/>
  <c r="D70" i="16"/>
  <c r="Q77" i="16"/>
  <c r="H29" i="16"/>
  <c r="I74" i="16"/>
  <c r="AE27" i="16"/>
  <c r="U35" i="16"/>
  <c r="P33" i="16"/>
  <c r="U40" i="16"/>
  <c r="I8" i="16"/>
  <c r="K19" i="16"/>
  <c r="U9" i="16"/>
  <c r="G10" i="16"/>
  <c r="I56" i="16"/>
  <c r="K32" i="16"/>
  <c r="P47" i="16"/>
  <c r="B12" i="16"/>
  <c r="P20" i="16"/>
  <c r="K40" i="16"/>
  <c r="L28" i="16"/>
  <c r="AC14" i="16"/>
  <c r="I54" i="16"/>
  <c r="L58" i="16"/>
  <c r="F60" i="16"/>
  <c r="I59" i="16"/>
  <c r="F82" i="16"/>
  <c r="Q6" i="16"/>
  <c r="Z18" i="16"/>
  <c r="O17" i="16"/>
  <c r="H40" i="16"/>
  <c r="K50" i="16"/>
  <c r="R9" i="16"/>
  <c r="AG18" i="16"/>
  <c r="O51" i="16"/>
  <c r="AC5" i="16"/>
  <c r="S36" i="16"/>
  <c r="V13" i="16"/>
  <c r="P57" i="16"/>
  <c r="F62" i="16"/>
  <c r="O74" i="16"/>
  <c r="H75" i="16"/>
  <c r="J32" i="16"/>
  <c r="AE20" i="16"/>
  <c r="C14" i="16"/>
  <c r="K49" i="16"/>
  <c r="Z11" i="16"/>
  <c r="L15" i="16"/>
  <c r="AA9" i="16"/>
  <c r="F51" i="16"/>
  <c r="E49" i="16"/>
  <c r="N6" i="16"/>
  <c r="J83" i="16"/>
  <c r="P81" i="16"/>
  <c r="AC6" i="16"/>
  <c r="J60" i="16"/>
  <c r="F12" i="16"/>
  <c r="I48" i="16"/>
  <c r="M73" i="16"/>
  <c r="N29" i="16"/>
  <c r="X38" i="16"/>
  <c r="L71" i="16"/>
  <c r="K39" i="16"/>
  <c r="AE17" i="16"/>
  <c r="B57" i="16"/>
  <c r="P30" i="16"/>
  <c r="H18" i="16"/>
  <c r="Z20" i="16"/>
  <c r="L54" i="16"/>
  <c r="G62" i="16"/>
  <c r="AG26" i="16"/>
  <c r="E38" i="16"/>
  <c r="M9" i="16"/>
  <c r="C32" i="16"/>
  <c r="Q18" i="16"/>
  <c r="C68" i="16"/>
  <c r="C70" i="16"/>
  <c r="B37" i="16"/>
  <c r="E68" i="16"/>
  <c r="C78" i="16"/>
  <c r="F52" i="16"/>
  <c r="Z26" i="16"/>
  <c r="AG28" i="16"/>
  <c r="B61" i="16"/>
  <c r="S32" i="16"/>
  <c r="J11" i="16"/>
  <c r="O56" i="16"/>
  <c r="J62" i="16"/>
  <c r="K8" i="16"/>
  <c r="K33" i="16"/>
  <c r="Z27" i="16"/>
  <c r="J72" i="16"/>
  <c r="N27" i="16"/>
  <c r="D52" i="16"/>
  <c r="W29" i="16"/>
  <c r="F48" i="16"/>
  <c r="P38" i="16"/>
  <c r="E69" i="16"/>
  <c r="G27" i="16"/>
  <c r="AD29" i="16"/>
  <c r="W37" i="16"/>
  <c r="S38" i="16"/>
  <c r="L37" i="16"/>
  <c r="Y13" i="16"/>
  <c r="Q81" i="16"/>
  <c r="E7" i="16"/>
  <c r="AB29" i="16"/>
  <c r="AB36" i="16"/>
  <c r="Q7" i="16"/>
  <c r="R40" i="16"/>
  <c r="M58" i="16"/>
  <c r="J15" i="16"/>
  <c r="AF7" i="16"/>
  <c r="AD6" i="16"/>
  <c r="P18" i="16"/>
  <c r="AB18" i="16"/>
  <c r="C30" i="16"/>
  <c r="N56" i="16"/>
  <c r="G28" i="16"/>
  <c r="M52" i="16"/>
  <c r="Q82" i="16"/>
  <c r="J33" i="16"/>
  <c r="F69" i="16"/>
  <c r="B53" i="16"/>
  <c r="I57" i="16"/>
  <c r="F27" i="16"/>
  <c r="R30" i="16"/>
  <c r="C41" i="16"/>
  <c r="AF36" i="16"/>
  <c r="B15" i="16"/>
  <c r="I37" i="16"/>
  <c r="I9" i="16"/>
  <c r="O55" i="16"/>
  <c r="AA28" i="16"/>
  <c r="N33" i="16"/>
  <c r="L69" i="16"/>
  <c r="Q11" i="16"/>
  <c r="K73" i="16"/>
  <c r="M56" i="16"/>
  <c r="B28" i="16"/>
  <c r="O10" i="16"/>
  <c r="J28" i="16"/>
  <c r="G31" i="16"/>
  <c r="AB34" i="16"/>
  <c r="O71" i="16"/>
  <c r="Z16" i="16"/>
  <c r="P82" i="16"/>
  <c r="F83" i="16"/>
  <c r="P9" i="16"/>
  <c r="AF41" i="16"/>
  <c r="C53" i="16"/>
  <c r="K77" i="16"/>
  <c r="L13" i="16"/>
  <c r="N39" i="16"/>
  <c r="AC41" i="16"/>
  <c r="T28" i="16"/>
  <c r="Q8" i="16"/>
  <c r="O59" i="16"/>
  <c r="M71" i="16"/>
  <c r="Q56" i="16"/>
  <c r="W32" i="16"/>
  <c r="N13" i="16"/>
  <c r="T9" i="16"/>
  <c r="Q54" i="16"/>
  <c r="Q39" i="16"/>
  <c r="AC39" i="16"/>
  <c r="W11" i="16"/>
  <c r="I78" i="16"/>
  <c r="N30" i="16"/>
  <c r="D5" i="16"/>
  <c r="K15" i="16"/>
  <c r="T13" i="16"/>
  <c r="W40" i="16"/>
  <c r="L5" i="16"/>
  <c r="L51" i="16"/>
  <c r="Z12" i="16"/>
  <c r="C19" i="16"/>
  <c r="H68" i="16"/>
  <c r="R33" i="16"/>
  <c r="N74" i="16"/>
  <c r="K12" i="16"/>
  <c r="B68" i="16"/>
  <c r="F37" i="16"/>
  <c r="I28" i="16"/>
  <c r="D56" i="16"/>
  <c r="G54" i="16"/>
  <c r="E31" i="16"/>
  <c r="K59" i="16"/>
  <c r="J51" i="16"/>
  <c r="AD9" i="16"/>
  <c r="W26" i="16"/>
  <c r="K16" i="16"/>
  <c r="Q32" i="16"/>
  <c r="AF27" i="16"/>
  <c r="J9" i="16"/>
  <c r="AA8" i="16"/>
  <c r="D15" i="16"/>
  <c r="S18" i="16"/>
  <c r="V14" i="16"/>
  <c r="M20" i="16"/>
  <c r="F53" i="16"/>
  <c r="E50" i="16"/>
  <c r="AE5" i="16"/>
  <c r="D54" i="16"/>
  <c r="O60" i="16"/>
  <c r="G75" i="16"/>
  <c r="H60" i="16"/>
  <c r="AG41" i="16"/>
  <c r="AA26" i="16"/>
  <c r="F6" i="16"/>
  <c r="AG19" i="16"/>
  <c r="T20" i="16"/>
  <c r="AD12" i="16"/>
  <c r="AE10" i="16"/>
  <c r="H69" i="16"/>
  <c r="Q69" i="16"/>
  <c r="E37" i="16"/>
  <c r="U12" i="16"/>
  <c r="H49" i="16"/>
  <c r="G37" i="16"/>
  <c r="M48" i="16"/>
  <c r="N5" i="16"/>
  <c r="I81" i="16"/>
  <c r="W16" i="16"/>
  <c r="P41" i="16"/>
  <c r="W38" i="16"/>
  <c r="W18" i="16"/>
  <c r="H81" i="16"/>
  <c r="G77" i="16"/>
  <c r="N7" i="16"/>
  <c r="C40" i="16"/>
  <c r="X8" i="16"/>
  <c r="M33" i="16"/>
  <c r="L26" i="16"/>
  <c r="H74" i="16"/>
  <c r="AC28" i="16"/>
  <c r="P12" i="16"/>
  <c r="I26" i="16"/>
  <c r="G12" i="16"/>
  <c r="F75" i="16"/>
  <c r="V35" i="16"/>
  <c r="H17" i="16"/>
  <c r="W33" i="16"/>
  <c r="AE36" i="16"/>
  <c r="AB16" i="16"/>
  <c r="L60" i="16"/>
  <c r="C59" i="16"/>
  <c r="J40" i="16"/>
  <c r="Q30" i="16"/>
  <c r="N51" i="16"/>
  <c r="R16" i="16"/>
  <c r="P13" i="16"/>
  <c r="E82" i="16"/>
  <c r="AG6" i="16"/>
  <c r="G11" i="16"/>
  <c r="B56" i="16"/>
  <c r="Y29" i="16"/>
  <c r="E26" i="16"/>
  <c r="K54" i="16"/>
  <c r="AA29" i="16"/>
  <c r="Q74" i="16"/>
  <c r="L72" i="16"/>
  <c r="U11" i="16"/>
  <c r="P16" i="16"/>
  <c r="D29" i="16"/>
  <c r="I34" i="16"/>
  <c r="F74" i="16"/>
  <c r="F57" i="16"/>
  <c r="Z32" i="16"/>
  <c r="R19" i="16"/>
  <c r="Y18" i="16"/>
  <c r="K29" i="16"/>
  <c r="D72" i="16"/>
  <c r="T11" i="16"/>
  <c r="V18" i="16"/>
  <c r="V5" i="16"/>
  <c r="I18" i="16"/>
  <c r="B34" i="16"/>
  <c r="E59" i="16"/>
  <c r="K35" i="16"/>
  <c r="P53" i="16"/>
  <c r="M60" i="16"/>
  <c r="K14" i="16"/>
  <c r="Y12" i="16"/>
  <c r="B83" i="16"/>
  <c r="D82" i="16"/>
  <c r="B77" i="16"/>
  <c r="AD41" i="16"/>
  <c r="E72" i="16"/>
  <c r="N9" i="16"/>
  <c r="P62" i="16"/>
  <c r="AE39" i="16"/>
  <c r="D19" i="16"/>
  <c r="O78" i="16"/>
  <c r="N79" i="16"/>
  <c r="N14" i="16"/>
  <c r="Y15" i="16"/>
  <c r="C57" i="16"/>
  <c r="E39" i="16"/>
  <c r="D80" i="16"/>
  <c r="AF10" i="16"/>
  <c r="P26" i="16"/>
  <c r="E54" i="16"/>
  <c r="I60" i="16"/>
  <c r="H32" i="16"/>
  <c r="M13" i="16"/>
  <c r="J69" i="16"/>
  <c r="N82" i="16"/>
  <c r="Y11" i="16"/>
  <c r="E32" i="16"/>
  <c r="Q47" i="16"/>
  <c r="D7" i="16"/>
  <c r="D14" i="16"/>
  <c r="S16" i="16"/>
  <c r="S8" i="16"/>
  <c r="W27" i="16"/>
  <c r="O70" i="16"/>
  <c r="P49" i="16"/>
  <c r="V20" i="16"/>
  <c r="H16" i="16"/>
  <c r="AG32" i="16"/>
  <c r="F76" i="16"/>
  <c r="M16" i="16"/>
  <c r="G6" i="16"/>
  <c r="U28" i="16"/>
  <c r="E30" i="16"/>
  <c r="R34" i="16"/>
  <c r="D57" i="16"/>
  <c r="AB13" i="16"/>
  <c r="C18" i="16"/>
  <c r="N59" i="16"/>
  <c r="M78" i="16"/>
  <c r="Z8" i="16"/>
  <c r="E16" i="16"/>
  <c r="AG13" i="16"/>
  <c r="Q59" i="16"/>
  <c r="N8" i="16"/>
  <c r="O40" i="16"/>
  <c r="M38" i="16"/>
  <c r="P8" i="16"/>
  <c r="D74" i="16"/>
  <c r="U10" i="16"/>
  <c r="V29" i="16"/>
  <c r="I61" i="16"/>
  <c r="D17" i="16"/>
  <c r="I39" i="16"/>
  <c r="S41" i="16"/>
  <c r="O9" i="16"/>
  <c r="AD35" i="16"/>
  <c r="AF5" i="16"/>
  <c r="Y14" i="16"/>
  <c r="S29" i="16"/>
  <c r="L68" i="16"/>
  <c r="X32" i="16"/>
  <c r="B81" i="16"/>
  <c r="H38" i="16"/>
  <c r="L50" i="16"/>
  <c r="I31" i="16"/>
  <c r="D9" i="16"/>
  <c r="H8" i="16"/>
  <c r="E80" i="16"/>
  <c r="E18" i="16"/>
  <c r="Y16" i="16"/>
  <c r="B59" i="16"/>
  <c r="Z39" i="16"/>
  <c r="AD5" i="16"/>
  <c r="E28" i="16"/>
  <c r="AA20" i="16"/>
  <c r="AA11" i="16"/>
  <c r="M82" i="16"/>
  <c r="M77" i="16"/>
  <c r="L17" i="16"/>
  <c r="M51" i="16"/>
  <c r="AB27" i="16"/>
  <c r="Y36" i="16"/>
  <c r="I7" i="16"/>
  <c r="C47" i="16"/>
  <c r="E33" i="16"/>
  <c r="K11" i="16"/>
  <c r="B6" i="16"/>
  <c r="F17" i="16"/>
  <c r="J56" i="16"/>
  <c r="AB32" i="16"/>
  <c r="Q78" i="16"/>
  <c r="O38" i="16"/>
  <c r="T40" i="16"/>
  <c r="AA33" i="16"/>
  <c r="G26" i="16"/>
  <c r="I17" i="16"/>
  <c r="V36" i="16"/>
  <c r="R32" i="16"/>
  <c r="Q13" i="16"/>
  <c r="N73" i="16"/>
  <c r="V9" i="16"/>
  <c r="M57" i="16"/>
  <c r="T16" i="16"/>
  <c r="X5" i="16"/>
  <c r="M39" i="16"/>
  <c r="L59" i="16"/>
  <c r="H78" i="16"/>
  <c r="P59" i="16"/>
  <c r="D53" i="16"/>
  <c r="X41" i="16"/>
  <c r="I10" i="16"/>
  <c r="J82" i="16"/>
  <c r="D76" i="16"/>
  <c r="J38" i="16"/>
  <c r="M28" i="16"/>
  <c r="L75" i="16"/>
  <c r="AB37" i="16"/>
  <c r="M19" i="16"/>
  <c r="D20" i="16"/>
  <c r="V39" i="16"/>
  <c r="J76" i="16"/>
  <c r="Y38" i="16"/>
  <c r="AB26" i="16"/>
  <c r="D6" i="16"/>
  <c r="D71" i="16"/>
  <c r="U8" i="16"/>
  <c r="B50" i="16"/>
  <c r="I15" i="16"/>
  <c r="N28" i="16"/>
  <c r="S30" i="16"/>
  <c r="AF34" i="16"/>
  <c r="E13" i="16"/>
  <c r="C49" i="16"/>
  <c r="D18" i="16"/>
  <c r="J70" i="16"/>
  <c r="AF11" i="16"/>
  <c r="D81" i="16"/>
  <c r="AE16" i="16"/>
  <c r="C61" i="16"/>
  <c r="B75" i="16"/>
  <c r="E17" i="16"/>
  <c r="G51" i="16"/>
  <c r="L33" i="16"/>
  <c r="D83" i="16"/>
  <c r="M18" i="16"/>
  <c r="C17" i="16"/>
  <c r="F13" i="16"/>
  <c r="V27" i="16"/>
  <c r="F81" i="16"/>
  <c r="G40" i="16"/>
  <c r="L76" i="16"/>
  <c r="G7" i="16"/>
  <c r="O82" i="16"/>
  <c r="AE40" i="16"/>
  <c r="AB20" i="16"/>
  <c r="Z13" i="16"/>
  <c r="N19" i="16"/>
  <c r="E52" i="16"/>
  <c r="H9" i="16"/>
  <c r="G17" i="16"/>
  <c r="W13" i="16"/>
  <c r="AE35" i="16"/>
  <c r="J39" i="16"/>
  <c r="M81" i="16"/>
  <c r="AC32" i="16"/>
  <c r="I12" i="16"/>
  <c r="U17" i="16"/>
  <c r="C79" i="16"/>
  <c r="L20" i="16"/>
  <c r="O11" i="16"/>
  <c r="F80" i="16"/>
  <c r="M34" i="16"/>
  <c r="D60" i="16"/>
  <c r="R5" i="16"/>
  <c r="Q83" i="16"/>
  <c r="AB9" i="16"/>
  <c r="J12" i="16"/>
  <c r="D47" i="16"/>
  <c r="E12" i="16"/>
  <c r="O36" i="16"/>
  <c r="H48" i="16"/>
  <c r="P28" i="16"/>
  <c r="F5" i="16"/>
  <c r="B13" i="16"/>
  <c r="Q58" i="16"/>
  <c r="B60" i="16"/>
  <c r="T36" i="16"/>
  <c r="M5" i="16"/>
  <c r="P48" i="16"/>
  <c r="Z6" i="16"/>
  <c r="E77" i="16"/>
  <c r="H70" i="16"/>
  <c r="D37" i="16"/>
  <c r="U5" i="16"/>
  <c r="F32" i="16"/>
  <c r="K71" i="16"/>
  <c r="J16" i="16"/>
  <c r="I62" i="16"/>
  <c r="H12" i="16"/>
  <c r="H11" i="16"/>
  <c r="D11" i="16"/>
  <c r="D61" i="16"/>
  <c r="B19" i="16"/>
  <c r="D78" i="16"/>
  <c r="M50" i="16"/>
  <c r="AA34" i="16"/>
  <c r="I69" i="16"/>
  <c r="L53" i="16"/>
  <c r="T6" i="16"/>
  <c r="H47" i="16"/>
  <c r="L16" i="16"/>
  <c r="R26" i="16"/>
  <c r="V6" i="16"/>
  <c r="N81" i="16"/>
  <c r="Q20" i="16"/>
  <c r="B40" i="16"/>
  <c r="E15" i="16"/>
  <c r="AA39" i="16"/>
  <c r="N38" i="16"/>
  <c r="P31" i="16"/>
  <c r="B33" i="16"/>
  <c r="N31" i="16"/>
  <c r="AD26" i="16"/>
  <c r="AE33" i="16"/>
  <c r="C27" i="16"/>
  <c r="R29" i="16"/>
  <c r="AA6" i="16"/>
  <c r="D8" i="16"/>
  <c r="Q70" i="16"/>
  <c r="T29" i="16"/>
  <c r="AD20" i="16"/>
  <c r="Q12" i="16"/>
  <c r="P77" i="16"/>
  <c r="D77" i="16"/>
  <c r="S15" i="16"/>
  <c r="N58" i="16"/>
  <c r="E34" i="16"/>
  <c r="AD40" i="16"/>
  <c r="AC15" i="16"/>
  <c r="L36" i="16"/>
  <c r="B80" i="16"/>
  <c r="S26" i="16"/>
  <c r="Q9" i="16"/>
  <c r="R20" i="16"/>
  <c r="AF39" i="16"/>
  <c r="K5" i="16"/>
  <c r="H26" i="16"/>
  <c r="Z9" i="16"/>
  <c r="F16" i="16"/>
  <c r="N80" i="16"/>
  <c r="J20" i="16"/>
  <c r="S11" i="16"/>
  <c r="W28" i="16"/>
  <c r="G52" i="16"/>
  <c r="E57" i="16"/>
  <c r="X6" i="16"/>
  <c r="M41" i="16"/>
  <c r="AF17" i="16"/>
  <c r="Z15" i="16"/>
  <c r="B47" i="16"/>
  <c r="AA40" i="16"/>
  <c r="L80" i="16"/>
  <c r="Q51" i="16"/>
  <c r="J26" i="16"/>
  <c r="I68" i="16"/>
  <c r="M32" i="16"/>
  <c r="AB7" i="16"/>
  <c r="K57" i="16"/>
  <c r="J34" i="16"/>
  <c r="H80" i="16"/>
  <c r="Q33" i="16"/>
  <c r="AE28" i="16"/>
  <c r="B32" i="16"/>
  <c r="F8" i="16"/>
  <c r="K18" i="16"/>
  <c r="I16" i="16"/>
  <c r="B17" i="16"/>
  <c r="C55" i="16"/>
  <c r="H62" i="16"/>
  <c r="B14" i="16"/>
  <c r="E76" i="16"/>
  <c r="P19" i="16"/>
  <c r="AF32" i="16"/>
  <c r="J18" i="16"/>
  <c r="O77" i="16"/>
  <c r="Y17" i="16"/>
  <c r="L10" i="16"/>
  <c r="N20" i="16"/>
  <c r="C48" i="16"/>
  <c r="H71" i="16"/>
  <c r="P75" i="16"/>
  <c r="AA36" i="16"/>
  <c r="Q60" i="16"/>
  <c r="AF9" i="16"/>
  <c r="B41" i="16"/>
  <c r="AC9" i="16"/>
  <c r="AB12" i="16"/>
  <c r="G73" i="16"/>
  <c r="AG17" i="16"/>
  <c r="M17" i="16"/>
  <c r="B55" i="16"/>
  <c r="N72" i="16"/>
  <c r="L14" i="16"/>
  <c r="Q71" i="16"/>
  <c r="V33" i="16"/>
  <c r="K34" i="16"/>
  <c r="H20" i="16"/>
  <c r="T41" i="16"/>
  <c r="P40" i="16"/>
  <c r="K10" i="16"/>
  <c r="D73" i="16"/>
  <c r="S10" i="16"/>
  <c r="F68" i="16"/>
  <c r="G47" i="16"/>
  <c r="AC8" i="16"/>
  <c r="M68" i="16"/>
  <c r="AD37" i="16"/>
  <c r="W15" i="16"/>
  <c r="N17" i="16"/>
  <c r="K58" i="16"/>
  <c r="R31" i="16"/>
  <c r="G58" i="16"/>
  <c r="L55" i="16"/>
  <c r="Y26" i="16"/>
  <c r="C52" i="16"/>
  <c r="G80" i="16"/>
  <c r="X27" i="16"/>
  <c r="N26" i="16"/>
  <c r="L81" i="16"/>
  <c r="C82" i="16"/>
  <c r="X34" i="16"/>
  <c r="B52" i="16"/>
  <c r="T39" i="16"/>
  <c r="H76" i="16"/>
  <c r="B10" i="16"/>
  <c r="AF26" i="16"/>
  <c r="Y6" i="16"/>
  <c r="AB17" i="16"/>
  <c r="R17" i="16"/>
  <c r="E29" i="16"/>
  <c r="F58" i="16"/>
  <c r="J73" i="16"/>
  <c r="F61" i="16"/>
  <c r="AG36" i="16"/>
  <c r="AE14" i="16"/>
  <c r="P5" i="16"/>
  <c r="AC33" i="16"/>
  <c r="N54" i="16"/>
  <c r="F73" i="16"/>
  <c r="AD17" i="16"/>
  <c r="P70" i="16"/>
  <c r="B74" i="16"/>
  <c r="L56" i="16"/>
  <c r="G61" i="16"/>
  <c r="U26" i="16"/>
  <c r="B82" i="16"/>
  <c r="N78" i="16"/>
  <c r="C74" i="16"/>
  <c r="O33" i="16"/>
  <c r="X30" i="16"/>
  <c r="O13" i="16"/>
  <c r="B62" i="16"/>
  <c r="F40" i="16"/>
  <c r="J81" i="16"/>
  <c r="H27" i="16"/>
  <c r="W39" i="16"/>
  <c r="J30" i="16"/>
  <c r="J50" i="16"/>
  <c r="F38" i="16"/>
  <c r="U18" i="16"/>
  <c r="R6" i="16"/>
  <c r="X40" i="16"/>
  <c r="I70" i="16"/>
  <c r="G18" i="16"/>
  <c r="AA16" i="16"/>
  <c r="I5" i="16"/>
  <c r="AD14" i="16"/>
  <c r="N41" i="16"/>
  <c r="H6" i="16"/>
  <c r="U30" i="16"/>
  <c r="B72" i="16"/>
  <c r="T34" i="16"/>
  <c r="H55" i="16"/>
  <c r="W35" i="16"/>
  <c r="K27" i="16"/>
  <c r="L7" i="16"/>
  <c r="B16" i="16"/>
  <c r="H10" i="16"/>
  <c r="M12" i="16"/>
  <c r="H13" i="16"/>
  <c r="B70" i="16"/>
  <c r="AE31" i="16"/>
  <c r="G55" i="16"/>
  <c r="P71" i="16"/>
  <c r="Z41" i="16"/>
  <c r="G30" i="16"/>
  <c r="AE6" i="16"/>
  <c r="W7" i="16"/>
  <c r="N35" i="16"/>
  <c r="Z37" i="16"/>
  <c r="T31" i="16"/>
  <c r="L52" i="16"/>
  <c r="O83" i="16"/>
  <c r="Z30" i="16"/>
  <c r="B39" i="16"/>
  <c r="AD39" i="16"/>
  <c r="D28" i="16"/>
  <c r="O6" i="16"/>
  <c r="Q15" i="16"/>
  <c r="C15" i="16"/>
  <c r="O54" i="16"/>
  <c r="J57" i="16"/>
  <c r="K9" i="16"/>
  <c r="H77" i="16"/>
  <c r="H36" i="16"/>
  <c r="AC40" i="16"/>
  <c r="C26" i="16"/>
  <c r="O73" i="16"/>
  <c r="B36" i="16"/>
  <c r="I29" i="16"/>
  <c r="T26" i="16"/>
  <c r="I51" i="16"/>
  <c r="F7" i="16"/>
  <c r="V32" i="16"/>
  <c r="H28" i="16"/>
  <c r="K75" i="16"/>
  <c r="D68" i="16"/>
  <c r="M72" i="16"/>
  <c r="AD7" i="16"/>
  <c r="W10" i="16"/>
  <c r="J79" i="16"/>
  <c r="O15" i="16"/>
  <c r="L47" i="16"/>
  <c r="AC19" i="16"/>
  <c r="AE32" i="16"/>
  <c r="H57" i="16"/>
  <c r="AC16" i="16"/>
  <c r="I33" i="16"/>
  <c r="G13" i="16"/>
  <c r="D33" i="16"/>
  <c r="AF40" i="16"/>
  <c r="G48" i="16"/>
  <c r="X15" i="16"/>
  <c r="M35" i="16"/>
  <c r="K31" i="16"/>
  <c r="N53" i="16"/>
  <c r="M30" i="16"/>
  <c r="C62" i="16"/>
  <c r="AG11" i="16"/>
  <c r="Y28" i="16"/>
  <c r="G19" i="16"/>
  <c r="R35" i="16"/>
  <c r="T33" i="16"/>
  <c r="C10" i="16"/>
  <c r="W6" i="16"/>
  <c r="S13" i="16"/>
  <c r="I47" i="16"/>
  <c r="J27" i="16"/>
  <c r="E75" i="16"/>
  <c r="U41" i="16"/>
  <c r="X17" i="16"/>
  <c r="S5" i="16"/>
  <c r="I35" i="16"/>
  <c r="AA35" i="16"/>
  <c r="B11" i="16"/>
  <c r="N48" i="16"/>
  <c r="Q41" i="16"/>
  <c r="F55" i="16"/>
  <c r="R38" i="16"/>
  <c r="G57" i="16"/>
  <c r="AA10" i="16"/>
  <c r="E6" i="16"/>
  <c r="AD38" i="16"/>
  <c r="E20" i="16"/>
  <c r="W5" i="16"/>
  <c r="N68" i="16"/>
  <c r="E47" i="16"/>
  <c r="K56" i="16"/>
  <c r="AA38" i="16"/>
  <c r="K81" i="16"/>
  <c r="W9" i="16"/>
  <c r="X18" i="16"/>
  <c r="M83" i="16"/>
  <c r="W12" i="16"/>
  <c r="AG15" i="16"/>
  <c r="L18" i="16"/>
  <c r="K28" i="16"/>
  <c r="P69" i="16"/>
  <c r="K17" i="16"/>
  <c r="Q16" i="16"/>
  <c r="F59" i="16"/>
  <c r="O8" i="16"/>
  <c r="P11" i="16"/>
  <c r="AG38" i="16"/>
  <c r="U14" i="16"/>
  <c r="AG34" i="16"/>
  <c r="Y41" i="16"/>
  <c r="AE19" i="16"/>
  <c r="P10" i="16"/>
  <c r="Z28" i="16"/>
  <c r="AF37" i="16"/>
  <c r="F56" i="16"/>
  <c r="C76" i="16"/>
  <c r="Q17" i="16"/>
  <c r="G76" i="16"/>
  <c r="AF15" i="16"/>
  <c r="X19" i="16"/>
  <c r="J61" i="16"/>
  <c r="B49" i="16"/>
  <c r="T19" i="16"/>
  <c r="K37" i="16"/>
  <c r="D55" i="16"/>
  <c r="AD11" i="16"/>
  <c r="G60" i="16"/>
  <c r="AB15" i="16"/>
  <c r="O26" i="16"/>
  <c r="D59" i="16"/>
  <c r="AG7" i="16"/>
  <c r="D75" i="16"/>
  <c r="J68" i="16"/>
  <c r="M26" i="16"/>
  <c r="Y9" i="16"/>
  <c r="E58" i="16"/>
  <c r="AG35" i="16"/>
  <c r="T37" i="16"/>
  <c r="I20" i="16"/>
  <c r="J78" i="16"/>
  <c r="T32" i="16"/>
  <c r="B20" i="16"/>
  <c r="V12" i="16"/>
  <c r="H39" i="16"/>
  <c r="Z10" i="16"/>
  <c r="T7" i="16"/>
  <c r="L12" i="16"/>
  <c r="F41" i="16"/>
  <c r="U16" i="16"/>
  <c r="B31" i="16"/>
  <c r="K82" i="16"/>
  <c r="O80" i="16"/>
  <c r="M15" i="16"/>
  <c r="H59" i="16"/>
  <c r="I27" i="16"/>
  <c r="I6" i="16"/>
  <c r="Y37" i="16"/>
  <c r="O29" i="16"/>
  <c r="N49" i="16"/>
  <c r="U37" i="16"/>
  <c r="AD33" i="16"/>
  <c r="C83" i="16"/>
  <c r="N71" i="16"/>
  <c r="Y31" i="16"/>
  <c r="J53" i="16"/>
  <c r="AE12" i="16"/>
  <c r="AG16" i="16"/>
  <c r="G9" i="16"/>
  <c r="J54" i="16"/>
  <c r="U6" i="16"/>
  <c r="O18" i="16"/>
  <c r="M31" i="16"/>
  <c r="C37" i="16"/>
  <c r="AC12" i="16"/>
  <c r="Z36" i="16"/>
  <c r="G33" i="16"/>
  <c r="S37" i="16"/>
  <c r="O58" i="16"/>
  <c r="V16" i="16"/>
  <c r="R28" i="16"/>
  <c r="S39" i="16"/>
  <c r="AG12" i="16"/>
  <c r="N50" i="16"/>
  <c r="S31" i="16"/>
  <c r="Y5" i="16"/>
  <c r="D26" i="16"/>
  <c r="N55" i="16"/>
  <c r="V31" i="16"/>
  <c r="R39" i="16"/>
  <c r="C77" i="16"/>
  <c r="AE30" i="16"/>
  <c r="E70" i="16"/>
  <c r="J77" i="16"/>
  <c r="AC10" i="16"/>
  <c r="G79" i="16"/>
  <c r="L31" i="16"/>
  <c r="I40" i="16"/>
  <c r="H50" i="16"/>
  <c r="C31" i="16"/>
  <c r="M10" i="16"/>
  <c r="G82" i="16"/>
  <c r="D58" i="16"/>
  <c r="C13" i="16"/>
  <c r="B69" i="16"/>
  <c r="O72" i="16"/>
  <c r="AE11" i="16"/>
  <c r="O12" i="16"/>
  <c r="AG40" i="16"/>
  <c r="AA15" i="16"/>
  <c r="AF16" i="16"/>
  <c r="D31" i="16"/>
  <c r="K83" i="16"/>
  <c r="AC37" i="16"/>
  <c r="AA27" i="16"/>
  <c r="P58" i="16"/>
  <c r="P50" i="16"/>
  <c r="D51" i="16"/>
  <c r="E9" i="16"/>
  <c r="I79" i="16"/>
  <c r="O28" i="16"/>
  <c r="N83" i="16"/>
  <c r="S6" i="16"/>
  <c r="P15" i="16"/>
  <c r="Z17" i="16"/>
  <c r="L32" i="16"/>
  <c r="B73" i="16"/>
  <c r="Z34" i="16"/>
  <c r="P68" i="16"/>
  <c r="C81" i="16"/>
  <c r="D49" i="16"/>
  <c r="C34" i="16"/>
  <c r="C54" i="16"/>
  <c r="O5" i="16"/>
  <c r="J13" i="16"/>
  <c r="K72" i="16"/>
  <c r="O16" i="16"/>
  <c r="F20" i="16"/>
  <c r="X12" i="16"/>
  <c r="G53" i="16"/>
  <c r="T8" i="16"/>
  <c r="F79" i="16"/>
  <c r="K48" i="16"/>
  <c r="AA19" i="16"/>
  <c r="F70" i="16"/>
  <c r="Q28" i="16"/>
  <c r="P32" i="16"/>
  <c r="H58" i="16"/>
  <c r="Z31" i="16"/>
  <c r="N16" i="16"/>
  <c r="J29" i="16"/>
  <c r="X20" i="16"/>
  <c r="J8" i="16"/>
  <c r="W41" i="16"/>
  <c r="K61" i="16"/>
  <c r="U19" i="16"/>
  <c r="F78" i="16"/>
  <c r="K6" i="16"/>
  <c r="AC35" i="16"/>
  <c r="AG9" i="16"/>
  <c r="O69" i="16"/>
  <c r="G81" i="16"/>
  <c r="G35" i="16"/>
  <c r="K30" i="16"/>
  <c r="F10" i="16"/>
  <c r="D41" i="16"/>
  <c r="P78" i="16"/>
  <c r="H82" i="16"/>
  <c r="L41" i="16"/>
  <c r="AA5" i="16"/>
  <c r="J80" i="16"/>
  <c r="C11" i="16"/>
  <c r="AF28" i="16"/>
  <c r="V11" i="16"/>
  <c r="E83" i="16"/>
  <c r="AB31" i="16"/>
  <c r="I77" i="16"/>
  <c r="J17" i="16"/>
  <c r="Z40" i="16"/>
  <c r="P34" i="16"/>
  <c r="Q35" i="16"/>
  <c r="AC18" i="16"/>
  <c r="U29" i="16"/>
  <c r="G49" i="16"/>
  <c r="AD8" i="16"/>
  <c r="N11" i="16"/>
  <c r="D69" i="16"/>
  <c r="F77" i="16"/>
  <c r="K69" i="16"/>
  <c r="G39" i="16"/>
  <c r="AC30" i="16"/>
  <c r="AB10" i="16"/>
  <c r="G38" i="16"/>
  <c r="AC36" i="16"/>
  <c r="Y34" i="16"/>
  <c r="Q52" i="16"/>
  <c r="H41" i="16"/>
  <c r="X9" i="16"/>
  <c r="J71" i="16"/>
  <c r="T38" i="16"/>
  <c r="B18" i="16"/>
  <c r="V17" i="16"/>
  <c r="P83" i="16"/>
  <c r="J55" i="16"/>
  <c r="N61" i="16"/>
  <c r="E62" i="16"/>
  <c r="H5" i="16"/>
  <c r="N10" i="16"/>
  <c r="D36" i="16"/>
  <c r="AD32" i="16"/>
  <c r="I32" i="16"/>
  <c r="E35" i="16"/>
  <c r="F9" i="16"/>
  <c r="B78" i="16"/>
  <c r="F35" i="16"/>
  <c r="P61" i="16"/>
  <c r="AG37" i="16"/>
  <c r="S28" i="16"/>
  <c r="Q76" i="16"/>
  <c r="R10" i="16"/>
  <c r="N75" i="16"/>
  <c r="P6" i="16"/>
  <c r="AB40" i="16"/>
  <c r="P73" i="16"/>
  <c r="I58" i="16"/>
  <c r="X13" i="16"/>
  <c r="I19" i="16"/>
  <c r="L40" i="16"/>
  <c r="Q57" i="16"/>
  <c r="D40" i="16"/>
  <c r="AE7" i="16"/>
  <c r="O48" i="16"/>
  <c r="I83" i="16"/>
  <c r="H14" i="16"/>
  <c r="Q31" i="16"/>
  <c r="G41" i="16"/>
  <c r="E79" i="16"/>
  <c r="K79" i="16"/>
  <c r="P37" i="16"/>
  <c r="Q26" i="16"/>
  <c r="T15" i="16"/>
  <c r="C12" i="16"/>
  <c r="B79" i="16"/>
  <c r="F26" i="16"/>
  <c r="L82" i="16"/>
  <c r="L38" i="16"/>
  <c r="W14" i="16"/>
  <c r="B54" i="16"/>
  <c r="Z33" i="16"/>
  <c r="G68" i="16"/>
  <c r="L29" i="16"/>
  <c r="P72" i="16"/>
  <c r="B35" i="16"/>
  <c r="B9" i="16"/>
  <c r="N18" i="16"/>
  <c r="I49" i="16"/>
  <c r="AC20" i="16"/>
  <c r="C69" i="16"/>
  <c r="Q37" i="16"/>
  <c r="F36" i="16"/>
  <c r="C7" i="16"/>
  <c r="V41" i="16"/>
  <c r="P17" i="16"/>
  <c r="D79" i="16"/>
  <c r="I11" i="16"/>
  <c r="L79" i="16"/>
  <c r="U38" i="16"/>
  <c r="L73" i="16"/>
  <c r="AF14" i="16"/>
  <c r="N40" i="16"/>
  <c r="O49" i="16"/>
  <c r="S40" i="16"/>
  <c r="I36" i="16"/>
  <c r="P35" i="16"/>
  <c r="K60" i="16"/>
  <c r="V8" i="16"/>
  <c r="J41" i="16"/>
  <c r="AC38" i="16"/>
  <c r="P52" i="16"/>
  <c r="AE18" i="16"/>
  <c r="V7" i="16"/>
  <c r="J10" i="16"/>
  <c r="S34" i="16"/>
  <c r="O39" i="16"/>
  <c r="T27" i="16"/>
  <c r="X16" i="16"/>
  <c r="P56" i="16"/>
  <c r="F49" i="16"/>
  <c r="U20" i="16"/>
  <c r="M47" i="16"/>
  <c r="L27" i="16"/>
  <c r="O53" i="16"/>
  <c r="V37" i="16"/>
  <c r="AG5" i="16"/>
  <c r="AB11" i="16"/>
  <c r="AD18" i="16"/>
  <c r="P76" i="16"/>
  <c r="E56" i="16"/>
  <c r="R15" i="16"/>
  <c r="Y10" i="16"/>
  <c r="B27" i="16"/>
  <c r="J59" i="16"/>
  <c r="C20" i="16"/>
  <c r="S9" i="16"/>
  <c r="L83" i="16"/>
  <c r="E60" i="16"/>
  <c r="O57" i="16"/>
  <c r="U7" i="16"/>
  <c r="Q34" i="16"/>
  <c r="S33" i="16"/>
  <c r="AD28" i="16"/>
  <c r="Q14" i="16"/>
  <c r="C16" i="16"/>
  <c r="AC31" i="16"/>
  <c r="AB39" i="16"/>
  <c r="Q72" i="16"/>
  <c r="P36" i="16"/>
  <c r="X7" i="16"/>
  <c r="O52" i="16"/>
  <c r="I38" i="16"/>
  <c r="G16" i="16"/>
  <c r="M62" i="16"/>
  <c r="O61" i="16"/>
  <c r="T17" i="16"/>
  <c r="S19" i="16"/>
  <c r="Q80" i="16"/>
  <c r="AF33" i="16"/>
  <c r="H15" i="16"/>
  <c r="O68" i="16"/>
  <c r="F28" i="16"/>
  <c r="N52" i="16"/>
  <c r="G56" i="16"/>
  <c r="AB41" i="16"/>
  <c r="AF31" i="16"/>
  <c r="F34" i="16"/>
  <c r="L34" i="16"/>
  <c r="F54" i="16"/>
  <c r="AC13" i="16"/>
  <c r="H7" i="16"/>
  <c r="AG27" i="16"/>
  <c r="R11" i="16"/>
  <c r="J31" i="16"/>
  <c r="Y20" i="16"/>
  <c r="AA7" i="16"/>
  <c r="E11" i="16"/>
  <c r="B30" i="16"/>
  <c r="O20" i="16"/>
  <c r="J58" i="16"/>
  <c r="Y7" i="16"/>
  <c r="O50" i="16"/>
  <c r="Y19" i="16"/>
  <c r="K74" i="16"/>
  <c r="M59" i="16"/>
  <c r="J19" i="16"/>
  <c r="E40" i="16"/>
  <c r="Q73" i="16"/>
  <c r="S7" i="16"/>
  <c r="Q29" i="16"/>
  <c r="B29" i="16"/>
  <c r="AE9" i="16"/>
  <c r="G78" i="16"/>
  <c r="Q48" i="16"/>
  <c r="B7" i="16"/>
  <c r="F19" i="16"/>
  <c r="E74" i="16"/>
  <c r="AE8" i="16"/>
  <c r="P27" i="16"/>
  <c r="T10" i="16"/>
  <c r="R14" i="16"/>
  <c r="G5" i="16"/>
  <c r="Z35" i="16"/>
  <c r="L70" i="16"/>
  <c r="K68" i="16"/>
  <c r="E53" i="16"/>
  <c r="W31" i="16"/>
  <c r="O37" i="16"/>
  <c r="B76" i="16"/>
  <c r="V26" i="16"/>
  <c r="V19" i="16"/>
  <c r="C51" i="16"/>
  <c r="O75" i="16"/>
  <c r="F29" i="16"/>
  <c r="J75" i="16"/>
  <c r="P7" i="16"/>
  <c r="U31" i="16"/>
  <c r="Y8" i="16"/>
  <c r="AD13" i="16"/>
  <c r="H33" i="16"/>
  <c r="N57" i="16"/>
  <c r="M14" i="16"/>
  <c r="N70" i="16"/>
  <c r="S17" i="16"/>
  <c r="K20" i="16"/>
  <c r="Y39" i="16"/>
  <c r="D32" i="16"/>
  <c r="Q55" i="16"/>
  <c r="B38" i="16"/>
  <c r="G29" i="16"/>
  <c r="H30" i="16"/>
  <c r="X10" i="16"/>
  <c r="M49" i="16"/>
  <c r="AF29" i="16"/>
  <c r="M8" i="16"/>
  <c r="N12" i="16"/>
  <c r="L61" i="16"/>
  <c r="M55" i="16"/>
  <c r="U13" i="16"/>
  <c r="AA30" i="16"/>
  <c r="X37" i="16"/>
  <c r="W30" i="16"/>
  <c r="S20" i="16"/>
  <c r="N37" i="16"/>
  <c r="C60" i="16"/>
  <c r="C58" i="16"/>
  <c r="E55" i="16"/>
  <c r="D39" i="16"/>
  <c r="R8" i="16"/>
  <c r="C75" i="16"/>
  <c r="D27" i="16"/>
  <c r="R12" i="16"/>
  <c r="H52" i="16"/>
  <c r="AG14" i="16"/>
  <c r="V15" i="16"/>
  <c r="G83" i="16"/>
  <c r="M76" i="16"/>
  <c r="O7" i="16"/>
  <c r="I80" i="16"/>
  <c r="Q19" i="16"/>
  <c r="I41" i="16"/>
  <c r="O34" i="16"/>
  <c r="M11" i="16"/>
  <c r="H53" i="16"/>
  <c r="G59" i="16"/>
  <c r="AE41" i="16"/>
  <c r="K41" i="16"/>
  <c r="W34" i="16"/>
  <c r="AA31" i="16"/>
  <c r="S14" i="16"/>
  <c r="P51" i="16"/>
  <c r="H19" i="16"/>
  <c r="F71" i="16"/>
  <c r="P54" i="16"/>
  <c r="M80" i="16"/>
  <c r="C50" i="16"/>
  <c r="R27" i="16"/>
  <c r="L6" i="16"/>
  <c r="K38" i="16"/>
  <c r="L39" i="16"/>
  <c r="C71" i="16"/>
  <c r="N32" i="16"/>
  <c r="D10" i="16"/>
  <c r="K36" i="16"/>
  <c r="G69" i="16"/>
  <c r="M79" i="16"/>
  <c r="C36" i="16"/>
  <c r="E41" i="16"/>
  <c r="Q27" i="16"/>
  <c r="D48" i="16"/>
  <c r="C39" i="16"/>
  <c r="I55" i="16"/>
  <c r="F18" i="16"/>
  <c r="E10" i="16"/>
  <c r="AB33" i="16"/>
  <c r="W36" i="16"/>
  <c r="AF8" i="16"/>
  <c r="Q68" i="16"/>
  <c r="X31" i="16"/>
  <c r="AF19" i="16"/>
  <c r="C6" i="16"/>
  <c r="B71" i="16"/>
  <c r="R13" i="16"/>
  <c r="T12" i="16"/>
  <c r="AG20" i="16"/>
  <c r="P79" i="16"/>
  <c r="AG33" i="16"/>
  <c r="K55" i="16"/>
  <c r="Q49" i="16"/>
  <c r="G20" i="16"/>
  <c r="M37" i="16"/>
  <c r="AC34" i="16"/>
  <c r="P55" i="16"/>
  <c r="V38" i="16"/>
  <c r="Z29" i="16"/>
  <c r="G72" i="16"/>
  <c r="AE26" i="16"/>
  <c r="AB8" i="16"/>
  <c r="AD31" i="16"/>
  <c r="M27" i="16"/>
  <c r="L19" i="16"/>
  <c r="AC17" i="16"/>
  <c r="AE34" i="16"/>
  <c r="I50" i="16"/>
  <c r="AF35" i="16"/>
  <c r="L48" i="16"/>
  <c r="V40" i="16"/>
  <c r="D16" i="16"/>
  <c r="X26" i="16"/>
  <c r="J7" i="16"/>
  <c r="C8" i="16"/>
  <c r="AE13" i="16"/>
  <c r="AA14" i="16"/>
  <c r="AF13" i="16"/>
  <c r="AB14" i="16"/>
  <c r="I75" i="16"/>
  <c r="B58" i="16"/>
  <c r="O81" i="16"/>
  <c r="D30" i="16"/>
  <c r="G70" i="16"/>
  <c r="I53" i="16"/>
  <c r="F50" i="16"/>
  <c r="P39" i="16"/>
  <c r="W19" i="16"/>
  <c r="F72" i="16"/>
  <c r="H37" i="16"/>
  <c r="Q62" i="16"/>
  <c r="AE15" i="16"/>
  <c r="Q36" i="16"/>
  <c r="J37" i="16"/>
  <c r="S27" i="16"/>
  <c r="H31" i="16"/>
  <c r="U32" i="16"/>
  <c r="B48" i="16"/>
  <c r="W20" i="16"/>
  <c r="P29" i="16"/>
  <c r="F11" i="16"/>
  <c r="K70" i="16"/>
  <c r="N34" i="16"/>
  <c r="X39" i="16"/>
  <c r="AA17" i="16"/>
  <c r="K80" i="16"/>
  <c r="Z7" i="16"/>
  <c r="E51" i="16"/>
  <c r="C38" i="16"/>
  <c r="P80" i="16"/>
  <c r="D13" i="16"/>
  <c r="N69" i="16"/>
  <c r="L8" i="16"/>
  <c r="AF18" i="16"/>
  <c r="AG30" i="16"/>
  <c r="AF38" i="16"/>
  <c r="E71" i="16"/>
  <c r="Q61" i="16"/>
  <c r="J74" i="16"/>
  <c r="R7" i="16"/>
  <c r="K76" i="16"/>
  <c r="AD19" i="16"/>
  <c r="Q53" i="16"/>
  <c r="M6" i="16"/>
  <c r="K52" i="16"/>
  <c r="H34" i="16"/>
  <c r="L77" i="16"/>
  <c r="L57" i="16"/>
  <c r="T35" i="16"/>
  <c r="L49" i="16"/>
  <c r="R41" i="16"/>
  <c r="R36" i="16"/>
  <c r="F39" i="16"/>
  <c r="H51" i="16"/>
  <c r="T14" i="16"/>
  <c r="X35" i="16"/>
  <c r="K7" i="16"/>
  <c r="O32" i="16"/>
  <c r="C28" i="16"/>
  <c r="N60" i="16"/>
  <c r="G14" i="16"/>
  <c r="I76" i="16"/>
  <c r="AD36" i="16"/>
  <c r="O27" i="16"/>
  <c r="O79" i="16"/>
  <c r="W17" i="16"/>
  <c r="C72" i="16"/>
  <c r="J47" i="16"/>
  <c r="AF30" i="16"/>
  <c r="J52" i="16"/>
  <c r="AD10" i="16"/>
  <c r="O47" i="16"/>
  <c r="F30" i="16"/>
  <c r="B51" i="16"/>
  <c r="Y32" i="16"/>
  <c r="H72" i="16"/>
  <c r="G15" i="16"/>
  <c r="H61" i="16"/>
  <c r="J35" i="16"/>
  <c r="AD15" i="16"/>
  <c r="Z14" i="16"/>
  <c r="L35" i="16"/>
  <c r="AC29" i="16"/>
  <c r="G36" i="16"/>
  <c r="L78" i="16"/>
  <c r="Z19" i="16"/>
  <c r="Y33" i="16"/>
  <c r="O41" i="16"/>
  <c r="D62" i="16"/>
  <c r="AD16" i="16"/>
  <c r="I71" i="16"/>
  <c r="AB38" i="16"/>
  <c r="AA12" i="16"/>
  <c r="V34" i="16"/>
  <c r="K26" i="16"/>
  <c r="N76" i="16"/>
  <c r="S12" i="16"/>
  <c r="G50" i="16"/>
  <c r="Q38" i="16"/>
  <c r="L30" i="16"/>
  <c r="D35" i="16"/>
  <c r="C35" i="16"/>
  <c r="V30" i="16"/>
  <c r="J49" i="16"/>
  <c r="G8" i="16"/>
  <c r="D50" i="16"/>
  <c r="N77" i="16"/>
  <c r="E27" i="16"/>
  <c r="E73" i="16"/>
  <c r="M75" i="16"/>
  <c r="F15" i="16"/>
  <c r="AG8" i="16"/>
  <c r="AB6" i="16"/>
  <c r="AF12" i="16"/>
  <c r="AC26" i="16"/>
  <c r="J48" i="16"/>
  <c r="C56" i="16"/>
  <c r="B26" i="16"/>
  <c r="AC11" i="16"/>
  <c r="N47" i="16"/>
  <c r="X33" i="16"/>
  <c r="U36" i="16"/>
  <c r="F14" i="16"/>
  <c r="Z38" i="16"/>
  <c r="AB35" i="16"/>
  <c r="AE38" i="16"/>
  <c r="M29" i="16"/>
  <c r="F47" i="16"/>
  <c r="AB28" i="16"/>
  <c r="V10" i="16"/>
  <c r="I82" i="16"/>
  <c r="M70" i="16"/>
  <c r="Q5" i="16"/>
  <c r="M40" i="16"/>
  <c r="Z5" i="16"/>
  <c r="AA18" i="16"/>
  <c r="AD34" i="16"/>
  <c r="M36" i="16"/>
  <c r="I13" i="16"/>
  <c r="H73" i="16"/>
  <c r="B8" i="16"/>
  <c r="AD30" i="16"/>
  <c r="S35" i="16"/>
  <c r="K62" i="16"/>
  <c r="L74" i="16"/>
  <c r="T18" i="16"/>
  <c r="H56" i="16"/>
  <c r="Y27" i="16"/>
  <c r="N15" i="16"/>
  <c r="O14" i="16"/>
  <c r="Q50" i="16"/>
  <c r="X11" i="16"/>
  <c r="E78" i="16"/>
  <c r="D38" i="16"/>
  <c r="Q75" i="16"/>
  <c r="C29" i="16"/>
  <c r="P14" i="16"/>
  <c r="C33" i="16"/>
  <c r="Y35" i="16"/>
  <c r="E5" i="16"/>
  <c r="K13" i="16"/>
  <c r="M53" i="16"/>
  <c r="O19" i="16"/>
  <c r="N36" i="16"/>
  <c r="AF6" i="16"/>
  <c r="Y30" i="16"/>
  <c r="T30" i="16"/>
  <c r="O62" i="16"/>
  <c r="AD27" i="16"/>
  <c r="J36" i="16"/>
  <c r="E19" i="16"/>
  <c r="L9" i="16"/>
  <c r="J14" i="16"/>
  <c r="O31" i="16"/>
  <c r="AG29" i="16"/>
  <c r="H54" i="16"/>
  <c r="AA41" i="16"/>
  <c r="U39" i="16"/>
  <c r="F31" i="16"/>
  <c r="J6" i="16"/>
  <c r="AB5" i="16"/>
  <c r="J5" i="16"/>
  <c r="M69" i="16"/>
  <c r="V28" i="16"/>
  <c r="E48" i="16"/>
  <c r="AA32" i="16"/>
  <c r="R37" i="16"/>
  <c r="AE37" i="16"/>
  <c r="E81" i="16"/>
  <c r="X29" i="16"/>
  <c r="H79" i="16"/>
  <c r="AF20" i="16"/>
  <c r="C9" i="16"/>
  <c r="L62" i="16"/>
  <c r="U3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D91782EB-1714-4237-92C0-A75075F127C8}">
      <text>
        <r>
          <rPr>
            <sz val="10"/>
            <color indexed="81"/>
            <rFont val="Tahoma"/>
            <family val="2"/>
          </rPr>
          <t xml:space="preserve">
This set of prior year tables are calculated based on institutional classification as of the current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A2369B22-C1D0-4723-A019-7E4FE2813C5E}">
      <text>
        <r>
          <rPr>
            <sz val="10"/>
            <color indexed="81"/>
            <rFont val="Tahoma"/>
            <family val="2"/>
          </rPr>
          <t xml:space="preserve">
This set of prior year tables are calculated based on institutional classification as of the current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mloverde</author>
  </authors>
  <commentList>
    <comment ref="F2" authorId="0" shapeId="0" xr:uid="{01FA2201-9D42-4850-AF6E-8BD10CE1BBF7}">
      <text>
        <r>
          <rPr>
            <b/>
            <sz val="11"/>
            <color rgb="FF000000"/>
            <rFont val="Tahoma"/>
            <family val="2"/>
          </rPr>
          <t>Five specialized schools ("15's") with significant e-learning offerings are included in this survey section: 
Southern Polytechnic State University, 
University of Maryland University College, 
North Carolina School of the Arts, 
Virginia Military Institute, and the 
West Virginia School of Osteopathic Medicine.
Other 15s should not be included without checking with Joe.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Excel Validator</author>
  </authors>
  <commentList>
    <comment ref="B508" authorId="0" shapeId="0" xr:uid="{3E1B2B63-C6CD-4F03-AE1C-D3193EE32CA6}">
      <text>
        <r>
          <rPr>
            <sz val="8"/>
            <color rgb="FF000000"/>
            <rFont val="Tahoma"/>
            <family val="2"/>
          </rPr>
          <t>Moderate Warning  AA003:  Institution name is invalid.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B000000}" name="Type13gr11" type="6" refreshedVersion="5" deleted="1" background="1" saveData="1">
    <textPr codePage="437" sourceFile="Z:\Mead\SASdocs\SREB\QWK04869\Page5\Type13gr1.txt">
      <textFields>
        <textField/>
      </textFields>
    </textPr>
  </connection>
  <connection id="2" xr16:uid="{DC4BD939-60DF-4A7A-BBE8-794863BDDDDB}" name="Type13gr111" type="6" refreshedVersion="5" deleted="1" background="1" saveData="1">
    <textPr codePage="437" sourceFile="Z:\Mead\SASdocs\SREB\QWK04869\Page5\Type13gr1.txt">
      <textFields>
        <textField/>
      </textFields>
    </textPr>
  </connection>
  <connection id="3" xr16:uid="{367582E1-A022-4678-9936-76F49191D2D2}" name="Type13gr11112" type="6" refreshedVersion="5" deleted="1" background="1" saveData="1">
    <textPr codePage="437" sourceFile="Z:\Mead\SASdocs\SREB\QWK04869\Page5\Type13gr1.txt">
      <textFields>
        <textField/>
      </textFields>
    </textPr>
  </connection>
  <connection id="4" xr16:uid="{46599029-B8A8-4698-8284-11612BC71329}" name="Type13gr112" type="6" refreshedVersion="5" deleted="1" background="1" saveData="1">
    <textPr codePage="437" sourceFile="Z:\Mead\SASdocs\SREB\QWK04869\Page5\Type13gr1.txt">
      <textFields>
        <textField/>
      </textFields>
    </textPr>
  </connection>
  <connection id="5" xr16:uid="{75E1A6C5-0355-4F2F-87B6-59C107F6D967}" name="Type13gr1129" type="6" refreshedVersion="5" deleted="1" background="1" saveData="1">
    <textPr codePage="437" sourceFile="Z:\Mead\SASdocs\SREB\QWK04869\Page5\Type13gr1.txt">
      <textFields>
        <textField/>
      </textFields>
    </textPr>
  </connection>
  <connection id="6" xr16:uid="{6922E060-ECE0-4263-B11B-17F3BF26E7C0}" name="Type13gr113" type="6" refreshedVersion="5" deleted="1" background="1" saveData="1">
    <textPr codePage="437" sourceFile="Z:\Mead\SASdocs\SREB\QWK04869\Page5\Type13gr1.txt">
      <textFields>
        <textField/>
      </textFields>
    </textPr>
  </connection>
  <connection id="7" xr16:uid="{2245AFF8-AEFF-44C3-BCE6-319CEE4EB7EC}" name="Type13gr1130" type="6" refreshedVersion="5" deleted="1" background="1" saveData="1">
    <textPr codePage="437" sourceFile="Z:\Mead\SASdocs\SREB\QWK04869\Page5\Type13gr1.txt">
      <textFields>
        <textField/>
      </textFields>
    </textPr>
  </connection>
  <connection id="8" xr16:uid="{C5021D16-256A-4317-B256-499C0F75B7FA}" name="Type13gr1131" type="6" refreshedVersion="5" deleted="1" background="1" saveData="1">
    <textPr codePage="437" sourceFile="Z:\Mead\SASdocs\SREB\QWK04869\Page5\Type13gr1.txt">
      <textFields>
        <textField/>
      </textFields>
    </textPr>
  </connection>
  <connection id="9" xr16:uid="{B9C96794-B68D-493C-87A8-5C36D2DF6AA0}" name="Type13gr1132" type="6" refreshedVersion="5" deleted="1" background="1" saveData="1">
    <textPr codePage="437" sourceFile="Z:\Mead\SASdocs\SREB\QWK04869\Page5\Type13gr1.txt">
      <textFields>
        <textField/>
      </textFields>
    </textPr>
  </connection>
  <connection id="10" xr16:uid="{92FF8EE1-5C3F-4203-B20B-E8B9D3A64823}" name="Type13gr1133" type="6" refreshedVersion="5" deleted="1" background="1" saveData="1">
    <textPr codePage="437" sourceFile="Z:\Mead\SASdocs\SREB\QWK04869\Page5\Type13gr1.txt">
      <textFields>
        <textField/>
      </textFields>
    </textPr>
  </connection>
  <connection id="11" xr16:uid="{E0CBDF71-58B5-4FD5-A27C-52D4A4A85862}" name="Type13gr114" type="6" refreshedVersion="5" deleted="1" background="1" saveData="1">
    <textPr codePage="437" sourceFile="Z:\Mead\SASdocs\SREB\QWK04869\Page5\Type13gr1.txt">
      <textFields>
        <textField/>
      </textFields>
    </textPr>
  </connection>
  <connection id="12" xr16:uid="{00000000-0015-0000-FFFF-FFFF0C000000}" name="Type13gr21" type="6" refreshedVersion="5" deleted="1" background="1" saveData="1">
    <textPr codePage="437" sourceFile="Z:\Mead\SASdocs\SREB\QWK04869\Page5\Type13gr2.txt">
      <textFields>
        <textField/>
      </textFields>
    </textPr>
  </connection>
  <connection id="13" xr16:uid="{9D9D3E2E-C5C7-4F48-BBC2-FC341B2AF4C5}" name="Type13gr211" type="6" refreshedVersion="5" deleted="1" background="1" saveData="1">
    <textPr codePage="437" sourceFile="Z:\Mead\SASdocs\SREB\QWK04869\Page5\Type13gr2.txt">
      <textFields>
        <textField/>
      </textFields>
    </textPr>
  </connection>
  <connection id="14" xr16:uid="{D4724B18-A8CE-4CF3-AA80-F9FECECAEA1B}" name="Type13gr21112" type="6" refreshedVersion="5" deleted="1" background="1" saveData="1">
    <textPr codePage="437" sourceFile="Z:\Mead\SASdocs\SREB\QWK04869\Page5\Type13gr2.txt">
      <textFields>
        <textField/>
      </textFields>
    </textPr>
  </connection>
  <connection id="15" xr16:uid="{D143005A-958A-4828-B84E-14AE870AC40F}" name="Type13gr212" type="6" refreshedVersion="5" deleted="1" background="1" saveData="1">
    <textPr codePage="437" sourceFile="Z:\Mead\SASdocs\SREB\QWK04869\Page5\Type13gr2.txt">
      <textFields>
        <textField/>
      </textFields>
    </textPr>
  </connection>
  <connection id="16" xr16:uid="{4F2A9FD7-2012-4B4F-A1EB-7C7C7BC60D25}" name="Type13gr2129" type="6" refreshedVersion="5" deleted="1" background="1" saveData="1">
    <textPr codePage="437" sourceFile="Z:\Mead\SASdocs\SREB\QWK04869\Page5\Type13gr2.txt">
      <textFields>
        <textField/>
      </textFields>
    </textPr>
  </connection>
  <connection id="17" xr16:uid="{5EFDE836-0379-4E2C-958C-256BA0F11841}" name="Type13gr213" type="6" refreshedVersion="5" deleted="1" background="1" saveData="1">
    <textPr codePage="437" sourceFile="Z:\Mead\SASdocs\SREB\QWK04869\Page5\Type13gr2.txt">
      <textFields>
        <textField/>
      </textFields>
    </textPr>
  </connection>
  <connection id="18" xr16:uid="{D1F8A098-674D-4B52-9A6F-FC94EA07E399}" name="Type13gr2130" type="6" refreshedVersion="5" deleted="1" background="1" saveData="1">
    <textPr codePage="437" sourceFile="Z:\Mead\SASdocs\SREB\QWK04869\Page5\Type13gr2.txt">
      <textFields>
        <textField/>
      </textFields>
    </textPr>
  </connection>
  <connection id="19" xr16:uid="{61B8EA96-8BFC-4834-9FA8-A49A81DFFE8F}" name="Type13gr2131" type="6" refreshedVersion="5" deleted="1" background="1" saveData="1">
    <textPr codePage="437" sourceFile="Z:\Mead\SASdocs\SREB\QWK04869\Page5\Type13gr2.txt">
      <textFields>
        <textField/>
      </textFields>
    </textPr>
  </connection>
  <connection id="20" xr16:uid="{813A45BC-B99F-4103-BE55-143AD558EA20}" name="Type13gr2132" type="6" refreshedVersion="5" deleted="1" background="1" saveData="1">
    <textPr codePage="437" sourceFile="Z:\Mead\SASdocs\SREB\QWK04869\Page5\Type13gr2.txt">
      <textFields>
        <textField/>
      </textFields>
    </textPr>
  </connection>
  <connection id="21" xr16:uid="{8D60638B-84F3-4839-A3A6-6D8522C57504}" name="Type13gr2133" type="6" refreshedVersion="5" deleted="1" background="1" saveData="1">
    <textPr codePage="437" sourceFile="Z:\Mead\SASdocs\SREB\QWK04869\Page5\Type13gr2.txt">
      <textFields>
        <textField/>
      </textFields>
    </textPr>
  </connection>
  <connection id="22" xr16:uid="{F22C555F-5682-4C0A-947E-5C2B56BC19AF}" name="Type13gr214" type="6" refreshedVersion="5" deleted="1" background="1" saveData="1">
    <textPr codePage="437" sourceFile="Z:\Mead\SASdocs\SREB\QWK04869\Page5\Type13gr2.txt">
      <textFields>
        <textField/>
      </textFields>
    </textPr>
  </connection>
  <connection id="23" xr16:uid="{00000000-0015-0000-FFFF-FFFF0D000000}" name="Type13gr31" type="6" refreshedVersion="5" deleted="1" background="1" saveData="1">
    <textPr codePage="437" sourceFile="Z:\Mead\SASdocs\SREB\QWK04869\Page5\Type13gr3.txt">
      <textFields>
        <textField/>
      </textFields>
    </textPr>
  </connection>
  <connection id="24" xr16:uid="{1748F162-46CB-4EB6-BC10-9D6303C81F27}" name="Type13gr311" type="6" refreshedVersion="5" deleted="1" background="1" saveData="1">
    <textPr codePage="437" sourceFile="Z:\Mead\SASdocs\SREB\QWK04869\Page5\Type13gr3.txt">
      <textFields>
        <textField/>
      </textFields>
    </textPr>
  </connection>
  <connection id="25" xr16:uid="{B64816F9-6AB3-4CB9-B99C-A063BD38C735}" name="Type13gr31112" type="6" refreshedVersion="5" deleted="1" background="1" saveData="1">
    <textPr codePage="437" sourceFile="Z:\Mead\SASdocs\SREB\QWK04869\Page5\Type13gr3.txt">
      <textFields>
        <textField/>
      </textFields>
    </textPr>
  </connection>
  <connection id="26" xr16:uid="{A8324EAA-9AF8-4B6E-BF61-5777666AE7DE}" name="Type13gr312" type="6" refreshedVersion="5" deleted="1" background="1" saveData="1">
    <textPr codePage="437" sourceFile="Z:\Mead\SASdocs\SREB\QWK04869\Page5\Type13gr3.txt">
      <textFields>
        <textField/>
      </textFields>
    </textPr>
  </connection>
  <connection id="27" xr16:uid="{7340AE44-142F-40AE-A619-03CDD1E59279}" name="Type13gr3129" type="6" refreshedVersion="5" deleted="1" background="1" saveData="1">
    <textPr codePage="437" sourceFile="Z:\Mead\SASdocs\SREB\QWK04869\Page5\Type13gr3.txt">
      <textFields>
        <textField/>
      </textFields>
    </textPr>
  </connection>
  <connection id="28" xr16:uid="{46605000-99B8-4C36-8747-7728778A48C0}" name="Type13gr313" type="6" refreshedVersion="5" deleted="1" background="1" saveData="1">
    <textPr codePage="437" sourceFile="Z:\Mead\SASdocs\SREB\QWK04869\Page5\Type13gr3.txt">
      <textFields>
        <textField/>
      </textFields>
    </textPr>
  </connection>
  <connection id="29" xr16:uid="{9A65CBCC-EFAA-43F8-8E28-216FE05D5118}" name="Type13gr3130" type="6" refreshedVersion="5" deleted="1" background="1" saveData="1">
    <textPr codePage="437" sourceFile="Z:\Mead\SASdocs\SREB\QWK04869\Page5\Type13gr3.txt">
      <textFields>
        <textField/>
      </textFields>
    </textPr>
  </connection>
  <connection id="30" xr16:uid="{563846C3-6943-4AB5-BB38-362291C14714}" name="Type13gr3131" type="6" refreshedVersion="5" deleted="1" background="1" saveData="1">
    <textPr codePage="437" sourceFile="Z:\Mead\SASdocs\SREB\QWK04869\Page5\Type13gr3.txt">
      <textFields>
        <textField/>
      </textFields>
    </textPr>
  </connection>
  <connection id="31" xr16:uid="{0BD1C680-612A-4620-9EAA-305F8EA3E1CF}" name="Type13gr3132" type="6" refreshedVersion="5" deleted="1" background="1" saveData="1">
    <textPr codePage="437" sourceFile="Z:\Mead\SASdocs\SREB\QWK04869\Page5\Type13gr3.txt">
      <textFields>
        <textField/>
      </textFields>
    </textPr>
  </connection>
  <connection id="32" xr16:uid="{7E10E4B2-0CEB-4728-BCCF-D4D32AA26564}" name="Type13gr3133" type="6" refreshedVersion="5" deleted="1" background="1" saveData="1">
    <textPr codePage="437" sourceFile="Z:\Mead\SASdocs\SREB\QWK04869\Page5\Type13gr3.txt">
      <textFields>
        <textField/>
      </textFields>
    </textPr>
  </connection>
  <connection id="33" xr16:uid="{B8963749-5B16-4910-BCDB-DEE44F83DB59}" name="Type13gr314" type="6" refreshedVersion="5" deleted="1" background="1" saveData="1">
    <textPr codePage="437" sourceFile="Z:\Mead\SASdocs\SREB\QWK04869\Page5\Type13gr3.txt">
      <textFields>
        <textField/>
      </textFields>
    </textPr>
  </connection>
  <connection id="34" xr16:uid="{00000000-0015-0000-FFFF-FFFF0E000000}" name="Type13gr41" type="6" refreshedVersion="5" deleted="1" background="1" saveData="1">
    <textPr codePage="437" sourceFile="Z:\Mead\SASdocs\SREB\QWK04869\Page5\Type13gr4.txt">
      <textFields>
        <textField/>
      </textFields>
    </textPr>
  </connection>
  <connection id="35" xr16:uid="{E9187DE1-9414-4270-9469-BBA85A535E23}" name="Type13gr411" type="6" refreshedVersion="5" deleted="1" background="1" saveData="1">
    <textPr codePage="437" sourceFile="Z:\Mead\SASdocs\SREB\QWK04869\Page5\Type13gr4.txt">
      <textFields>
        <textField/>
      </textFields>
    </textPr>
  </connection>
  <connection id="36" xr16:uid="{388727BD-19F1-45B0-BF92-005C32C40DA3}" name="Type13gr41112" type="6" refreshedVersion="5" deleted="1" background="1" saveData="1">
    <textPr codePage="437" sourceFile="Z:\Mead\SASdocs\SREB\QWK04869\Page5\Type13gr4.txt">
      <textFields>
        <textField/>
      </textFields>
    </textPr>
  </connection>
  <connection id="37" xr16:uid="{89819076-8C6A-432E-97BB-F0E67A4F1A09}" name="Type13gr412" type="6" refreshedVersion="5" deleted="1" background="1" saveData="1">
    <textPr codePage="437" sourceFile="Z:\Mead\SASdocs\SREB\QWK04869\Page5\Type13gr4.txt">
      <textFields>
        <textField/>
      </textFields>
    </textPr>
  </connection>
  <connection id="38" xr16:uid="{C3B4BC3D-3DC5-42BD-91D2-67A9D70ECE7B}" name="Type13gr4129" type="6" refreshedVersion="5" deleted="1" background="1" saveData="1">
    <textPr codePage="437" sourceFile="Z:\Mead\SASdocs\SREB\QWK04869\Page5\Type13gr4.txt">
      <textFields>
        <textField/>
      </textFields>
    </textPr>
  </connection>
  <connection id="39" xr16:uid="{9BEF3C2E-DFD4-4218-8B85-E41619F68F36}" name="Type13gr413" type="6" refreshedVersion="5" deleted="1" background="1" saveData="1">
    <textPr codePage="437" sourceFile="Z:\Mead\SASdocs\SREB\QWK04869\Page5\Type13gr4.txt">
      <textFields>
        <textField/>
      </textFields>
    </textPr>
  </connection>
  <connection id="40" xr16:uid="{C7DE2FC1-E94E-41DE-91C0-85F5064BD7D3}" name="Type13gr4130" type="6" refreshedVersion="5" deleted="1" background="1" saveData="1">
    <textPr codePage="437" sourceFile="Z:\Mead\SASdocs\SREB\QWK04869\Page5\Type13gr4.txt">
      <textFields>
        <textField/>
      </textFields>
    </textPr>
  </connection>
  <connection id="41" xr16:uid="{E7050F36-0FFF-4E2E-B229-BC5CF44ED0F9}" name="Type13gr4131" type="6" refreshedVersion="5" deleted="1" background="1" saveData="1">
    <textPr codePage="437" sourceFile="Z:\Mead\SASdocs\SREB\QWK04869\Page5\Type13gr4.txt">
      <textFields>
        <textField/>
      </textFields>
    </textPr>
  </connection>
  <connection id="42" xr16:uid="{76E22E48-4969-4921-902E-D501947C23AC}" name="Type13gr4132" type="6" refreshedVersion="5" deleted="1" background="1" saveData="1">
    <textPr codePage="437" sourceFile="Z:\Mead\SASdocs\SREB\QWK04869\Page5\Type13gr4.txt">
      <textFields>
        <textField/>
      </textFields>
    </textPr>
  </connection>
  <connection id="43" xr16:uid="{0A34BB10-BCE6-4581-B7AE-60F6666DE0FD}" name="Type13gr4133" type="6" refreshedVersion="5" deleted="1" background="1" saveData="1">
    <textPr codePage="437" sourceFile="Z:\Mead\SASdocs\SREB\QWK04869\Page5\Type13gr4.txt">
      <textFields>
        <textField/>
      </textFields>
    </textPr>
  </connection>
  <connection id="44" xr16:uid="{F25F2FDA-5268-4E0C-A46A-C9185E96D9FB}" name="Type13gr414" type="6" refreshedVersion="5" deleted="1" background="1" saveData="1">
    <textPr codePage="437" sourceFile="Z:\Mead\SASdocs\SREB\QWK04869\Page5\Type13gr4.txt">
      <textFields>
        <textField/>
      </textFields>
    </textPr>
  </connection>
  <connection id="45" xr16:uid="{00000000-0015-0000-FFFF-FFFF0F000000}" name="Type13gr51" type="6" refreshedVersion="5" deleted="1" background="1" saveData="1">
    <textPr codePage="437" sourceFile="Z:\Mead\SASdocs\SREB\QWK04869\Page5\Type13gr5.txt">
      <textFields>
        <textField/>
      </textFields>
    </textPr>
  </connection>
  <connection id="46" xr16:uid="{1BCAE447-AD36-4E84-AFAC-B0D0B8A2D05E}" name="Type13gr511" type="6" refreshedVersion="5" deleted="1" background="1" saveData="1">
    <textPr codePage="437" sourceFile="Z:\Mead\SASdocs\SREB\QWK04869\Page5\Type13gr5.txt">
      <textFields>
        <textField/>
      </textFields>
    </textPr>
  </connection>
  <connection id="47" xr16:uid="{F0A70A73-F629-441F-9B47-BF2495C09AB8}" name="Type13gr51112" type="6" refreshedVersion="5" deleted="1" background="1" saveData="1">
    <textPr codePage="437" sourceFile="Z:\Mead\SASdocs\SREB\QWK04869\Page5\Type13gr5.txt">
      <textFields>
        <textField/>
      </textFields>
    </textPr>
  </connection>
  <connection id="48" xr16:uid="{BC63B5A0-03DE-476E-BE67-B074564647E7}" name="Type13gr512" type="6" refreshedVersion="5" deleted="1" background="1" saveData="1">
    <textPr codePage="437" sourceFile="Z:\Mead\SASdocs\SREB\QWK04869\Page5\Type13gr5.txt">
      <textFields>
        <textField/>
      </textFields>
    </textPr>
  </connection>
  <connection id="49" xr16:uid="{25852AC7-4378-4DD4-9F90-ACA758C132A6}" name="Type13gr5129" type="6" refreshedVersion="5" deleted="1" background="1" saveData="1">
    <textPr codePage="437" sourceFile="Z:\Mead\SASdocs\SREB\QWK04869\Page5\Type13gr5.txt">
      <textFields>
        <textField/>
      </textFields>
    </textPr>
  </connection>
  <connection id="50" xr16:uid="{F34820EB-A0CA-4A5E-A347-039992982247}" name="Type13gr513" type="6" refreshedVersion="5" deleted="1" background="1" saveData="1">
    <textPr codePage="437" sourceFile="Z:\Mead\SASdocs\SREB\QWK04869\Page5\Type13gr5.txt">
      <textFields>
        <textField/>
      </textFields>
    </textPr>
  </connection>
  <connection id="51" xr16:uid="{84D2A988-D596-4F96-B201-352081FD0156}" name="Type13gr5130" type="6" refreshedVersion="5" deleted="1" background="1" saveData="1">
    <textPr codePage="437" sourceFile="Z:\Mead\SASdocs\SREB\QWK04869\Page5\Type13gr5.txt">
      <textFields>
        <textField/>
      </textFields>
    </textPr>
  </connection>
  <connection id="52" xr16:uid="{FF15EFCD-E188-4C41-A000-95716B9681A0}" name="Type13gr5131" type="6" refreshedVersion="5" deleted="1" background="1" saveData="1">
    <textPr codePage="437" sourceFile="Z:\Mead\SASdocs\SREB\QWK04869\Page5\Type13gr5.txt">
      <textFields>
        <textField/>
      </textFields>
    </textPr>
  </connection>
  <connection id="53" xr16:uid="{6F3CECFA-EFF2-4FFE-A19A-543A6A623112}" name="Type13gr5132" type="6" refreshedVersion="5" deleted="1" background="1" saveData="1">
    <textPr codePage="437" sourceFile="Z:\Mead\SASdocs\SREB\QWK04869\Page5\Type13gr5.txt">
      <textFields>
        <textField/>
      </textFields>
    </textPr>
  </connection>
  <connection id="54" xr16:uid="{66A54C96-35B6-48DF-94CE-A6D3A6FD5A86}" name="Type13gr5133" type="6" refreshedVersion="5" deleted="1" background="1" saveData="1">
    <textPr codePage="437" sourceFile="Z:\Mead\SASdocs\SREB\QWK04869\Page5\Type13gr5.txt">
      <textFields>
        <textField/>
      </textFields>
    </textPr>
  </connection>
  <connection id="55" xr16:uid="{12551BEA-0AB4-4D58-8FAE-078E8E1BB77C}" name="Type13gr514" type="6" refreshedVersion="5" deleted="1" background="1" saveData="1">
    <textPr codePage="437" sourceFile="Z:\Mead\SASdocs\SREB\QWK04869\Page5\Type13gr5.txt">
      <textFields>
        <textField/>
      </textFields>
    </textPr>
  </connection>
  <connection id="56" xr16:uid="{00000000-0015-0000-FFFF-FFFF10000000}" name="Type13ug11" type="6" refreshedVersion="5" deleted="1" background="1" saveData="1">
    <textPr codePage="437" sourceFile="Z:\Mead\SASdocs\SREB\QWK04869\Page5\Type13ug1.txt">
      <textFields>
        <textField/>
      </textFields>
    </textPr>
  </connection>
  <connection id="57" xr16:uid="{6A8FFFFF-E1B0-42DF-8D5C-28DD2B18E94C}" name="Type13ug111" type="6" refreshedVersion="5" deleted="1" background="1" saveData="1">
    <textPr codePage="437" sourceFile="Z:\Mead\SASdocs\SREB\QWK04869\Page5\Type13ug1.txt">
      <textFields>
        <textField/>
      </textFields>
    </textPr>
  </connection>
  <connection id="58" xr16:uid="{B45A9344-8991-456A-A4B4-6B78FB8BCD94}" name="Type13ug11111" type="6" refreshedVersion="5" deleted="1" background="1" saveData="1">
    <textPr codePage="437" sourceFile="Z:\Mead\SASdocs\SREB\QWK04869\Page5\Type13ug1.txt">
      <textFields>
        <textField/>
      </textFields>
    </textPr>
  </connection>
  <connection id="59" xr16:uid="{B8502FA5-B2CE-49F7-85FE-7870E6BF1866}" name="Type13ug112" type="6" refreshedVersion="5" deleted="1" background="1" saveData="1">
    <textPr codePage="437" sourceFile="Z:\Mead\SASdocs\SREB\QWK04869\Page5\Type13ug1.txt">
      <textFields>
        <textField/>
      </textFields>
    </textPr>
  </connection>
  <connection id="60" xr16:uid="{AEA20F6F-E94E-4806-9912-CB413655C7E3}" name="Type13ug1127" type="6" refreshedVersion="5" deleted="1" background="1" saveData="1">
    <textPr codePage="437" sourceFile="Z:\Mead\SASdocs\SREB\QWK04869\Page5\Type13ug1.txt">
      <textFields>
        <textField/>
      </textFields>
    </textPr>
  </connection>
  <connection id="61" xr16:uid="{27EB3A12-A4E1-4649-A23F-E3FE14F7ED44}" name="Type13ug1128" type="6" refreshedVersion="5" deleted="1" background="1" saveData="1">
    <textPr codePage="437" sourceFile="Z:\Mead\SASdocs\SREB\QWK04869\Page5\Type13ug1.txt">
      <textFields>
        <textField/>
      </textFields>
    </textPr>
  </connection>
  <connection id="62" xr16:uid="{A65B8242-765E-4FA2-A57B-FF9F40BFF362}" name="Type13ug1129" type="6" refreshedVersion="5" deleted="1" background="1" saveData="1">
    <textPr codePage="437" sourceFile="Z:\Mead\SASdocs\SREB\QWK04869\Page5\Type13ug1.txt">
      <textFields>
        <textField/>
      </textFields>
    </textPr>
  </connection>
  <connection id="63" xr16:uid="{918D0A1B-68AE-476E-8F12-E9CD7EEBC07D}" name="Type13ug113" type="6" refreshedVersion="5" deleted="1" background="1" saveData="1">
    <textPr codePage="437" sourceFile="Z:\Mead\SASdocs\SREB\QWK04869\Page5\Type13ug1.txt">
      <textFields>
        <textField/>
      </textFields>
    </textPr>
  </connection>
  <connection id="64" xr16:uid="{6C496FD9-6815-4BA8-B52F-4CFBEFDBD07F}" name="Type13ug1130" type="6" refreshedVersion="5" deleted="1" background="1" saveData="1">
    <textPr codePage="437" sourceFile="Z:\Mead\SASdocs\SREB\QWK04869\Page5\Type13ug1.txt">
      <textFields>
        <textField/>
      </textFields>
    </textPr>
  </connection>
  <connection id="65" xr16:uid="{70818471-4389-4B9F-A4C0-16F0A88E7730}" name="Type13ug1131" type="6" refreshedVersion="5" deleted="1" background="1" saveData="1">
    <textPr codePage="437" sourceFile="Z:\Mead\SASdocs\SREB\QWK04869\Page5\Type13ug1.txt">
      <textFields>
        <textField/>
      </textFields>
    </textPr>
  </connection>
  <connection id="66" xr16:uid="{A57EC237-2B86-4D90-85C5-BFC96283B421}" name="Type13ug114" type="6" refreshedVersion="5" deleted="1" background="1" saveData="1">
    <textPr codePage="437" sourceFile="Z:\Mead\SASdocs\SREB\QWK04869\Page5\Type13ug1.txt">
      <textFields>
        <textField/>
      </textFields>
    </textPr>
  </connection>
  <connection id="67" xr16:uid="{00000000-0015-0000-FFFF-FFFF11000000}" name="Type13ug21" type="6" refreshedVersion="5" deleted="1" background="1" saveData="1">
    <textPr codePage="437" sourceFile="Z:\Mead\SASdocs\SREB\QWK04869\Page5\Type13ug2.txt">
      <textFields>
        <textField/>
      </textFields>
    </textPr>
  </connection>
  <connection id="68" xr16:uid="{EC626C72-64FB-402E-9D16-E66C74B6538A}" name="Type13ug211" type="6" refreshedVersion="5" deleted="1" background="1" saveData="1">
    <textPr codePage="437" sourceFile="Z:\Mead\SASdocs\SREB\QWK04869\Page5\Type13ug2.txt">
      <textFields>
        <textField/>
      </textFields>
    </textPr>
  </connection>
  <connection id="69" xr16:uid="{6FFD4635-644B-4916-B09A-D391DC5DFABC}" name="Type13ug21112" type="6" refreshedVersion="5" deleted="1" background="1" saveData="1">
    <textPr codePage="437" sourceFile="Z:\Mead\SASdocs\SREB\QWK04869\Page5\Type13ug2.txt">
      <textFields>
        <textField/>
      </textFields>
    </textPr>
  </connection>
  <connection id="70" xr16:uid="{593D2F52-127A-4BB7-BD78-29ABAAE1AB00}" name="Type13ug212" type="6" refreshedVersion="5" deleted="1" background="1" saveData="1">
    <textPr codePage="437" sourceFile="Z:\Mead\SASdocs\SREB\QWK04869\Page5\Type13ug2.txt">
      <textFields>
        <textField/>
      </textFields>
    </textPr>
  </connection>
  <connection id="71" xr16:uid="{239565BF-4F7F-44AB-AAD8-4E34ED0CE38B}" name="Type13ug2129" type="6" refreshedVersion="5" deleted="1" background="1" saveData="1">
    <textPr codePage="437" sourceFile="Z:\Mead\SASdocs\SREB\QWK04869\Page5\Type13ug2.txt">
      <textFields>
        <textField/>
      </textFields>
    </textPr>
  </connection>
  <connection id="72" xr16:uid="{8186C568-6C56-4133-BE10-C57F490D8B89}" name="Type13ug213" type="6" refreshedVersion="5" deleted="1" background="1" saveData="1">
    <textPr codePage="437" sourceFile="Z:\Mead\SASdocs\SREB\QWK04869\Page5\Type13ug2.txt">
      <textFields>
        <textField/>
      </textFields>
    </textPr>
  </connection>
  <connection id="73" xr16:uid="{842FB20E-1313-4E95-9F49-3A880982DADC}" name="Type13ug2130" type="6" refreshedVersion="5" deleted="1" background="1" saveData="1">
    <textPr codePage="437" sourceFile="Z:\Mead\SASdocs\SREB\QWK04869\Page5\Type13ug2.txt">
      <textFields>
        <textField/>
      </textFields>
    </textPr>
  </connection>
  <connection id="74" xr16:uid="{F9D3E4C3-D6D4-4230-8D14-609B8538FB86}" name="Type13ug2131" type="6" refreshedVersion="5" deleted="1" background="1" saveData="1">
    <textPr codePage="437" sourceFile="Z:\Mead\SASdocs\SREB\QWK04869\Page5\Type13ug2.txt">
      <textFields>
        <textField/>
      </textFields>
    </textPr>
  </connection>
  <connection id="75" xr16:uid="{A746F776-2C74-4C87-A47C-64725DB68F5D}" name="Type13ug2132" type="6" refreshedVersion="5" deleted="1" background="1" saveData="1">
    <textPr codePage="437" sourceFile="Z:\Mead\SASdocs\SREB\QWK04869\Page5\Type13ug2.txt">
      <textFields>
        <textField/>
      </textFields>
    </textPr>
  </connection>
  <connection id="76" xr16:uid="{98E71EF3-3325-4803-9931-B9769C1173EF}" name="Type13ug2133" type="6" refreshedVersion="5" deleted="1" background="1" saveData="1">
    <textPr codePage="437" sourceFile="Z:\Mead\SASdocs\SREB\QWK04869\Page5\Type13ug2.txt">
      <textFields>
        <textField/>
      </textFields>
    </textPr>
  </connection>
  <connection id="77" xr16:uid="{197396CA-80B3-400E-BCA9-F6DAE1872A6B}" name="Type13ug214" type="6" refreshedVersion="5" deleted="1" background="1" saveData="1">
    <textPr codePage="437" sourceFile="Z:\Mead\SASdocs\SREB\QWK04869\Page5\Type13ug2.txt">
      <textFields>
        <textField/>
      </textFields>
    </textPr>
  </connection>
  <connection id="78" xr16:uid="{00000000-0015-0000-FFFF-FFFF12000000}" name="Type13ug31" type="6" refreshedVersion="5" deleted="1" background="1" saveData="1">
    <textPr codePage="437" sourceFile="Z:\Mead\SASdocs\SREB\QWK04869\Page5\Type13ug3.txt">
      <textFields>
        <textField/>
      </textFields>
    </textPr>
  </connection>
  <connection id="79" xr16:uid="{E2C49DAE-57F5-4676-9A48-176E33A9DE9C}" name="Type13ug311" type="6" refreshedVersion="5" deleted="1" background="1" saveData="1">
    <textPr codePage="437" sourceFile="Z:\Mead\SASdocs\SREB\QWK04869\Page5\Type13ug3.txt">
      <textFields>
        <textField/>
      </textFields>
    </textPr>
  </connection>
  <connection id="80" xr16:uid="{65050BF3-870E-4118-854F-0C1149E554AA}" name="Type13ug31112" type="6" refreshedVersion="5" deleted="1" background="1" saveData="1">
    <textPr codePage="437" sourceFile="Z:\Mead\SASdocs\SREB\QWK04869\Page5\Type13ug3.txt">
      <textFields>
        <textField/>
      </textFields>
    </textPr>
  </connection>
  <connection id="81" xr16:uid="{5924B6CF-1DF6-4990-95CF-3953878055BF}" name="Type13ug312" type="6" refreshedVersion="5" deleted="1" background="1" saveData="1">
    <textPr codePage="437" sourceFile="Z:\Mead\SASdocs\SREB\QWK04869\Page5\Type13ug3.txt">
      <textFields>
        <textField/>
      </textFields>
    </textPr>
  </connection>
  <connection id="82" xr16:uid="{5153A6C4-D5F6-427F-9D98-898EA7B367B2}" name="Type13ug3129" type="6" refreshedVersion="5" deleted="1" background="1" saveData="1">
    <textPr codePage="437" sourceFile="Z:\Mead\SASdocs\SREB\QWK04869\Page5\Type13ug3.txt">
      <textFields>
        <textField/>
      </textFields>
    </textPr>
  </connection>
  <connection id="83" xr16:uid="{312828F5-C76D-4D0E-BE3D-82F0BFA56F91}" name="Type13ug313" type="6" refreshedVersion="5" deleted="1" background="1" saveData="1">
    <textPr codePage="437" sourceFile="Z:\Mead\SASdocs\SREB\QWK04869\Page5\Type13ug3.txt">
      <textFields>
        <textField/>
      </textFields>
    </textPr>
  </connection>
  <connection id="84" xr16:uid="{FF597879-B303-43DA-9318-1A5FEA2038C7}" name="Type13ug3130" type="6" refreshedVersion="5" deleted="1" background="1" saveData="1">
    <textPr codePage="437" sourceFile="Z:\Mead\SASdocs\SREB\QWK04869\Page5\Type13ug3.txt">
      <textFields>
        <textField/>
      </textFields>
    </textPr>
  </connection>
  <connection id="85" xr16:uid="{CB92F79D-C3C9-483C-ABB1-959D0C796050}" name="Type13ug3131" type="6" refreshedVersion="5" deleted="1" background="1" saveData="1">
    <textPr codePage="437" sourceFile="Z:\Mead\SASdocs\SREB\QWK04869\Page5\Type13ug3.txt">
      <textFields>
        <textField/>
      </textFields>
    </textPr>
  </connection>
  <connection id="86" xr16:uid="{D6C7172C-5741-47B7-B8DE-49BA84AB7BA8}" name="Type13ug3132" type="6" refreshedVersion="5" deleted="1" background="1" saveData="1">
    <textPr codePage="437" sourceFile="Z:\Mead\SASdocs\SREB\QWK04869\Page5\Type13ug3.txt">
      <textFields>
        <textField/>
      </textFields>
    </textPr>
  </connection>
  <connection id="87" xr16:uid="{1FB32204-A42F-4354-B968-3006BE1B88C4}" name="Type13ug3133" type="6" refreshedVersion="5" deleted="1" background="1" saveData="1">
    <textPr codePage="437" sourceFile="Z:\Mead\SASdocs\SREB\QWK04869\Page5\Type13ug3.txt">
      <textFields>
        <textField/>
      </textFields>
    </textPr>
  </connection>
  <connection id="88" xr16:uid="{B92F908B-5425-473A-BDA7-9D13DEF7E9C7}" name="Type13ug314" type="6" refreshedVersion="5" deleted="1" background="1" saveData="1">
    <textPr codePage="437" sourceFile="Z:\Mead\SASdocs\SREB\QWK04869\Page5\Type13ug3.txt">
      <textFields>
        <textField/>
      </textFields>
    </textPr>
  </connection>
  <connection id="89" xr16:uid="{00000000-0015-0000-FFFF-FFFF13000000}" name="Type13ug41" type="6" refreshedVersion="5" deleted="1" background="1" saveData="1">
    <textPr codePage="437" sourceFile="Z:\Mead\SASdocs\SREB\QWK04869\Page5\Type13ug4.txt">
      <textFields>
        <textField/>
      </textFields>
    </textPr>
  </connection>
  <connection id="90" xr16:uid="{B17F5B95-7E9C-4563-96E3-C684DD7B091E}" name="Type13ug411" type="6" refreshedVersion="5" deleted="1" background="1" saveData="1">
    <textPr codePage="437" sourceFile="Z:\Mead\SASdocs\SREB\QWK04869\Page5\Type13ug4.txt">
      <textFields>
        <textField/>
      </textFields>
    </textPr>
  </connection>
  <connection id="91" xr16:uid="{4C2E63F4-F71D-4D84-B67B-E034517578D8}" name="Type13ug41112" type="6" refreshedVersion="5" deleted="1" background="1" saveData="1">
    <textPr codePage="437" sourceFile="Z:\Mead\SASdocs\SREB\QWK04869\Page5\Type13ug4.txt">
      <textFields>
        <textField/>
      </textFields>
    </textPr>
  </connection>
  <connection id="92" xr16:uid="{C0C5EFE6-4549-409F-835A-59F85A68B100}" name="Type13ug412" type="6" refreshedVersion="5" deleted="1" background="1" saveData="1">
    <textPr codePage="437" sourceFile="Z:\Mead\SASdocs\SREB\QWK04869\Page5\Type13ug4.txt">
      <textFields>
        <textField/>
      </textFields>
    </textPr>
  </connection>
  <connection id="93" xr16:uid="{AA443451-526D-4606-BB13-7C8FA151EC2D}" name="Type13ug4129" type="6" refreshedVersion="5" deleted="1" background="1" saveData="1">
    <textPr codePage="437" sourceFile="Z:\Mead\SASdocs\SREB\QWK04869\Page5\Type13ug4.txt">
      <textFields>
        <textField/>
      </textFields>
    </textPr>
  </connection>
  <connection id="94" xr16:uid="{2F92A9A7-DA01-4BDA-A0E4-D66A0BE6C067}" name="Type13ug413" type="6" refreshedVersion="5" deleted="1" background="1" saveData="1">
    <textPr codePage="437" sourceFile="Z:\Mead\SASdocs\SREB\QWK04869\Page5\Type13ug4.txt">
      <textFields>
        <textField/>
      </textFields>
    </textPr>
  </connection>
  <connection id="95" xr16:uid="{F1558E6F-F632-47DD-A338-C9092AA28641}" name="Type13ug4130" type="6" refreshedVersion="5" deleted="1" background="1" saveData="1">
    <textPr codePage="437" sourceFile="Z:\Mead\SASdocs\SREB\QWK04869\Page5\Type13ug4.txt">
      <textFields>
        <textField/>
      </textFields>
    </textPr>
  </connection>
  <connection id="96" xr16:uid="{D863F623-56E3-44CB-8E9B-47501B849565}" name="Type13ug4131" type="6" refreshedVersion="5" deleted="1" background="1" saveData="1">
    <textPr codePage="437" sourceFile="Z:\Mead\SASdocs\SREB\QWK04869\Page5\Type13ug4.txt">
      <textFields>
        <textField/>
      </textFields>
    </textPr>
  </connection>
  <connection id="97" xr16:uid="{FD65A450-89B6-4DCD-929E-620EDF0A9DF1}" name="Type13ug4132" type="6" refreshedVersion="5" deleted="1" background="1" saveData="1">
    <textPr codePage="437" sourceFile="Z:\Mead\SASdocs\SREB\QWK04869\Page5\Type13ug4.txt">
      <textFields>
        <textField/>
      </textFields>
    </textPr>
  </connection>
  <connection id="98" xr16:uid="{D72C1F16-8684-431F-AA78-C95C40B04418}" name="Type13ug4133" type="6" refreshedVersion="5" deleted="1" background="1" saveData="1">
    <textPr codePage="437" sourceFile="Z:\Mead\SASdocs\SREB\QWK04869\Page5\Type13ug4.txt">
      <textFields>
        <textField/>
      </textFields>
    </textPr>
  </connection>
  <connection id="99" xr16:uid="{CC147789-E483-4F57-9967-ABA04F404104}" name="Type13ug414" type="6" refreshedVersion="5" deleted="1" background="1" saveData="1">
    <textPr codePage="437" sourceFile="Z:\Mead\SASdocs\SREB\QWK04869\Page5\Type13ug4.txt">
      <textFields>
        <textField/>
      </textFields>
    </textPr>
  </connection>
  <connection id="100" xr16:uid="{00000000-0015-0000-FFFF-FFFF14000000}" name="Type13ug51" type="6" refreshedVersion="5" deleted="1" background="1" saveData="1">
    <textPr codePage="437" sourceFile="Z:\Mead\SASdocs\SREB\QWK04869\Page5\Type13ug5.txt">
      <textFields>
        <textField/>
      </textFields>
    </textPr>
  </connection>
  <connection id="101" xr16:uid="{D4108E0D-D531-4C26-8926-122C60F4ACCD}" name="Type13ug511" type="6" refreshedVersion="5" deleted="1" background="1" saveData="1">
    <textPr codePage="437" sourceFile="Z:\Mead\SASdocs\SREB\QWK04869\Page5\Type13ug5.txt">
      <textFields>
        <textField/>
      </textFields>
    </textPr>
  </connection>
  <connection id="102" xr16:uid="{5869304A-82C9-4390-9CB6-C9DDA40DA918}" name="Type13ug51112" type="6" refreshedVersion="5" deleted="1" background="1" saveData="1">
    <textPr codePage="437" sourceFile="Z:\Mead\SASdocs\SREB\QWK04869\Page5\Type13ug5.txt">
      <textFields>
        <textField/>
      </textFields>
    </textPr>
  </connection>
  <connection id="103" xr16:uid="{A8F88537-00E8-4635-B220-35A65ECAEF1A}" name="Type13ug512" type="6" refreshedVersion="5" deleted="1" background="1" saveData="1">
    <textPr codePage="437" sourceFile="Z:\Mead\SASdocs\SREB\QWK04869\Page5\Type13ug5.txt">
      <textFields>
        <textField/>
      </textFields>
    </textPr>
  </connection>
  <connection id="104" xr16:uid="{E9B1CD8A-9326-4C12-ACB7-A8F7FFEA6123}" name="Type13ug5129" type="6" refreshedVersion="5" deleted="1" background="1" saveData="1">
    <textPr codePage="437" sourceFile="Z:\Mead\SASdocs\SREB\QWK04869\Page5\Type13ug5.txt">
      <textFields>
        <textField/>
      </textFields>
    </textPr>
  </connection>
  <connection id="105" xr16:uid="{7B543A42-A491-496C-9269-735CBA320BAF}" name="Type13ug513" type="6" refreshedVersion="5" deleted="1" background="1" saveData="1">
    <textPr codePage="437" sourceFile="Z:\Mead\SASdocs\SREB\QWK04869\Page5\Type13ug5.txt">
      <textFields>
        <textField/>
      </textFields>
    </textPr>
  </connection>
  <connection id="106" xr16:uid="{678AC5F1-02FB-4D34-9D3D-0CB87B8E4573}" name="Type13ug5130" type="6" refreshedVersion="5" deleted="1" background="1" saveData="1">
    <textPr codePage="437" sourceFile="Z:\Mead\SASdocs\SREB\QWK04869\Page5\Type13ug5.txt">
      <textFields>
        <textField/>
      </textFields>
    </textPr>
  </connection>
  <connection id="107" xr16:uid="{0FC1B750-A3FB-4302-A144-3B4E5073EAB5}" name="Type13ug5131" type="6" refreshedVersion="5" deleted="1" background="1" saveData="1">
    <textPr codePage="437" sourceFile="Z:\Mead\SASdocs\SREB\QWK04869\Page5\Type13ug5.txt">
      <textFields>
        <textField/>
      </textFields>
    </textPr>
  </connection>
  <connection id="108" xr16:uid="{EF5D9932-0B19-44D1-A935-D0FAC829F541}" name="Type13ug5132" type="6" refreshedVersion="5" deleted="1" background="1" saveData="1">
    <textPr codePage="437" sourceFile="Z:\Mead\SASdocs\SREB\QWK04869\Page5\Type13ug5.txt">
      <textFields>
        <textField/>
      </textFields>
    </textPr>
  </connection>
  <connection id="109" xr16:uid="{A9C58B0F-834C-4292-8EAC-A8C4A365A6FD}" name="Type13ug5133" type="6" refreshedVersion="5" deleted="1" background="1" saveData="1">
    <textPr codePage="437" sourceFile="Z:\Mead\SASdocs\SREB\QWK04869\Page5\Type13ug5.txt">
      <textFields>
        <textField/>
      </textFields>
    </textPr>
  </connection>
  <connection id="110" xr16:uid="{EA1FBC25-D4FD-4DBF-89B6-2B536FC0B3CF}" name="Type13ug514" type="6" refreshedVersion="5" deleted="1" background="1" saveData="1">
    <textPr codePage="437" sourceFile="Z:\Mead\SASdocs\SREB\QWK04869\Page5\Type13ug5.txt">
      <textFields>
        <textField/>
      </textFields>
    </textPr>
  </connection>
</connections>
</file>

<file path=xl/sharedStrings.xml><?xml version="1.0" encoding="utf-8"?>
<sst xmlns="http://schemas.openxmlformats.org/spreadsheetml/2006/main" count="5199" uniqueCount="993">
  <si>
    <r>
      <rPr>
        <b/>
        <sz val="14"/>
        <color theme="0"/>
        <rFont val="Arial"/>
        <family val="2"/>
      </rPr>
      <t>Part 5: Credit</t>
    </r>
    <r>
      <rPr>
        <b/>
        <sz val="14"/>
        <color rgb="FFFF0000"/>
        <rFont val="Arial"/>
        <family val="2"/>
      </rPr>
      <t xml:space="preserve"> </t>
    </r>
    <r>
      <rPr>
        <b/>
        <sz val="14"/>
        <color theme="0"/>
        <rFont val="Arial"/>
        <family val="2"/>
      </rPr>
      <t>Hours by Mode of Instruction</t>
    </r>
  </si>
  <si>
    <t>Undergraduate Credit Hours</t>
  </si>
  <si>
    <t>Graduate Credit Hours</t>
  </si>
  <si>
    <t>Calculated</t>
  </si>
  <si>
    <t>e-Learning (more than 50% of course content is electronically delivered)</t>
  </si>
  <si>
    <t>Comments:  Please look for comments and answer questions; add comments as needed</t>
  </si>
  <si>
    <r>
      <rPr>
        <b/>
        <sz val="10"/>
        <color rgb="FF000000"/>
        <rFont val="Arial"/>
        <family val="2"/>
      </rPr>
      <t xml:space="preserve">On-Campus "Traditional" Instruction
 </t>
    </r>
    <r>
      <rPr>
        <sz val="10"/>
        <color rgb="FF000000"/>
        <rFont val="Arial"/>
        <family val="2"/>
      </rPr>
      <t>(significant site attendance required--50% or less of course content is electronically delivered)</t>
    </r>
  </si>
  <si>
    <r>
      <rPr>
        <b/>
        <sz val="10"/>
        <color rgb="FF000000"/>
        <rFont val="Arial"/>
        <family val="2"/>
      </rPr>
      <t xml:space="preserve">Off-Campus
(in-state or out-of-state sites) "Traditional" Instruction 
</t>
    </r>
    <r>
      <rPr>
        <sz val="10"/>
        <color rgb="FF000000"/>
        <rFont val="Arial"/>
        <family val="2"/>
      </rPr>
      <t>(significant site attendance required--50% or less of course content is electronically delivered)</t>
    </r>
  </si>
  <si>
    <t>Web</t>
  </si>
  <si>
    <r>
      <rPr>
        <b/>
        <sz val="10"/>
        <color rgb="FF000000"/>
        <rFont val="Arial"/>
        <family val="2"/>
      </rPr>
      <t xml:space="preserve">Site-to-Site, 2-Way, Audio/Video </t>
    </r>
    <r>
      <rPr>
        <sz val="10"/>
        <color rgb="FF000000"/>
        <rFont val="Arial"/>
        <family val="2"/>
      </rPr>
      <t>(compressed video)</t>
    </r>
  </si>
  <si>
    <r>
      <rPr>
        <b/>
        <sz val="10"/>
        <color indexed="12"/>
        <rFont val="Arial"/>
        <family val="2"/>
      </rPr>
      <t xml:space="preserve">Other </t>
    </r>
    <r>
      <rPr>
        <sz val="10"/>
        <color indexed="12"/>
        <rFont val="Arial"/>
        <family val="2"/>
      </rPr>
      <t xml:space="preserve">(Satellite, Cable, Broadcast TV/Radio, Closed-Circuit, Video Tapes, CD ROM)             </t>
    </r>
  </si>
  <si>
    <r>
      <rPr>
        <b/>
        <sz val="10"/>
        <color indexed="12"/>
        <rFont val="Arial"/>
        <family val="2"/>
      </rPr>
      <t xml:space="preserve">Site-to-Site, 2-Way, Audio/Video </t>
    </r>
    <r>
      <rPr>
        <sz val="10"/>
        <color indexed="12"/>
        <rFont val="Arial"/>
        <family val="2"/>
      </rPr>
      <t>(compressed video)</t>
    </r>
  </si>
  <si>
    <r>
      <rPr>
        <b/>
        <sz val="10"/>
        <color indexed="12"/>
        <rFont val="Arial"/>
        <family val="2"/>
      </rPr>
      <t xml:space="preserve">Other
</t>
    </r>
    <r>
      <rPr>
        <sz val="10"/>
        <color indexed="12"/>
        <rFont val="Arial"/>
        <family val="2"/>
      </rPr>
      <t xml:space="preserve"> (Satellite, Cable, Broadcast TV/Radio, Closed-Circuit, Video Tapes, CD ROM)            </t>
    </r>
    <r>
      <rPr>
        <b/>
        <sz val="10"/>
        <color indexed="12"/>
        <rFont val="Arial"/>
        <family val="2"/>
      </rPr>
      <t xml:space="preserve"> </t>
    </r>
  </si>
  <si>
    <r>
      <rPr>
        <b/>
        <sz val="10"/>
        <color rgb="FF000000"/>
        <rFont val="Arial"/>
        <family val="2"/>
      </rPr>
      <t xml:space="preserve">Correspondence
</t>
    </r>
    <r>
      <rPr>
        <sz val="10"/>
        <color rgb="FF000000"/>
        <rFont val="Arial"/>
        <family val="2"/>
      </rPr>
      <t xml:space="preserve">(no significant site attendance required-less than 50% of the course content is electronically delivered)     </t>
    </r>
  </si>
  <si>
    <t>State</t>
  </si>
  <si>
    <t>Institution</t>
  </si>
  <si>
    <t>Classification Notes</t>
  </si>
  <si>
    <t>IPEDS #</t>
  </si>
  <si>
    <t>Category</t>
  </si>
  <si>
    <t>Note</t>
  </si>
  <si>
    <t>ID</t>
  </si>
  <si>
    <t>type</t>
  </si>
  <si>
    <t>OLD-Tot UG SCH Calc</t>
  </si>
  <si>
    <t>NEW-Tot UG SCH Calc</t>
  </si>
  <si>
    <t>Old-UG OnC Trad</t>
  </si>
  <si>
    <t>New-UG OnC Trad</t>
  </si>
  <si>
    <t>Old-UG OffC Trad</t>
  </si>
  <si>
    <t>New-UG OffC Trad</t>
  </si>
  <si>
    <t>Old-UG EL Web</t>
  </si>
  <si>
    <t>Old-UG EL CV</t>
  </si>
  <si>
    <t>Old-UG EL O</t>
  </si>
  <si>
    <t>New-UG EL Web</t>
  </si>
  <si>
    <t>New-UG EL CV</t>
  </si>
  <si>
    <t>New-UG EL O</t>
  </si>
  <si>
    <t>Old-UG Cor</t>
  </si>
  <si>
    <t>New-UG Cor</t>
  </si>
  <si>
    <t>Old-Tot G SCH Calc</t>
  </si>
  <si>
    <t>New-Tot G SCH Calc</t>
  </si>
  <si>
    <t>Old-G OnC Trad</t>
  </si>
  <si>
    <t>New-G OnC Trad</t>
  </si>
  <si>
    <t>Old-G OffC Trad</t>
  </si>
  <si>
    <t>New-G OffC Trad</t>
  </si>
  <si>
    <t>Old-G EL Web</t>
  </si>
  <si>
    <t>Old-G EL CV</t>
  </si>
  <si>
    <t>Old-G EL O</t>
  </si>
  <si>
    <t>New-G EL Web</t>
  </si>
  <si>
    <t>New-G EL CV</t>
  </si>
  <si>
    <t>New-G EL O</t>
  </si>
  <si>
    <t>Old-G Cor</t>
  </si>
  <si>
    <t>New-G Cor</t>
  </si>
  <si>
    <t>AL</t>
  </si>
  <si>
    <t>Auburn University</t>
  </si>
  <si>
    <t xml:space="preserve">University of Alabama </t>
  </si>
  <si>
    <t>University of Alabama at Birmingham</t>
  </si>
  <si>
    <t>University of Alabama in Huntsville</t>
  </si>
  <si>
    <t>Alabama Agricultural &amp; Mechanical University</t>
  </si>
  <si>
    <t xml:space="preserve">Jacksonville State University </t>
  </si>
  <si>
    <t>Troy University</t>
  </si>
  <si>
    <t>University of South Alabama</t>
  </si>
  <si>
    <t xml:space="preserve">Alabama State University </t>
  </si>
  <si>
    <t>Auburn University at Montgomery</t>
  </si>
  <si>
    <t>University of North Alabama</t>
  </si>
  <si>
    <t>University of Montevallo</t>
  </si>
  <si>
    <t>University of West Alabama</t>
  </si>
  <si>
    <t>Athens State University</t>
  </si>
  <si>
    <t>Jefferson State Community College</t>
  </si>
  <si>
    <t>Bevill State Community College</t>
  </si>
  <si>
    <t>Bishop State Community College</t>
  </si>
  <si>
    <t>Gadsden State Community College</t>
  </si>
  <si>
    <t xml:space="preserve">Lawson State Community College </t>
  </si>
  <si>
    <t>Northwest-Shoals Community College</t>
  </si>
  <si>
    <t>Shelton State Community College</t>
  </si>
  <si>
    <t>Southern Union State Community College</t>
  </si>
  <si>
    <t>Central Alabama Community College</t>
  </si>
  <si>
    <t>George Corley Wallace State Community College - Selma</t>
  </si>
  <si>
    <t xml:space="preserve">Lurleen B. Wallace Community College </t>
  </si>
  <si>
    <t xml:space="preserve">Snead State Community College </t>
  </si>
  <si>
    <t xml:space="preserve">J.F. Ingram State Technical College </t>
  </si>
  <si>
    <t xml:space="preserve">Reid State Technical College </t>
  </si>
  <si>
    <t>Marion Military Institute</t>
  </si>
  <si>
    <t>AR</t>
  </si>
  <si>
    <t>University of Arkansas, Fayetteville</t>
  </si>
  <si>
    <t>University of Arkansas at Little Rock</t>
  </si>
  <si>
    <t>Arkansas State University</t>
  </si>
  <si>
    <t>Arkansas Tech University</t>
  </si>
  <si>
    <t xml:space="preserve">University of Central Arkansas </t>
  </si>
  <si>
    <t>Henderson State University</t>
  </si>
  <si>
    <t>Southern Arkansas University</t>
  </si>
  <si>
    <t>University of Arkansas at Monticello</t>
  </si>
  <si>
    <t>University of Arkansas at Fort Smith</t>
  </si>
  <si>
    <t>University of Arkansas at Pine Bluff</t>
  </si>
  <si>
    <t xml:space="preserve">Northwest Arkansas Community College </t>
  </si>
  <si>
    <t>Arkansas State University-Beebe</t>
  </si>
  <si>
    <t>National Park College</t>
  </si>
  <si>
    <t>Arkansas Northeastern College</t>
  </si>
  <si>
    <t>Arkansas State University Mid-South</t>
  </si>
  <si>
    <t>Arkansas State University Mountain Home</t>
  </si>
  <si>
    <t>Arkansas State University-Newport</t>
  </si>
  <si>
    <t>Black River Technical College</t>
  </si>
  <si>
    <t>Cossatot Community College of the University of Arkansas</t>
  </si>
  <si>
    <t xml:space="preserve">East Arkansas Community College </t>
  </si>
  <si>
    <t>North Arkansas College</t>
  </si>
  <si>
    <t xml:space="preserve">Ozarka College </t>
  </si>
  <si>
    <t>Phillips Community College of the Univ of Arkansas</t>
  </si>
  <si>
    <t>South Arkansas Community College</t>
  </si>
  <si>
    <t>Southeast Arkansas College</t>
  </si>
  <si>
    <t>Southern Arkansas University Tech</t>
  </si>
  <si>
    <t>University of Arkansas Community College at Batesville</t>
  </si>
  <si>
    <t>University of Arkansas Community College at Morrilton</t>
  </si>
  <si>
    <t>University of Arkansas for Medical Sciences</t>
  </si>
  <si>
    <t>DE</t>
  </si>
  <si>
    <t>University of Delaware</t>
  </si>
  <si>
    <t>Delaware State University</t>
  </si>
  <si>
    <t>Delaware Technical and Community College--Terry</t>
  </si>
  <si>
    <t>FL</t>
  </si>
  <si>
    <t>Eastern Florida State College</t>
  </si>
  <si>
    <t xml:space="preserve">Broward College </t>
  </si>
  <si>
    <t>College of Central Florida</t>
  </si>
  <si>
    <t xml:space="preserve">Chipola College </t>
  </si>
  <si>
    <t xml:space="preserve">Daytona State College </t>
  </si>
  <si>
    <t>Florida SouthWestern State College</t>
  </si>
  <si>
    <t>Florida State College at Jacksonville</t>
  </si>
  <si>
    <t xml:space="preserve">Gulf Coast State College </t>
  </si>
  <si>
    <t xml:space="preserve">Hillsborough Community College </t>
  </si>
  <si>
    <t xml:space="preserve">Indian River State College </t>
  </si>
  <si>
    <t>Florida Gateway College</t>
  </si>
  <si>
    <t xml:space="preserve">Lake-Sumter State College </t>
  </si>
  <si>
    <t>State College of Florida, Manatee-Sarasota</t>
  </si>
  <si>
    <t xml:space="preserve">Miami Dade College </t>
  </si>
  <si>
    <t>Northwest Florida State College</t>
  </si>
  <si>
    <t xml:space="preserve">Palm Beach State College </t>
  </si>
  <si>
    <t xml:space="preserve">Pasco-Hernando State College </t>
  </si>
  <si>
    <t xml:space="preserve">Pensacola State College </t>
  </si>
  <si>
    <t xml:space="preserve">Polk State College </t>
  </si>
  <si>
    <t xml:space="preserve">St. Johns River State College </t>
  </si>
  <si>
    <t xml:space="preserve">St. Petersburg College </t>
  </si>
  <si>
    <t xml:space="preserve">Santa Fe College </t>
  </si>
  <si>
    <t>Seminole State College of Florida</t>
  </si>
  <si>
    <t xml:space="preserve">South Florida State College </t>
  </si>
  <si>
    <t xml:space="preserve">Tallahassee Community College </t>
  </si>
  <si>
    <t xml:space="preserve">Valencia College </t>
  </si>
  <si>
    <t>GA</t>
  </si>
  <si>
    <t>University of Georgia</t>
  </si>
  <si>
    <t>Georgia Institute of Technology</t>
  </si>
  <si>
    <t>Georgia Southern University</t>
  </si>
  <si>
    <t>Kennesaw State University</t>
  </si>
  <si>
    <t>University of West Georgia</t>
  </si>
  <si>
    <t xml:space="preserve">Valdosta State University </t>
  </si>
  <si>
    <t xml:space="preserve">Albany State University </t>
  </si>
  <si>
    <t>Clayton State University</t>
  </si>
  <si>
    <t>Columbus State University</t>
  </si>
  <si>
    <t>Fort Valley State University</t>
  </si>
  <si>
    <t>Georgia College and State University</t>
  </si>
  <si>
    <t>University of North Georgia</t>
  </si>
  <si>
    <t>Georgia Southwestern State University</t>
  </si>
  <si>
    <t>Savannah State University</t>
  </si>
  <si>
    <t xml:space="preserve">College of Coastal Georgia </t>
  </si>
  <si>
    <t xml:space="preserve">Dalton State College </t>
  </si>
  <si>
    <t>Georgia Gwinnett College</t>
  </si>
  <si>
    <t>Middle Georgia State College</t>
  </si>
  <si>
    <t xml:space="preserve">Abraham Baldwin Agricultural College </t>
  </si>
  <si>
    <t>Atlanta Metropolitan State College</t>
  </si>
  <si>
    <t>East Georgia State College</t>
  </si>
  <si>
    <t>Georgia Highlands College</t>
  </si>
  <si>
    <t xml:space="preserve">Gordon State College </t>
  </si>
  <si>
    <t>South Georgia State College</t>
  </si>
  <si>
    <t>Albany Technical College</t>
  </si>
  <si>
    <t>Athens Technical College</t>
  </si>
  <si>
    <t>Atlanta Technical College</t>
  </si>
  <si>
    <t>Augusta Technical College</t>
  </si>
  <si>
    <t>Central Georgia Technical College</t>
  </si>
  <si>
    <t>Chattahoochee Technical College</t>
  </si>
  <si>
    <t>Coastal Pines Technical College</t>
  </si>
  <si>
    <t>Columbus Technical College</t>
  </si>
  <si>
    <t>Georgia Northwestern Technical College</t>
  </si>
  <si>
    <t>Georgia Piedmont Technical College</t>
  </si>
  <si>
    <t>Gwinnett Technical College</t>
  </si>
  <si>
    <t>Lanier Technical College</t>
  </si>
  <si>
    <t>North Georgia Technical College</t>
  </si>
  <si>
    <t>Oconee Fall Line Technical College</t>
  </si>
  <si>
    <t>Ogeechee Technical College</t>
  </si>
  <si>
    <t>Savannah Technical College</t>
  </si>
  <si>
    <t>South Georgia Technical College</t>
  </si>
  <si>
    <t>Southeastern Technical College</t>
  </si>
  <si>
    <t>Southern Crescent Technical College</t>
  </si>
  <si>
    <t>Southern Regional Technical College</t>
  </si>
  <si>
    <t>West Georgia Technical College</t>
  </si>
  <si>
    <t>Wiregrass Georgia Technical College</t>
  </si>
  <si>
    <t>KY</t>
  </si>
  <si>
    <t>University of Kentucky</t>
  </si>
  <si>
    <t>University of Louisville</t>
  </si>
  <si>
    <t xml:space="preserve">Eastern Kentucky University </t>
  </si>
  <si>
    <t xml:space="preserve">Morehead State University </t>
  </si>
  <si>
    <t xml:space="preserve">Murray State University </t>
  </si>
  <si>
    <t xml:space="preserve">Northern Kentucky University </t>
  </si>
  <si>
    <t xml:space="preserve">Western Kentucky University </t>
  </si>
  <si>
    <t xml:space="preserve">Kentucky State University </t>
  </si>
  <si>
    <t>Bluegrass Community and Technical College</t>
  </si>
  <si>
    <t xml:space="preserve">Jefferson Community and Technical College </t>
  </si>
  <si>
    <t>Ashland Community and Technical College</t>
  </si>
  <si>
    <t xml:space="preserve">Big Sandy Community and Technical College </t>
  </si>
  <si>
    <t xml:space="preserve">Elizabethtown Community and Technical College </t>
  </si>
  <si>
    <t xml:space="preserve">Hopkinsville Community College </t>
  </si>
  <si>
    <t>Madisonville Community College</t>
  </si>
  <si>
    <t xml:space="preserve">Maysville Community and Technical College </t>
  </si>
  <si>
    <t xml:space="preserve">Owensboro Community and Technical College </t>
  </si>
  <si>
    <t xml:space="preserve">Somerset Community and Technical College </t>
  </si>
  <si>
    <t>Southeast Kentucky Community and Technical College</t>
  </si>
  <si>
    <t>West Kentucky Community and Technical College</t>
  </si>
  <si>
    <t>Hazard Community and Technical College</t>
  </si>
  <si>
    <t xml:space="preserve">Henderson Community College </t>
  </si>
  <si>
    <t>Gateway Community and Technical College</t>
  </si>
  <si>
    <t>Southcentral Kentucky Community and Technical College</t>
  </si>
  <si>
    <t>LA</t>
  </si>
  <si>
    <t>Louisiana State University and A&amp;M College</t>
  </si>
  <si>
    <t xml:space="preserve">Louisiana Tech University </t>
  </si>
  <si>
    <t>University of Louisiana at Lafayette</t>
  </si>
  <si>
    <t>University of New Orleans</t>
  </si>
  <si>
    <t xml:space="preserve">Southeastern Louisiana University </t>
  </si>
  <si>
    <t xml:space="preserve">Southern University and A&amp;M College at Baton Rouge </t>
  </si>
  <si>
    <t>University of Louisiana at Monroe</t>
  </si>
  <si>
    <t>Grambling State University</t>
  </si>
  <si>
    <t>Louisiana State University in Shreveport</t>
  </si>
  <si>
    <t>McNeese State University</t>
  </si>
  <si>
    <t xml:space="preserve">Nicholls State University </t>
  </si>
  <si>
    <t>Northwestern State University</t>
  </si>
  <si>
    <t>Southern University at New Orleans</t>
  </si>
  <si>
    <t>Louisiana State University at Alexandria</t>
  </si>
  <si>
    <t>Baton Rouge Community College</t>
  </si>
  <si>
    <t>Bossier Parish Community College</t>
  </si>
  <si>
    <t xml:space="preserve">Delgado Community College </t>
  </si>
  <si>
    <t>Louisiana Delta Community College</t>
  </si>
  <si>
    <t>South Louisiana Community College</t>
  </si>
  <si>
    <t>Southern University in Shreveport</t>
  </si>
  <si>
    <t>Louisiana State University at Eunice</t>
  </si>
  <si>
    <t>Nunez Community College</t>
  </si>
  <si>
    <t>River Parishes Community College</t>
  </si>
  <si>
    <t>L.E. Fletcher Technical Community College</t>
  </si>
  <si>
    <t>Northshore Technical College</t>
  </si>
  <si>
    <t>Northwest LA Technical College</t>
  </si>
  <si>
    <t>Sowela Technical Community College</t>
  </si>
  <si>
    <t>Louisiana State University Health Sciences Center - New Orleans</t>
  </si>
  <si>
    <t>Louisiana State University Health Sciences Center - Shreveport</t>
  </si>
  <si>
    <t>MD</t>
  </si>
  <si>
    <t>Morgan State University</t>
  </si>
  <si>
    <t>University of Maryland, Baltimore County</t>
  </si>
  <si>
    <t xml:space="preserve">Towson University </t>
  </si>
  <si>
    <t xml:space="preserve">Bowie State University </t>
  </si>
  <si>
    <t xml:space="preserve">Frostburg State University </t>
  </si>
  <si>
    <t xml:space="preserve">Salisbury University </t>
  </si>
  <si>
    <t>University of Baltimore</t>
  </si>
  <si>
    <t xml:space="preserve">University of Maryland Eastern Shore </t>
  </si>
  <si>
    <t>Coppin State University</t>
  </si>
  <si>
    <t>Saint Mary's College of Maryland</t>
  </si>
  <si>
    <t xml:space="preserve">Anne Arundel Community College </t>
  </si>
  <si>
    <t>College of Southern Maryland</t>
  </si>
  <si>
    <t>Community College of Baltimore County (all campuses)</t>
  </si>
  <si>
    <t xml:space="preserve">Howard Community College </t>
  </si>
  <si>
    <t>Montgomery College (all campuses)</t>
  </si>
  <si>
    <t xml:space="preserve">Prince George's Community College </t>
  </si>
  <si>
    <t>Allegany College of Maryland</t>
  </si>
  <si>
    <t>Baltimore City Community College</t>
  </si>
  <si>
    <t>Carroll Community College</t>
  </si>
  <si>
    <t xml:space="preserve">Frederick Community College </t>
  </si>
  <si>
    <t xml:space="preserve">Hagerstown Community College </t>
  </si>
  <si>
    <t xml:space="preserve">Harford Community College </t>
  </si>
  <si>
    <t xml:space="preserve">Wor-Wic Community College </t>
  </si>
  <si>
    <t xml:space="preserve">Cecil Community College </t>
  </si>
  <si>
    <t xml:space="preserve">Chesapeake College </t>
  </si>
  <si>
    <t xml:space="preserve">Garrett College </t>
  </si>
  <si>
    <t>University of Maryland, Baltimore</t>
  </si>
  <si>
    <t>MS</t>
  </si>
  <si>
    <t>Mississippi State University</t>
  </si>
  <si>
    <t>University of Southern Mississippi</t>
  </si>
  <si>
    <t xml:space="preserve">Jackson State University </t>
  </si>
  <si>
    <t>University of Mississippi</t>
  </si>
  <si>
    <t>Alcorn State University</t>
  </si>
  <si>
    <t>Delta State University</t>
  </si>
  <si>
    <t>Mississippi Valley State University</t>
  </si>
  <si>
    <t>Mississippi University for Women</t>
  </si>
  <si>
    <t>NC</t>
  </si>
  <si>
    <t xml:space="preserve">North Carolina State University </t>
  </si>
  <si>
    <t xml:space="preserve">University of North Carolina at Chapel Hill </t>
  </si>
  <si>
    <t>University of North Carolina at Charlotte</t>
  </si>
  <si>
    <t>University of North Carolina at Greensboro</t>
  </si>
  <si>
    <t xml:space="preserve">East Carolina University </t>
  </si>
  <si>
    <t xml:space="preserve">Appalachian State University </t>
  </si>
  <si>
    <t>North Carolina A&amp;T State University</t>
  </si>
  <si>
    <t xml:space="preserve">North Carolina Central University </t>
  </si>
  <si>
    <t>University of North Carolina at Wilmington</t>
  </si>
  <si>
    <t xml:space="preserve">Western Carolina University </t>
  </si>
  <si>
    <t xml:space="preserve">Fayetteville State University </t>
  </si>
  <si>
    <t>University of North Carolina at Pembroke</t>
  </si>
  <si>
    <t xml:space="preserve">Winston-Salem State University </t>
  </si>
  <si>
    <t xml:space="preserve">Elizabeth City State University </t>
  </si>
  <si>
    <t>University of North Carolina at Asheville</t>
  </si>
  <si>
    <t>Alamance Community College</t>
  </si>
  <si>
    <t>Asheville-Buncombe Technical Community College</t>
  </si>
  <si>
    <t xml:space="preserve">Beaufort County Community College </t>
  </si>
  <si>
    <t>Bladen Community College</t>
  </si>
  <si>
    <t>Blue Ridge Community College</t>
  </si>
  <si>
    <t>Brunswick Community College</t>
  </si>
  <si>
    <t>Caldwell Community College &amp; Technical Institute</t>
  </si>
  <si>
    <t>Cape Fear Community College</t>
  </si>
  <si>
    <t>Carteret Community College</t>
  </si>
  <si>
    <t>Catawba Valley Community College</t>
  </si>
  <si>
    <t>Central Carolina Commuity College</t>
  </si>
  <si>
    <t xml:space="preserve">Central Piedmont Community College </t>
  </si>
  <si>
    <t>Cleveland Community College</t>
  </si>
  <si>
    <t xml:space="preserve">Coastal Carolina Community College </t>
  </si>
  <si>
    <t xml:space="preserve">Craven Community College </t>
  </si>
  <si>
    <t>Durham Technical Community College</t>
  </si>
  <si>
    <t>Edgecombe Community College</t>
  </si>
  <si>
    <t>Fayetteville Technical Community College</t>
  </si>
  <si>
    <t>Forsyth Technical Community College</t>
  </si>
  <si>
    <t xml:space="preserve">Gaston College </t>
  </si>
  <si>
    <t>Guilford Technical Community College</t>
  </si>
  <si>
    <t xml:space="preserve">Halifax Community College </t>
  </si>
  <si>
    <t>Haywood Community College</t>
  </si>
  <si>
    <t xml:space="preserve">Isothermal Community College </t>
  </si>
  <si>
    <t>James Sprunt Community College</t>
  </si>
  <si>
    <t>Johnston Community College</t>
  </si>
  <si>
    <t xml:space="preserve">Lenoir Community College </t>
  </si>
  <si>
    <t xml:space="preserve">Martin Community College </t>
  </si>
  <si>
    <t>Mayland Community College</t>
  </si>
  <si>
    <t>McDowell Technical Community College</t>
  </si>
  <si>
    <t xml:space="preserve">Mitchell Community College </t>
  </si>
  <si>
    <t>Montgomery Community College</t>
  </si>
  <si>
    <t>Nash Community College</t>
  </si>
  <si>
    <t>Pamlico Community College</t>
  </si>
  <si>
    <t>Piedmont Community College</t>
  </si>
  <si>
    <t>Pitt Community College</t>
  </si>
  <si>
    <t>Randolph Community College</t>
  </si>
  <si>
    <t>Richmond Community College</t>
  </si>
  <si>
    <t>Roanoke-Chowan Community College</t>
  </si>
  <si>
    <t>Robeson Community College</t>
  </si>
  <si>
    <t xml:space="preserve">Rockingham Community College </t>
  </si>
  <si>
    <t>Rowan-Cabarrus Community College</t>
  </si>
  <si>
    <t>Sampson Community College</t>
  </si>
  <si>
    <t xml:space="preserve">Sandhills Community College </t>
  </si>
  <si>
    <t>South Piedmont Community College</t>
  </si>
  <si>
    <t xml:space="preserve">Southeastern Community College </t>
  </si>
  <si>
    <t xml:space="preserve">Southwestern Community College </t>
  </si>
  <si>
    <t>Stanly Community College</t>
  </si>
  <si>
    <t xml:space="preserve">Surry Community College </t>
  </si>
  <si>
    <t xml:space="preserve">Tri-County Community College </t>
  </si>
  <si>
    <t xml:space="preserve">Vance-Granville Community College </t>
  </si>
  <si>
    <t>Wake Technical Community College</t>
  </si>
  <si>
    <t>Wayne Community College</t>
  </si>
  <si>
    <t xml:space="preserve">Western Piedmont Community College </t>
  </si>
  <si>
    <t xml:space="preserve">Wilkes Community College </t>
  </si>
  <si>
    <t>Wilson Community College</t>
  </si>
  <si>
    <t>OK</t>
  </si>
  <si>
    <t>SC</t>
  </si>
  <si>
    <t>Clemson University</t>
  </si>
  <si>
    <t>University of South Carolina-Columbia</t>
  </si>
  <si>
    <t>College of Charleston</t>
  </si>
  <si>
    <t xml:space="preserve">The Citadel, the Military College of South Carolina </t>
  </si>
  <si>
    <t xml:space="preserve">Winthrop University </t>
  </si>
  <si>
    <t>Coastal Carolina University</t>
  </si>
  <si>
    <t xml:space="preserve">Francis Marion University </t>
  </si>
  <si>
    <t xml:space="preserve">South Carolina State University </t>
  </si>
  <si>
    <t>Lander University</t>
  </si>
  <si>
    <t>University of South Carolina-Aiken</t>
  </si>
  <si>
    <t>University of South Carolina-Beaufort</t>
  </si>
  <si>
    <t>University of South Carolina-Upstate</t>
  </si>
  <si>
    <t xml:space="preserve">Florence-Darlington Technical College </t>
  </si>
  <si>
    <t xml:space="preserve">Greenville Technical College </t>
  </si>
  <si>
    <t xml:space="preserve">Horry-Georgetown Technical College </t>
  </si>
  <si>
    <t xml:space="preserve">Midlands Technical College </t>
  </si>
  <si>
    <t xml:space="preserve">Piedmont Technical College </t>
  </si>
  <si>
    <t xml:space="preserve">Tri-County Technical College </t>
  </si>
  <si>
    <t xml:space="preserve">Trident Technical College </t>
  </si>
  <si>
    <t xml:space="preserve">Aiken Technical College </t>
  </si>
  <si>
    <t xml:space="preserve">Central Carolina Technical College </t>
  </si>
  <si>
    <t xml:space="preserve">Orangeburg-Calhoun Technical College </t>
  </si>
  <si>
    <t xml:space="preserve">Spartanburg Community College </t>
  </si>
  <si>
    <t xml:space="preserve">York Technical College </t>
  </si>
  <si>
    <t xml:space="preserve">Denmark Technical College </t>
  </si>
  <si>
    <t xml:space="preserve">Northeastern Technical College </t>
  </si>
  <si>
    <t>Technical College of the Lowcountry</t>
  </si>
  <si>
    <t>University of South Carolina-Lancaster</t>
  </si>
  <si>
    <t>University of South Carolina-Salkehatchie</t>
  </si>
  <si>
    <t>University of South Carolina-Sumter</t>
  </si>
  <si>
    <t>University of South Carolina-Union</t>
  </si>
  <si>
    <t>TN</t>
  </si>
  <si>
    <t>University of Memphis</t>
  </si>
  <si>
    <t>University of Tennessee, Knoxville</t>
  </si>
  <si>
    <t xml:space="preserve">East Tennessee State University </t>
  </si>
  <si>
    <t xml:space="preserve">Tennessee State University </t>
  </si>
  <si>
    <t xml:space="preserve">Austin Peay State University </t>
  </si>
  <si>
    <t xml:space="preserve">Middle Tennessee State University </t>
  </si>
  <si>
    <t xml:space="preserve">Tennessee Technological University </t>
  </si>
  <si>
    <t>University of Tennessee at Chattanooga</t>
  </si>
  <si>
    <t>University of Tennessee at Martin</t>
  </si>
  <si>
    <t xml:space="preserve">Chattanooga State Technical Community College </t>
  </si>
  <si>
    <t>Nashville State Technical Community College</t>
  </si>
  <si>
    <t>Pellissippi State Technical Community College</t>
  </si>
  <si>
    <t>Southwest Tennessee Community College</t>
  </si>
  <si>
    <t xml:space="preserve">Volunteer State Community College </t>
  </si>
  <si>
    <t xml:space="preserve">Cleveland State Community College </t>
  </si>
  <si>
    <t xml:space="preserve">Columbia State Community College </t>
  </si>
  <si>
    <t xml:space="preserve">Dyersburg State Community College </t>
  </si>
  <si>
    <t xml:space="preserve">Jackson State Community College </t>
  </si>
  <si>
    <t xml:space="preserve">Motlow State Community College </t>
  </si>
  <si>
    <t>Northeast State Technical Community College</t>
  </si>
  <si>
    <t xml:space="preserve">Roane State Community College </t>
  </si>
  <si>
    <t xml:space="preserve">Walters State Community College </t>
  </si>
  <si>
    <t>Tennessee College of Applied Technology at Chattanooga</t>
  </si>
  <si>
    <t>219824B</t>
  </si>
  <si>
    <t>Tennessee College of Applied Technology at Athens</t>
  </si>
  <si>
    <t>Tennessee College of Applied Technology at Covington</t>
  </si>
  <si>
    <t>Tennessee College of Applied Technology at Crossville</t>
  </si>
  <si>
    <t>Tennessee College of Applied Technology at Crump</t>
  </si>
  <si>
    <t>Tennessee College of Applied Technology at Dickson</t>
  </si>
  <si>
    <t>Tennessee College of Applied Technology at Elizabethton</t>
  </si>
  <si>
    <t>Tennessee College of Applied Technology at Harriman</t>
  </si>
  <si>
    <t>Tennessee College of Applied Technology at Hartsville</t>
  </si>
  <si>
    <t>Tennessee College of Applied Technology at Hohenwald</t>
  </si>
  <si>
    <t>Tennessee College of Applied Technology at Jacksboro</t>
  </si>
  <si>
    <t>Tennessee College of Applied Technology at Jackson</t>
  </si>
  <si>
    <t>Tennessee College of Applied Technology at Knoxville</t>
  </si>
  <si>
    <t>Tennessee College of Applied Technology at Livingston</t>
  </si>
  <si>
    <t>Tennessee College of Applied Technology at McKenzie</t>
  </si>
  <si>
    <t>Tennessee College of Applied Technology at McMinnville</t>
  </si>
  <si>
    <t>Tennessee College of Applied Technology at Memphis</t>
  </si>
  <si>
    <t>Tennessee College of Applied Technology at Morristown</t>
  </si>
  <si>
    <t>Tennessee College of Applied Technology at Murfreesboro</t>
  </si>
  <si>
    <t>Tennessee College of Applied Technology at Nashville</t>
  </si>
  <si>
    <t>Tennessee College of Applied Technology at Newbern</t>
  </si>
  <si>
    <t>Tennessee College of Applied Technology at Oneida</t>
  </si>
  <si>
    <t>Tennessee College of Applied Technology at Paris</t>
  </si>
  <si>
    <t>Tennessee College of Applied Technology at Pulaski</t>
  </si>
  <si>
    <t>Tennessee College of Applied Technology at Ripley</t>
  </si>
  <si>
    <t>Tennessee College of Applied Technology at Shelbyville</t>
  </si>
  <si>
    <t>Tennessee College of Applied Technology at Whiteville</t>
  </si>
  <si>
    <t>TX</t>
  </si>
  <si>
    <t>N/A</t>
  </si>
  <si>
    <t>VA</t>
  </si>
  <si>
    <t xml:space="preserve">George Mason University </t>
  </si>
  <si>
    <t xml:space="preserve">Old Dominion University </t>
  </si>
  <si>
    <t>University of Virginia</t>
  </si>
  <si>
    <t>Virginia Commonwealth University</t>
  </si>
  <si>
    <t xml:space="preserve">Virginia Tech </t>
  </si>
  <si>
    <t>College of William &amp; Mary</t>
  </si>
  <si>
    <t>James Madison University</t>
  </si>
  <si>
    <t xml:space="preserve">Longwood University </t>
  </si>
  <si>
    <t xml:space="preserve">Norfolk State University </t>
  </si>
  <si>
    <t>Radford University</t>
  </si>
  <si>
    <t xml:space="preserve">University of Mary Washington </t>
  </si>
  <si>
    <t xml:space="preserve">Virginia State University </t>
  </si>
  <si>
    <t>Christopher Newport University</t>
  </si>
  <si>
    <t xml:space="preserve">University of Virginia's College at Wise </t>
  </si>
  <si>
    <t>J.S. Reynolds Community College</t>
  </si>
  <si>
    <t>John Tyler Community College</t>
  </si>
  <si>
    <t xml:space="preserve">Northern Virginia Community College </t>
  </si>
  <si>
    <t xml:space="preserve">Thomas Nelson Community College </t>
  </si>
  <si>
    <t xml:space="preserve">Tidewater Community College </t>
  </si>
  <si>
    <t xml:space="preserve">Blue Ridge Community College </t>
  </si>
  <si>
    <t xml:space="preserve">Central Virginia Community College </t>
  </si>
  <si>
    <t xml:space="preserve">Danville Community College </t>
  </si>
  <si>
    <t>Germanna Community College</t>
  </si>
  <si>
    <t>Lord Fairfax Community College</t>
  </si>
  <si>
    <t xml:space="preserve">New River Community College </t>
  </si>
  <si>
    <t xml:space="preserve">Patrick Henry Community College </t>
  </si>
  <si>
    <t xml:space="preserve">Piedmont Virginia Community College </t>
  </si>
  <si>
    <t>Southside Virginia Community College</t>
  </si>
  <si>
    <t xml:space="preserve">Virginia Western Community College </t>
  </si>
  <si>
    <t xml:space="preserve">Wytheville Community College </t>
  </si>
  <si>
    <t xml:space="preserve">D.S. Lancaster Community College </t>
  </si>
  <si>
    <t>Eastern Shore Community College</t>
  </si>
  <si>
    <t>Mountain Empire Community College</t>
  </si>
  <si>
    <t>Paul D. Camp Community College</t>
  </si>
  <si>
    <t>Rappahannock Community College</t>
  </si>
  <si>
    <t xml:space="preserve">Richard Bland College </t>
  </si>
  <si>
    <t xml:space="preserve">Southwest Virginia Community College </t>
  </si>
  <si>
    <t xml:space="preserve">Virginia Highlands Community College </t>
  </si>
  <si>
    <t>WV</t>
  </si>
  <si>
    <t>West Virginia University</t>
  </si>
  <si>
    <t xml:space="preserve">Marshall University </t>
  </si>
  <si>
    <t>Fairmont State University</t>
  </si>
  <si>
    <t xml:space="preserve">Shepherd University </t>
  </si>
  <si>
    <t xml:space="preserve">Bluefield State College </t>
  </si>
  <si>
    <t xml:space="preserve">Concord University </t>
  </si>
  <si>
    <t xml:space="preserve">Glenville State College </t>
  </si>
  <si>
    <t>West Liberty University</t>
  </si>
  <si>
    <t xml:space="preserve">West Virginia State University </t>
  </si>
  <si>
    <t>West Virginia University at Parkersburg</t>
  </si>
  <si>
    <t>West Virginia University Institute of Technology</t>
  </si>
  <si>
    <t>Potomac State College of West Virginia University</t>
  </si>
  <si>
    <t>New River Community &amp; Technical College</t>
  </si>
  <si>
    <t>Pierpont Community &amp; Technical College</t>
  </si>
  <si>
    <t>Blue Ridge Community &amp; Technical College</t>
  </si>
  <si>
    <t>BridgeValley Community &amp; Technical College</t>
  </si>
  <si>
    <t>Eastern West Virginia Community &amp; Technical College</t>
  </si>
  <si>
    <t>Mountwest Community &amp; Technical College</t>
  </si>
  <si>
    <t xml:space="preserve">Southern West Virginia Community &amp; Technical College </t>
  </si>
  <si>
    <t>West Virginia Northern Community College</t>
  </si>
  <si>
    <t>Ben Franklin Career Center</t>
  </si>
  <si>
    <t>Cabell County Career Technology Center</t>
  </si>
  <si>
    <t>Fayette Institute of Technology</t>
  </si>
  <si>
    <t xml:space="preserve">Fred W. Eberle Technical Center </t>
  </si>
  <si>
    <t xml:space="preserve">Garnet Career Center </t>
  </si>
  <si>
    <t>James Rumsey Technical Institute</t>
  </si>
  <si>
    <t>John D. Rockefeller IV Career Center</t>
  </si>
  <si>
    <t>Mercer County Technical Education Center</t>
  </si>
  <si>
    <t xml:space="preserve">Monongalia County Technical Education Center </t>
  </si>
  <si>
    <t>Putnam Career and Technical Center</t>
  </si>
  <si>
    <t>Ralph R. Willis Career and Technical Center</t>
  </si>
  <si>
    <t>Roane-Jackson Technical Center</t>
  </si>
  <si>
    <t>South Branch Career &amp; Technical Center</t>
  </si>
  <si>
    <t>United Technical Center</t>
  </si>
  <si>
    <t>Mingo Extended Learning Center</t>
  </si>
  <si>
    <t>Randolph Technical Center</t>
  </si>
  <si>
    <t>Wood County School of Practical Nursing</t>
  </si>
  <si>
    <t>NOT a Review Table</t>
  </si>
  <si>
    <t>type2</t>
  </si>
  <si>
    <t>Four-Year</t>
  </si>
  <si>
    <t>Four-Year Total</t>
  </si>
  <si>
    <t>14 Total</t>
  </si>
  <si>
    <t>Two-Year</t>
  </si>
  <si>
    <t>Two-Year Total</t>
  </si>
  <si>
    <t>Techncial</t>
  </si>
  <si>
    <t>Techncial Total</t>
  </si>
  <si>
    <t>Data</t>
  </si>
  <si>
    <t>Sum of OLD-Tot UG SCH Calc</t>
  </si>
  <si>
    <t>Sum of NEW-Tot UG SCH Calc</t>
  </si>
  <si>
    <t>Sum of Old UG E-Learning</t>
  </si>
  <si>
    <t>Sum of New UG E-Learning</t>
  </si>
  <si>
    <t>Sum of Old-Tot G SCH Calc</t>
  </si>
  <si>
    <t>Sum of New-Tot G SCH Calc</t>
  </si>
  <si>
    <t>Sum of Old G E-Learning</t>
  </si>
  <si>
    <t>Sum of New G E-Learning</t>
  </si>
  <si>
    <t xml:space="preserve"> </t>
  </si>
  <si>
    <t>Four-Year +</t>
  </si>
  <si>
    <t>Four-Year + Total</t>
  </si>
  <si>
    <t>Technical</t>
  </si>
  <si>
    <t>Technical Total</t>
  </si>
  <si>
    <t>Grand Total</t>
  </si>
  <si>
    <t xml:space="preserve"> Old %UG OnC Trad</t>
  </si>
  <si>
    <t xml:space="preserve"> New %UG OnC Trad</t>
  </si>
  <si>
    <t xml:space="preserve"> Change %UG OnC Trad</t>
  </si>
  <si>
    <t xml:space="preserve"> Old %UG OffC Trad</t>
  </si>
  <si>
    <t xml:space="preserve"> New %UG OffC Trad</t>
  </si>
  <si>
    <t xml:space="preserve"> Change %UG OffC Trad</t>
  </si>
  <si>
    <t xml:space="preserve"> Old %UG EL Web</t>
  </si>
  <si>
    <t xml:space="preserve"> New %UG EL Web</t>
  </si>
  <si>
    <t xml:space="preserve"> Change %UG EL Web</t>
  </si>
  <si>
    <t xml:space="preserve"> Old %UG EL CV</t>
  </si>
  <si>
    <t xml:space="preserve"> New %UG EL CV</t>
  </si>
  <si>
    <t xml:space="preserve"> Change %UG EL CV</t>
  </si>
  <si>
    <t xml:space="preserve"> Old %UG EL O</t>
  </si>
  <si>
    <t xml:space="preserve"> New %UG EL O</t>
  </si>
  <si>
    <t xml:space="preserve"> Change %UG EL O</t>
  </si>
  <si>
    <t xml:space="preserve"> Old %UG Cor</t>
  </si>
  <si>
    <t xml:space="preserve"> New %UG Cor</t>
  </si>
  <si>
    <t xml:space="preserve"> Change %UG Cor</t>
  </si>
  <si>
    <t xml:space="preserve"> Old %G OnC Trad</t>
  </si>
  <si>
    <t xml:space="preserve"> New %G OnC Trad</t>
  </si>
  <si>
    <t xml:space="preserve"> Change %G OnC Trad</t>
  </si>
  <si>
    <t xml:space="preserve"> Old %G OffC Trad</t>
  </si>
  <si>
    <t xml:space="preserve"> New %G OffC Trad</t>
  </si>
  <si>
    <t xml:space="preserve"> Change %G OffC Trad</t>
  </si>
  <si>
    <t xml:space="preserve"> Old %G EL Web</t>
  </si>
  <si>
    <t xml:space="preserve"> New %G EL Web</t>
  </si>
  <si>
    <t xml:space="preserve"> Change %G EL Web</t>
  </si>
  <si>
    <t xml:space="preserve"> Old %G EL CV</t>
  </si>
  <si>
    <t xml:space="preserve"> New %G EL CV</t>
  </si>
  <si>
    <t xml:space="preserve"> Change %G EL CV</t>
  </si>
  <si>
    <t xml:space="preserve"> Old %G EL O</t>
  </si>
  <si>
    <t xml:space="preserve"> New %G EL O</t>
  </si>
  <si>
    <t xml:space="preserve"> Change %G EL O</t>
  </si>
  <si>
    <t xml:space="preserve"> Old %G Cor</t>
  </si>
  <si>
    <t xml:space="preserve"> New %G Cor</t>
  </si>
  <si>
    <t xml:space="preserve"> Change %G Cor</t>
  </si>
  <si>
    <t>Total  Old %UG OnC Trad</t>
  </si>
  <si>
    <t>Total  New %UG OnC Trad</t>
  </si>
  <si>
    <t>Total  Change %UG OnC Trad</t>
  </si>
  <si>
    <t>Total  Old %UG OffC Trad</t>
  </si>
  <si>
    <t>Total  New %UG OffC Trad</t>
  </si>
  <si>
    <t>Total  Change %UG OffC Trad</t>
  </si>
  <si>
    <t>Total  Old %UG EL Web</t>
  </si>
  <si>
    <t>Total  New %UG EL Web</t>
  </si>
  <si>
    <t>Total  Change %UG EL Web</t>
  </si>
  <si>
    <t>Total  Old %UG EL CV</t>
  </si>
  <si>
    <t>Total  New %UG EL CV</t>
  </si>
  <si>
    <t>Total  Change %UG EL CV</t>
  </si>
  <si>
    <t>Total  Old %UG EL O</t>
  </si>
  <si>
    <t>Total  New %UG EL O</t>
  </si>
  <si>
    <t>Total  Change %UG EL O</t>
  </si>
  <si>
    <t>Total  Old %UG Cor</t>
  </si>
  <si>
    <t>Total  New %UG Cor</t>
  </si>
  <si>
    <t>Total  Change %UG Cor</t>
  </si>
  <si>
    <t>Total  Old %G OnC Trad</t>
  </si>
  <si>
    <t>Total  New %G OnC Trad</t>
  </si>
  <si>
    <t>Total  Change %G OnC Trad</t>
  </si>
  <si>
    <t>Total  Old %G OffC Trad</t>
  </si>
  <si>
    <t>Total  New %G OffC Trad</t>
  </si>
  <si>
    <t>Total  Change %G OffC Trad</t>
  </si>
  <si>
    <t>Total  Old %G EL Web</t>
  </si>
  <si>
    <t>Total  New %G EL Web</t>
  </si>
  <si>
    <t>Total  Change %G EL Web</t>
  </si>
  <si>
    <t>Total  Old %G EL CV</t>
  </si>
  <si>
    <t>Total  New %G EL CV</t>
  </si>
  <si>
    <t>Total  Change %G EL CV</t>
  </si>
  <si>
    <t>Total  Old %G EL O</t>
  </si>
  <si>
    <t>Total  New %G EL O</t>
  </si>
  <si>
    <t>Total  Change %G EL O</t>
  </si>
  <si>
    <t>Total  Old %G Cor</t>
  </si>
  <si>
    <t>Total  New %G Cor</t>
  </si>
  <si>
    <t>Total  Change %G Cor</t>
  </si>
  <si>
    <t>(blank)</t>
  </si>
  <si>
    <t>(blank) Total</t>
  </si>
  <si>
    <t>Total UG SCH</t>
  </si>
  <si>
    <t>4-year</t>
  </si>
  <si>
    <t>2-year</t>
  </si>
  <si>
    <t>Tech</t>
  </si>
  <si>
    <t>Total</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</si>
  <si>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</si>
  <si>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</si>
  <si>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</si>
  <si>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</si>
  <si>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</si>
  <si>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</si>
  <si>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</si>
  <si>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</si>
  <si>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</si>
  <si>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</si>
  <si>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</si>
  <si>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</si>
  <si>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</si>
  <si>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</si>
  <si>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</si>
  <si>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</si>
  <si>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E-Learning UG SCH</t>
  </si>
  <si>
    <t>Total G SCH</t>
  </si>
  <si>
    <t>E-Learning G SCH</t>
  </si>
  <si>
    <t>Table 91</t>
  </si>
  <si>
    <t>Table 106</t>
  </si>
  <si>
    <t>Undergraduate Instructional Activity by Type of Instruction</t>
  </si>
  <si>
    <t>Graduate Instructional Activity by Type of Instruction</t>
  </si>
  <si>
    <t>Percent of Total</t>
  </si>
  <si>
    <t>Traditional</t>
  </si>
  <si>
    <t>e-Learning</t>
  </si>
  <si>
    <t>On-Campus</t>
  </si>
  <si>
    <t>Off-Campus</t>
  </si>
  <si>
    <t>Subtotal</t>
  </si>
  <si>
    <t>2-Way Compressed Video</t>
  </si>
  <si>
    <r>
      <t>Other</t>
    </r>
    <r>
      <rPr>
        <b/>
        <vertAlign val="superscript"/>
        <sz val="9"/>
        <rFont val="Arial"/>
        <family val="2"/>
      </rPr>
      <t>2</t>
    </r>
  </si>
  <si>
    <t>Corre- spondence</t>
  </si>
  <si>
    <t>check figs</t>
  </si>
  <si>
    <r>
      <t>Florida</t>
    </r>
    <r>
      <rPr>
        <vertAlign val="superscript"/>
        <sz val="10"/>
        <rFont val="Arial"/>
        <family val="2"/>
      </rPr>
      <t>3</t>
    </r>
  </si>
  <si>
    <r>
      <t>2</t>
    </r>
    <r>
      <rPr>
        <sz val="8"/>
        <rFont val="Arial"/>
        <family val="2"/>
      </rPr>
      <t>Courses delivered via satellite, cable TV, broadcast TV/radio, closed-circuit TV, video tape, CD-ROMS, e-mail, etc.</t>
    </r>
  </si>
  <si>
    <r>
      <t>3</t>
    </r>
    <r>
      <rPr>
        <sz val="8"/>
        <rFont val="Arial"/>
        <family val="2"/>
      </rPr>
      <t>The university system in Florida uses an 80 percent rule to define e-learning so their figures here are likely lower than they would be if they used the 50 percent rule.</t>
    </r>
  </si>
  <si>
    <t>Table 92</t>
  </si>
  <si>
    <t>Table 107</t>
  </si>
  <si>
    <r>
      <t>Other</t>
    </r>
    <r>
      <rPr>
        <b/>
        <vertAlign val="superscript"/>
        <sz val="9"/>
        <rFont val="Arial"/>
        <family val="2"/>
      </rPr>
      <t>1</t>
    </r>
  </si>
  <si>
    <r>
      <t>Florida</t>
    </r>
    <r>
      <rPr>
        <vertAlign val="superscript"/>
        <sz val="10"/>
        <rFont val="Arial"/>
        <family val="2"/>
      </rPr>
      <t>2</t>
    </r>
  </si>
  <si>
    <r>
      <t>1</t>
    </r>
    <r>
      <rPr>
        <sz val="8"/>
        <rFont val="Arial"/>
        <family val="2"/>
      </rPr>
      <t>Courses delivered via satellite, cable TV, broadcast TV/radio, closed-circuit TV, video tape, CD-ROMS, e-mail, etc.</t>
    </r>
  </si>
  <si>
    <r>
      <t>2</t>
    </r>
    <r>
      <rPr>
        <sz val="8"/>
        <rFont val="Arial"/>
        <family val="2"/>
      </rPr>
      <t>The university system in Florida uses a 75 percent rule to define e-learning so their figures here are likely lower than they would be if they used the 50 percent rule.</t>
    </r>
  </si>
  <si>
    <t>Table 93</t>
  </si>
  <si>
    <t>Table 108</t>
  </si>
  <si>
    <t>Table 94</t>
  </si>
  <si>
    <t>Table 109</t>
  </si>
  <si>
    <r>
      <t>2</t>
    </r>
    <r>
      <rPr>
        <sz val="8"/>
        <rFont val="Arial"/>
        <family val="2"/>
      </rPr>
      <t>The university system in Florida uses an 80 percent rule to define e-learning so their figures here are likely lower than they would be if they used the 50 percent rule.</t>
    </r>
  </si>
  <si>
    <t>Table 95</t>
  </si>
  <si>
    <t>Table 110</t>
  </si>
  <si>
    <t>Table 96</t>
  </si>
  <si>
    <t>Table 111</t>
  </si>
  <si>
    <t>Table 97</t>
  </si>
  <si>
    <t>Table 112</t>
  </si>
  <si>
    <t>Table 98</t>
  </si>
  <si>
    <r>
      <t>Mississippi</t>
    </r>
    <r>
      <rPr>
        <vertAlign val="superscript"/>
        <sz val="10"/>
        <rFont val="Arial"/>
        <family val="2"/>
      </rPr>
      <t>2</t>
    </r>
  </si>
  <si>
    <r>
      <t>2</t>
    </r>
    <r>
      <rPr>
        <sz val="8"/>
        <rFont val="Arial"/>
        <family val="2"/>
      </rPr>
      <t>Florida and Mississippi Community Colleges define e-learning when 75 percent of course content is delivered electronically so the figures reported here are likely lower than they would be if they employed a 50 percent rule.</t>
    </r>
  </si>
  <si>
    <t>Table 99</t>
  </si>
  <si>
    <r>
      <t>2</t>
    </r>
    <r>
      <rPr>
        <sz val="8"/>
        <rFont val="Arial"/>
        <family val="2"/>
      </rPr>
      <t>Florida Community Colleges define e-learning when 75 percent of course content is delivered electronically so the figures reported here are likely lower than they would be if they employed a 50 percent rule.</t>
    </r>
  </si>
  <si>
    <t>Table 100</t>
  </si>
  <si>
    <t>Table 101</t>
  </si>
  <si>
    <t>Table 102</t>
  </si>
  <si>
    <t>Table 103</t>
  </si>
  <si>
    <t>Table 104</t>
  </si>
  <si>
    <t>Table 105</t>
  </si>
  <si>
    <t>Table 87</t>
  </si>
  <si>
    <r>
      <t>All</t>
    </r>
    <r>
      <rPr>
        <b/>
        <vertAlign val="superscript"/>
        <sz val="10"/>
        <rFont val="Arial"/>
        <family val="2"/>
      </rPr>
      <t>1</t>
    </r>
  </si>
  <si>
    <t>with bachs.</t>
  </si>
  <si>
    <t>All</t>
  </si>
  <si>
    <t>Table 88</t>
  </si>
  <si>
    <r>
      <t>2</t>
    </r>
    <r>
      <rPr>
        <sz val="8"/>
        <rFont val="Arial"/>
        <family val="2"/>
      </rPr>
      <t xml:space="preserve"> The university system in Florida uses an 80 percent rule; Florida's community colleges and Mississippi's community and junior colleges use a 75 percent rule to define e-learning so their figures here are likely lower than they would be if they used the 50 percent rule.</t>
    </r>
  </si>
  <si>
    <t>Table 89</t>
  </si>
  <si>
    <t>Percent of Graduate Instructional Activity</t>
  </si>
  <si>
    <t xml:space="preserve"> in Traditional Classroom Instruction</t>
  </si>
  <si>
    <t>Table 90</t>
  </si>
  <si>
    <t>Percent of Graduate Instructional Activity in e-Learning</t>
  </si>
  <si>
    <r>
      <t>2</t>
    </r>
    <r>
      <rPr>
        <sz val="8"/>
        <rFont val="Arial"/>
        <family val="2"/>
      </rPr>
      <t xml:space="preserve"> The university system in Florida uses an 80 percent rule to define e-learning so their figures here are likely lower than they would be if they used the 50 percent rule.</t>
    </r>
  </si>
  <si>
    <r>
      <t>All</t>
    </r>
    <r>
      <rPr>
        <b/>
        <vertAlign val="superscript"/>
        <sz val="9"/>
        <rFont val="Arial"/>
        <family val="2"/>
      </rPr>
      <t>1</t>
    </r>
  </si>
  <si>
    <t>Change</t>
  </si>
  <si>
    <t>4-Yr</t>
  </si>
  <si>
    <t>2-Yr</t>
  </si>
  <si>
    <r>
      <rPr>
        <b/>
        <sz val="10"/>
        <color rgb="FF000000"/>
        <rFont val="Arial"/>
        <family val="2"/>
      </rPr>
      <t xml:space="preserve">Data Columns:  </t>
    </r>
    <r>
      <rPr>
        <sz val="10"/>
        <color rgb="FF000000"/>
        <rFont val="Arial"/>
        <family val="2"/>
      </rPr>
      <t>White = New Data, Peach = Old Data, Purple/Grey = Calculated Data.</t>
    </r>
  </si>
  <si>
    <t>Total Undergraduate SCH</t>
  </si>
  <si>
    <t>Total Graduate SCH</t>
  </si>
  <si>
    <t xml:space="preserve">John C. Calhoun Community College </t>
  </si>
  <si>
    <t>George C. Wallace Community College-Dothan</t>
  </si>
  <si>
    <t>George C. Wallace State Community College-Hanceville</t>
  </si>
  <si>
    <t>Chattahoochee Valley Community College</t>
  </si>
  <si>
    <t>Enterprise State Community College</t>
  </si>
  <si>
    <t>Northeast Alabama Community College</t>
  </si>
  <si>
    <t>H. Councill Trenholm State Community College</t>
  </si>
  <si>
    <t>J.F. Drake State Community and Technical College</t>
  </si>
  <si>
    <t>University of Arkansas - Pulaski Technical College</t>
  </si>
  <si>
    <t>University of Arkansas Community College Rich Mountain</t>
  </si>
  <si>
    <t xml:space="preserve">Georgia State University </t>
  </si>
  <si>
    <t>Augusta University</t>
  </si>
  <si>
    <t>Central LA Technical Community College</t>
  </si>
  <si>
    <t>University of North Carolina School of the Arts</t>
  </si>
  <si>
    <t>Met the criteria for Four-Year 3 in 2018-19 and 2019-20.</t>
  </si>
  <si>
    <t>Met the criteria for Four-Year 5 in 2019-20.</t>
  </si>
  <si>
    <t>Coastal Alabama Community College</t>
  </si>
  <si>
    <t>Met the criteria for Two-Year 2 in 2018-19 and 2019-20.</t>
  </si>
  <si>
    <t>Reclassified: Met the criteria for Four-Year 4 in 2017-18, 2018-19, and 2019-20.</t>
  </si>
  <si>
    <t>Arkansas State University Three Rivers</t>
  </si>
  <si>
    <t>2019-20: Institution joined one of our university systems</t>
  </si>
  <si>
    <t>University of Arkansas Community College at Hope-Texarkana</t>
  </si>
  <si>
    <t xml:space="preserve">Met the criteria for Two-Year with Bachelor's in 2019-20. </t>
  </si>
  <si>
    <t>The College of the Florida Keys</t>
  </si>
  <si>
    <t xml:space="preserve">Met the criteria for Two-Year with Bachelor's in 2018-19 and 2019-20. </t>
  </si>
  <si>
    <t xml:space="preserve">North Florida College </t>
  </si>
  <si>
    <t>Met the criteria for Four-Year 2 in 2019-20.</t>
  </si>
  <si>
    <t>Reclassified: Met the criteria for Two-Year 2 in 2017-18, 2018-19, and 2019-20.</t>
  </si>
  <si>
    <t>Southern University Law Center</t>
  </si>
  <si>
    <t>Met the criteria for Two-Year 3 in 2018-19 and 2019-20.</t>
  </si>
  <si>
    <t>Met the criteria for Four-Year 4 in 2019-20.</t>
  </si>
  <si>
    <t>University of Maryland Global Campus</t>
  </si>
  <si>
    <t>Met the criteria for Two-Year 2 in 2019-20.</t>
  </si>
  <si>
    <t xml:space="preserve">Williamsburg Technical College </t>
  </si>
  <si>
    <t>Academy of Careers and Technology</t>
  </si>
  <si>
    <t>Boone Career and Technical Center</t>
  </si>
  <si>
    <t>Carver Career and Technical Education Center</t>
  </si>
  <si>
    <t>Marion County Technical Center</t>
  </si>
  <si>
    <t>McDowell County Career and Technology Center</t>
  </si>
  <si>
    <t>Mineral County Technical Center</t>
  </si>
  <si>
    <t>Wyoming County Career &amp; Technical Center</t>
  </si>
  <si>
    <t>Greenbrier School of Practical Nursing</t>
  </si>
  <si>
    <t>Summers County School of Practical Nursing</t>
  </si>
  <si>
    <r>
      <t xml:space="preserve">1 </t>
    </r>
    <r>
      <rPr>
        <sz val="8"/>
        <rFont val="Arial"/>
        <family val="2"/>
      </rPr>
      <t>The "all four-year" figures include the Marion Military Institute, University of Arkansas for Medical Sciences, Southern University Law Center, University of Maryland Global Campus, University of Maryland - Baltimore, and University of North Carolina School of the Arts.</t>
    </r>
  </si>
  <si>
    <r>
      <t>1</t>
    </r>
    <r>
      <rPr>
        <sz val="8"/>
        <rFont val="Arial"/>
        <family val="2"/>
      </rPr>
      <t xml:space="preserve"> The "all four-year" figures include the Marion Military Institute, University of Arkansas for Medical Sciences, Southern University Law Center, University of Maryland Global Campus, University of Maryland - Baltimore, and University of North Carolina School of the Arts.</t>
    </r>
  </si>
  <si>
    <r>
      <t>1</t>
    </r>
    <r>
      <rPr>
        <sz val="8"/>
        <rFont val="Arial"/>
        <family val="2"/>
      </rPr>
      <t>The "all four-year" figures include the Marion Military Institute, University of Arkansas for Medical Sciences, Southern University Law Center, University of Maryland Global Campus, University of Maryland - Baltimore, and University of North Carolina School of the Arts.</t>
    </r>
  </si>
  <si>
    <t>Changed # from 157173 to 156392</t>
  </si>
  <si>
    <t>University of Maryland, College Park</t>
  </si>
  <si>
    <t>Davidson-Davie Community College</t>
  </si>
  <si>
    <t>College of The Albemarle</t>
  </si>
  <si>
    <t xml:space="preserve">Texas A&amp;M University </t>
  </si>
  <si>
    <t xml:space="preserve">Texas Tech University </t>
  </si>
  <si>
    <t>University of Houston</t>
  </si>
  <si>
    <t>University of North Texas</t>
  </si>
  <si>
    <t>University of Texas at Arlington</t>
  </si>
  <si>
    <t>University of Texas at Austin</t>
  </si>
  <si>
    <t>University of Texas at Dallas</t>
  </si>
  <si>
    <t>University of Texas at San Antonio</t>
  </si>
  <si>
    <t>Texas State University</t>
  </si>
  <si>
    <t>Texas Woman's University</t>
  </si>
  <si>
    <t>University of Texas at El Paso</t>
  </si>
  <si>
    <t>Angelo State University</t>
  </si>
  <si>
    <t>Lamar University</t>
  </si>
  <si>
    <t>Midwestern State University</t>
  </si>
  <si>
    <t>Prairie View A&amp;M University</t>
  </si>
  <si>
    <t xml:space="preserve">Sam Houston State University </t>
  </si>
  <si>
    <t>Stephen F. Austin State University</t>
  </si>
  <si>
    <t xml:space="preserve">Sul Ross State University </t>
  </si>
  <si>
    <t>Tarleton State University</t>
  </si>
  <si>
    <t>Texas A&amp;M International University</t>
  </si>
  <si>
    <t>Texas A&amp;M University-Commerce</t>
  </si>
  <si>
    <t xml:space="preserve">Texas A&amp;M University-Corpus Christi </t>
  </si>
  <si>
    <t>Texas A&amp;M University-Kingsville</t>
  </si>
  <si>
    <t xml:space="preserve">Texas Southern University </t>
  </si>
  <si>
    <t xml:space="preserve">University of Houston-Clear Lake </t>
  </si>
  <si>
    <t>University of Texas at Tyler</t>
  </si>
  <si>
    <t>University of Texas Permian Basin</t>
  </si>
  <si>
    <t>University of Texas-Rio Grande Valley</t>
  </si>
  <si>
    <t>West Texas A&amp;M University</t>
  </si>
  <si>
    <t>Texas A&amp;M -Texarkana</t>
  </si>
  <si>
    <t>Texas A&amp;M University-Central Texas</t>
  </si>
  <si>
    <t>University of Houston-Downtown</t>
  </si>
  <si>
    <t>University of Houston-Victoria</t>
  </si>
  <si>
    <t>Sul Ross State University-Rio Grande College</t>
  </si>
  <si>
    <t>228501B</t>
  </si>
  <si>
    <t>Texas A&amp;M University at Galveston</t>
  </si>
  <si>
    <t>Texas A&amp;M University-San Antonio</t>
  </si>
  <si>
    <t xml:space="preserve">Brazosport College </t>
  </si>
  <si>
    <t xml:space="preserve">Midland College </t>
  </si>
  <si>
    <t>South Texas College</t>
  </si>
  <si>
    <t xml:space="preserve">Amarillo College </t>
  </si>
  <si>
    <t xml:space="preserve">Austin Community College </t>
  </si>
  <si>
    <t>Met the criteria for Two-Year with Bachelor's in 2019-20.</t>
  </si>
  <si>
    <t>Blinn College</t>
  </si>
  <si>
    <t>Brookhaven College (DCCCD)</t>
  </si>
  <si>
    <t xml:space="preserve">Central Texas College </t>
  </si>
  <si>
    <t>Collin County Community College District</t>
  </si>
  <si>
    <t xml:space="preserve">Del Mar College </t>
  </si>
  <si>
    <t>Eastfield College (DCCCD)</t>
  </si>
  <si>
    <t>El Centro College  (DCCCD)</t>
  </si>
  <si>
    <t>El Paso County Community College District</t>
  </si>
  <si>
    <t>Houston Community College</t>
  </si>
  <si>
    <t xml:space="preserve">Laredo College </t>
  </si>
  <si>
    <t>Lone Star College System District</t>
  </si>
  <si>
    <t xml:space="preserve">McLennan Community College </t>
  </si>
  <si>
    <t>Mountain View College  (DCCCD)</t>
  </si>
  <si>
    <t xml:space="preserve">Navarro College </t>
  </si>
  <si>
    <t>North Central Texas Community College</t>
  </si>
  <si>
    <t>North Lake College (DCCCD)</t>
  </si>
  <si>
    <t>Northwest Vista College (ACCD)</t>
  </si>
  <si>
    <t>Palo Alto College (ACCD)</t>
  </si>
  <si>
    <t>Richland College (DCCCD)</t>
  </si>
  <si>
    <t>San Antonio College (ACCD)</t>
  </si>
  <si>
    <t>San Jacinto College</t>
  </si>
  <si>
    <t xml:space="preserve">South Plains College </t>
  </si>
  <si>
    <t>St. Philip's College (ACCD)</t>
  </si>
  <si>
    <t>Tarrant County College</t>
  </si>
  <si>
    <t>Trinity Valley Community College</t>
  </si>
  <si>
    <t xml:space="preserve">Tyler Junior College </t>
  </si>
  <si>
    <t xml:space="preserve">Alvin Community College </t>
  </si>
  <si>
    <t xml:space="preserve">Angelina College </t>
  </si>
  <si>
    <t>Cedar Valley College (DCCCD)</t>
  </si>
  <si>
    <t xml:space="preserve">Cisco Junior College </t>
  </si>
  <si>
    <t>Coastal Bend College</t>
  </si>
  <si>
    <t>College of the Mainland</t>
  </si>
  <si>
    <t xml:space="preserve">Grayson County College </t>
  </si>
  <si>
    <t>Hill College</t>
  </si>
  <si>
    <t>Howard College (HCJCD)</t>
  </si>
  <si>
    <t xml:space="preserve">Kilgore College </t>
  </si>
  <si>
    <t>Lamar Institute of Technology</t>
  </si>
  <si>
    <t xml:space="preserve">Lee College </t>
  </si>
  <si>
    <t xml:space="preserve">Northeast Texas Community College </t>
  </si>
  <si>
    <t xml:space="preserve">Odessa College </t>
  </si>
  <si>
    <t>Paris Junior College</t>
  </si>
  <si>
    <t xml:space="preserve">Southwest Texas Junior College </t>
  </si>
  <si>
    <t xml:space="preserve">Temple College </t>
  </si>
  <si>
    <t xml:space="preserve">Texarkana College </t>
  </si>
  <si>
    <t xml:space="preserve">Texas Southmost College </t>
  </si>
  <si>
    <t>Changed IPEDS # from 229072</t>
  </si>
  <si>
    <t xml:space="preserve">Texas State Technical College-Harlingen </t>
  </si>
  <si>
    <t>Texas State Technical College-Waco</t>
  </si>
  <si>
    <t xml:space="preserve">Vernon College </t>
  </si>
  <si>
    <t xml:space="preserve">Victoria College </t>
  </si>
  <si>
    <t xml:space="preserve">Weatherford College </t>
  </si>
  <si>
    <t xml:space="preserve">Wharton County Junior College </t>
  </si>
  <si>
    <t xml:space="preserve">Clarendon College </t>
  </si>
  <si>
    <t xml:space="preserve">Frank Phillips College </t>
  </si>
  <si>
    <t xml:space="preserve">Galveston College </t>
  </si>
  <si>
    <t>Lamar State College-Orange</t>
  </si>
  <si>
    <t>Lamar State College-Port Arthur</t>
  </si>
  <si>
    <t>Northeast Lakeview College (ACCD)</t>
  </si>
  <si>
    <t>Panola College</t>
  </si>
  <si>
    <t xml:space="preserve">Ranger College </t>
  </si>
  <si>
    <t>Southwest Collegiate Institute for the Deaf (HCJCD)</t>
  </si>
  <si>
    <t>Texas State Technical College-Fort Bend</t>
  </si>
  <si>
    <t>Texas State Technical College-Marshall</t>
  </si>
  <si>
    <t>Texas State Technical College-North Texas</t>
  </si>
  <si>
    <t>Texas State Technical College-West Texas</t>
  </si>
  <si>
    <t xml:space="preserve">Western Texas College </t>
  </si>
  <si>
    <t>University of North Texas at Dallas</t>
  </si>
  <si>
    <t>Percent of Undergraduate Instructional Activity in e-Learning by Type of Institution, 2020</t>
  </si>
  <si>
    <t>by Type of Institution, 2020</t>
  </si>
  <si>
    <t>Percent of Undergraduate Instructional Activity in Traditional Classroom Instruction by Type of Institution, 2020</t>
  </si>
  <si>
    <t>Public Four-Year 1 Institutions, 2020</t>
  </si>
  <si>
    <t>Public Four-Year 2 Institutions, 2020</t>
  </si>
  <si>
    <t>Public Four-Year 3 Institutions, 2020</t>
  </si>
  <si>
    <t>Public Four-Year 4 Institutions, 2020</t>
  </si>
  <si>
    <t>Public Four-Year 5 Institutions, 2020</t>
  </si>
  <si>
    <t>Public Four-Year 6 Institutions, 2020</t>
  </si>
  <si>
    <t>Public Two-Year, 2020</t>
  </si>
  <si>
    <t>Public Two-Year with Bachelor's Institutions, 2020</t>
  </si>
  <si>
    <t>Public Two-Year 1 Institutions, 2020</t>
  </si>
  <si>
    <t>Public Two-Year 2 Institutions, 2020</t>
  </si>
  <si>
    <t>Public Two-Year 3 Institutions, 2020</t>
  </si>
  <si>
    <t>Public Technical Institutes or Colleges, 2020</t>
  </si>
  <si>
    <t>Public Technical Institutes or Colleges 1, 2020</t>
  </si>
  <si>
    <t>Public Technical Institutes or Colleges 2, 2020</t>
  </si>
  <si>
    <t>Public Four-Year Institutions1, 2020</t>
  </si>
  <si>
    <t>Reclassified: Met the criteria for Four-Year 3 in 2018-19  2019-20, and 2020-21</t>
  </si>
  <si>
    <t>Reclassified: Met the criteria for Four-Year 4 in 2018-19, 2019-20, and 2020-21.</t>
  </si>
  <si>
    <t>Reclassified: Met the criteria for Two-Year 1 in 2018-19, 2019-20, and 2020-21.</t>
  </si>
  <si>
    <t>Reclassified: Met the criteria for Four-Year 5 in 2018-19, 2019-20, and 2020-21.</t>
  </si>
  <si>
    <t>Reclassified: Met the criteria for Two-Year 2 in 2018-19, 2019-20, and 2020-21.</t>
  </si>
  <si>
    <t>Reclassified: Met the criteria for Four-Year 3 in 2018-19 ,2019-20, and 2020-21</t>
  </si>
  <si>
    <t>Reclassified: Met the criteria for Four-Year 4 in 2018-19 and 2019-20, and 2021</t>
  </si>
  <si>
    <t>Reclassifed Met the criteria for Two-Year 2 in 2018-19 and 2019-20 and 2020-21</t>
  </si>
  <si>
    <t>Dallas College</t>
  </si>
  <si>
    <t>Name change ( Dallas County Community College)</t>
  </si>
  <si>
    <t>Met the criteria for Four-Year 5 in 2019-20 and 2020-21.</t>
  </si>
  <si>
    <t>Met the criteria for Two-Year 3 in 2020-21.</t>
  </si>
  <si>
    <t>Met the criteria for Two-Year 2 in 2020-21.</t>
  </si>
  <si>
    <t>Met the criteria for Four-Year 4 in 2020-21.</t>
  </si>
  <si>
    <t>Met the criteria for Four-Year 6 in 2020-21.</t>
  </si>
  <si>
    <t>Met the criteria for Two-Year 3 in 2019-20 and 2020-21.</t>
  </si>
  <si>
    <t>Met the criteria for Four-Year 2 in 2019-20 and 2020-21.</t>
  </si>
  <si>
    <t>Met the criteria for Four-Year 4 in 2019-20 and 2020-21.</t>
  </si>
  <si>
    <t>Met the criteria for Two-Year 2 in 2019-20 and 2020-21.</t>
  </si>
  <si>
    <t>Met the criteria for Technical Institute or College 1 in 2019-20 and 2020-21.</t>
  </si>
  <si>
    <t>Met the requirments for 4-year 1 in 2020-21</t>
  </si>
  <si>
    <t>Met the requirments for 4 Year 1 in 2020-21</t>
  </si>
  <si>
    <t>Met the criteria Two-Year 2 in 2020-21</t>
  </si>
  <si>
    <t>Met the critera for Two-Year 1 in 2020-21</t>
  </si>
  <si>
    <t>Met the requirments for  Two-year 3 in 2020-21</t>
  </si>
  <si>
    <t>101161</t>
  </si>
  <si>
    <t xml:space="preserve">Hinds Community College </t>
  </si>
  <si>
    <t xml:space="preserve">Holmes Community College </t>
  </si>
  <si>
    <t xml:space="preserve">Mississippi Gulf Coast Community College </t>
  </si>
  <si>
    <t xml:space="preserve">Northwest Mississippi Community College </t>
  </si>
  <si>
    <t xml:space="preserve">Copiah-Lincoln Community College </t>
  </si>
  <si>
    <t xml:space="preserve">East Central Community College </t>
  </si>
  <si>
    <t xml:space="preserve">East Mississippi Community College </t>
  </si>
  <si>
    <t xml:space="preserve">Itawamba Community College </t>
  </si>
  <si>
    <t>Jones College</t>
  </si>
  <si>
    <t xml:space="preserve">Meridian Community College </t>
  </si>
  <si>
    <t xml:space="preserve">Mississippi Delta Community College </t>
  </si>
  <si>
    <t xml:space="preserve">Northeast Mississippi Community College </t>
  </si>
  <si>
    <t xml:space="preserve">Pearl River Community College </t>
  </si>
  <si>
    <t xml:space="preserve">Coahoma Community College </t>
  </si>
  <si>
    <t>Southwest Mississippi Community College</t>
  </si>
  <si>
    <t>Met the criteria for Technical Institute or College 1 in 2019-20.</t>
  </si>
  <si>
    <t>Texas State Technical College-Connect (Online only)</t>
  </si>
  <si>
    <t>Reclassified: Met the criteria for Four-Year 5 in 2019-20 and 2020-21, and 2021-22</t>
  </si>
  <si>
    <t>Met the criteria for Two-Year 3 in 2020-21, and 2021-22</t>
  </si>
  <si>
    <t>Met the criteria for Two-Year 3 in 2020-21 and 2021,22</t>
  </si>
  <si>
    <t>Met the criteria for Two-Year 2 in 2021-22</t>
  </si>
  <si>
    <t>Met the criteria for Two-Year 3 in 2021-22</t>
  </si>
  <si>
    <t>Met the criteria for Four-Year 4 in 2020-21 and 2021-22</t>
  </si>
  <si>
    <t>Met the criteria for Two-Year 2 in 2020-21 and 2021-22</t>
  </si>
  <si>
    <t>Reclassifed Met the criteria for Two-Year with Bachelor's in 2019-20, 2020-21 and 2021-22</t>
  </si>
  <si>
    <t>Met the criteria for Two-Year 1 in 2020-21 and 2021-22</t>
  </si>
  <si>
    <t>Met the criteria for Two-Year 21in 2020-21 and 2021-22</t>
  </si>
  <si>
    <t>Met the criteria for Two-Year 3 in 2020-21 and 2021-22</t>
  </si>
  <si>
    <t>Meet the Criteria for Four-Year 3 in 2021-22</t>
  </si>
  <si>
    <t xml:space="preserve"> Met the Criteria for Four-Year 4 in 2021-22</t>
  </si>
  <si>
    <t>Met the crtiera for Technical College 2 in 2021-22</t>
  </si>
  <si>
    <t>Reclassifed: Met the criteria for Four-Year 2 in 2019-20 and 2020-21, and 2021-22</t>
  </si>
  <si>
    <t>Met the criteria for Two-Year 2 in  2021-22</t>
  </si>
  <si>
    <t>Met the criteria for Two-Year 1 in  2021-22</t>
  </si>
  <si>
    <t>Met the criteria for Two-Year 3 in  2021-22</t>
  </si>
  <si>
    <t>Met the criteria for Four-Year 5 in 2021-22</t>
  </si>
  <si>
    <t>Reclassified Met the criteria for Four-Year 5 in 2019-20 and 2020-21, and 2021, 22</t>
  </si>
  <si>
    <t>Met the criteria for Two-Year 2 in 2020-21, and 2021-22</t>
  </si>
  <si>
    <t>Met the requirments for Four-Year 1 in 2020-21, and 2021-22</t>
  </si>
  <si>
    <t>Met the requirments for 4-Year 2 in 2021-22</t>
  </si>
  <si>
    <t>Met the requirments for 4-Year 3 in 2021-22</t>
  </si>
  <si>
    <t>Met the requirments for 4-Year 4 in 2021-22</t>
  </si>
  <si>
    <t>Met the criteria Two-Year 2 in 2020-21, and 2021-22</t>
  </si>
  <si>
    <t>Met the critera for Two-Year 1 in 2020-21, and 2021-22</t>
  </si>
  <si>
    <t>Met the criteria Two-Year 3 in 2021-22</t>
  </si>
  <si>
    <t>Met the criteria Two-Year 3 2021-22</t>
  </si>
  <si>
    <t>Met the criteria Two-Year 2 2021-22</t>
  </si>
  <si>
    <t>Met the criteria Two-Year 1 2021-22</t>
  </si>
  <si>
    <t>Met the requirments for  Two-year 3 in 2020-21, and 2021-22</t>
  </si>
  <si>
    <t>Met the requirments for  Two-year 3 in 021-22</t>
  </si>
  <si>
    <t>Reclassifed Met the criteria for Two-Year 3 in 2019-20 and 2020-21, and 2021-22</t>
  </si>
  <si>
    <t>Met the Requirment for Four-Year 4 in 2021-22</t>
  </si>
  <si>
    <t>Reclassifed: Met the criteria for Four-Year 4 in 2019-20 2020-21, and 2021-22</t>
  </si>
  <si>
    <t>Percent of Undergraduate Instructional Activity in Traditional Classroom Instruction by Type of Institution, 2021</t>
  </si>
  <si>
    <t>Percent of Undergraduate Instructional Activity in e-Learning by Type of Institution, 2021</t>
  </si>
  <si>
    <t>by Type of Institution, 2021</t>
  </si>
  <si>
    <t>Public Four-Year Institutions1, 2021</t>
  </si>
  <si>
    <t>Public Four-Year 1 Institutions, 2021</t>
  </si>
  <si>
    <t>Public Four-Year 2 Institutions, 2021</t>
  </si>
  <si>
    <t>Public Four-Year 3 Institutions, 2021</t>
  </si>
  <si>
    <t>Public Four-Year 4 Institutions, 2021</t>
  </si>
  <si>
    <t>Public Four-Year 5 Institutions, 2021</t>
  </si>
  <si>
    <t>Public Four-Year 6 Institutions, 2021</t>
  </si>
  <si>
    <t>Public Two-Year, 2021</t>
  </si>
  <si>
    <t>Public Two-Year with Bachelor's Institutions, 2021</t>
  </si>
  <si>
    <t>Public Two-Year 1 Institutions, 2021</t>
  </si>
  <si>
    <t>Public Two-Year 2 Institutions, 2021</t>
  </si>
  <si>
    <t>Public Two-Year 3 Institutions, 2021</t>
  </si>
  <si>
    <t>Public Technical Institutes or Colleges, 2021</t>
  </si>
  <si>
    <t>Public Technical Institutes or Colleges 1, 2021</t>
  </si>
  <si>
    <t>Public Technical Institutes or Colleges 2, 2021</t>
  </si>
  <si>
    <t>William &amp; Mary</t>
  </si>
  <si>
    <t>Was University of Virginia's College Wise</t>
  </si>
  <si>
    <t>Was John Tyler Community College</t>
  </si>
  <si>
    <t>Was Lord Fairfax Community College</t>
  </si>
  <si>
    <t>Mountain Gateway Community College</t>
  </si>
  <si>
    <t xml:space="preserve">Was D.S. Lancaster Community College </t>
  </si>
  <si>
    <t>Was  Patrick Henry Community College</t>
  </si>
  <si>
    <t>University of Virginia's College at Wise</t>
  </si>
  <si>
    <t>Brightpoint Community College</t>
  </si>
  <si>
    <t>Virginia Peninsula Community College</t>
  </si>
  <si>
    <t>Reclassifed: Met the criteria for Two-Year 2 in 2019-20 and 2020-21 and 2021-22 was Thomas Nelson Community College</t>
  </si>
  <si>
    <t>Laurel Ridge Community College</t>
  </si>
  <si>
    <t>Patrick &amp; Henry Community College</t>
  </si>
  <si>
    <t>Reclassifed Met the criteria for Two-Year 3 in 2019-20 and 2020-21, and 2022</t>
  </si>
  <si>
    <t>Met the criteria for Four-Year 6 in 2020-21 and 2021-22</t>
  </si>
  <si>
    <t>Oct. 2023</t>
  </si>
  <si>
    <t xml:space="preserve">    Oct.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</si>
</sst>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_)"/>
    <numFmt numFmtId="165" formatCode="_(* #,##0_);_(* \(#,##0\);_(* &quot;-&quot;??_);_(@_)"/>
    <numFmt numFmtId="166" formatCode="0.0%"/>
    <numFmt numFmtId="167" formatCode="#,##0.0"/>
    <numFmt numFmtId="168" formatCode="_(* #,##0.0_);_(* \(#,##0.0\);_(* &quot;-&quot;??_);_(@_)"/>
    <numFmt numFmtId="169" formatCode="0.0"/>
    <numFmt numFmtId="170" formatCode="0.000"/>
    <numFmt numFmtId="171" formatCode="0.0000"/>
    <numFmt numFmtId="172" formatCode="0.00000"/>
  </numFmts>
  <fonts count="50">
    <font>
      <sz val="12"/>
      <name val="AGaramond"/>
    </font>
    <font>
      <sz val="11"/>
      <color theme="1"/>
      <name val="Calibri"/>
      <family val="2"/>
      <scheme val="minor"/>
    </font>
    <font>
      <sz val="10"/>
      <name val="Arial"/>
      <family val="2"/>
    </font>
    <font>
      <b/>
      <sz val="10"/>
      <color indexed="10"/>
      <name val="Arial"/>
      <family val="2"/>
    </font>
    <font>
      <b/>
      <sz val="10"/>
      <name val="Arial"/>
      <family val="2"/>
    </font>
    <font>
      <b/>
      <sz val="10"/>
      <color indexed="12"/>
      <name val="Arial"/>
      <family val="2"/>
    </font>
    <font>
      <sz val="10"/>
      <color indexed="12"/>
      <name val="Arial"/>
      <family val="2"/>
    </font>
    <font>
      <b/>
      <sz val="14"/>
      <name val="Arial"/>
      <family val="2"/>
    </font>
    <font>
      <b/>
      <sz val="10"/>
      <color rgb="FFC00000"/>
      <name val="Arial"/>
      <family val="2"/>
    </font>
    <font>
      <sz val="10"/>
      <color rgb="FF0000FF"/>
      <name val="Arial"/>
      <family val="2"/>
    </font>
    <font>
      <b/>
      <sz val="10"/>
      <color rgb="FF0000FF"/>
      <name val="Arial"/>
      <family val="2"/>
    </font>
    <font>
      <b/>
      <sz val="14"/>
      <color theme="0"/>
      <name val="Arial"/>
      <family val="2"/>
    </font>
    <font>
      <b/>
      <sz val="14"/>
      <color rgb="FFFF0000"/>
      <name val="Arial"/>
      <family val="2"/>
    </font>
    <font>
      <b/>
      <sz val="10"/>
      <color rgb="FF000000"/>
      <name val="Arial"/>
      <family val="2"/>
    </font>
    <font>
      <sz val="10"/>
      <color rgb="FF000000"/>
      <name val="Arial"/>
      <family val="2"/>
    </font>
    <font>
      <b/>
      <sz val="11"/>
      <color rgb="FF000000"/>
      <name val="Tahoma"/>
      <family val="2"/>
    </font>
    <font>
      <b/>
      <sz val="10"/>
      <color rgb="FFFF0000"/>
      <name val="Arial"/>
      <family val="2"/>
    </font>
    <font>
      <sz val="11"/>
      <name val="Calibri"/>
      <family val="2"/>
      <scheme val="minor"/>
    </font>
    <font>
      <b/>
      <sz val="11"/>
      <name val="Calibri"/>
      <family val="2"/>
      <scheme val="minor"/>
    </font>
    <font>
      <sz val="11"/>
      <color rgb="FFC00000"/>
      <name val="Calibri"/>
      <family val="2"/>
      <scheme val="minor"/>
    </font>
    <font>
      <sz val="14"/>
      <name val="Arial"/>
      <family val="2"/>
    </font>
    <font>
      <sz val="14"/>
      <color rgb="FFC00000"/>
      <name val="Arial"/>
      <family val="2"/>
    </font>
    <font>
      <sz val="8"/>
      <name val="Arial"/>
      <family val="2"/>
    </font>
    <font>
      <b/>
      <sz val="12"/>
      <name val="Arial"/>
      <family val="2"/>
    </font>
    <font>
      <sz val="10"/>
      <color rgb="FFC00000"/>
      <name val="Arial"/>
      <family val="2"/>
    </font>
    <font>
      <b/>
      <sz val="9"/>
      <name val="Arial"/>
      <family val="2"/>
    </font>
    <font>
      <sz val="9"/>
      <color rgb="FFC00000"/>
      <name val="Arial"/>
      <family val="2"/>
    </font>
    <font>
      <b/>
      <sz val="9"/>
      <color rgb="FFC00000"/>
      <name val="Arial"/>
      <family val="2"/>
    </font>
    <font>
      <b/>
      <vertAlign val="superscript"/>
      <sz val="9"/>
      <name val="Arial"/>
      <family val="2"/>
    </font>
    <font>
      <vertAlign val="superscript"/>
      <sz val="10"/>
      <name val="Arial"/>
      <family val="2"/>
    </font>
    <font>
      <vertAlign val="superscript"/>
      <sz val="8"/>
      <name val="Arial"/>
      <family val="2"/>
    </font>
    <font>
      <sz val="11"/>
      <color indexed="8"/>
      <name val="Calibri"/>
      <family val="2"/>
    </font>
    <font>
      <sz val="8"/>
      <color rgb="FFC00000"/>
      <name val="Arial"/>
      <family val="2"/>
    </font>
    <font>
      <sz val="10"/>
      <color indexed="81"/>
      <name val="Tahoma"/>
      <family val="2"/>
    </font>
    <font>
      <sz val="9"/>
      <name val="Arial"/>
      <family val="2"/>
    </font>
    <font>
      <b/>
      <sz val="12"/>
      <color indexed="8"/>
      <name val="Arial"/>
      <family val="2"/>
    </font>
    <font>
      <b/>
      <sz val="10"/>
      <color indexed="8"/>
      <name val="Arial"/>
      <family val="2"/>
    </font>
    <font>
      <b/>
      <vertAlign val="superscript"/>
      <sz val="10"/>
      <name val="Arial"/>
      <family val="2"/>
    </font>
    <font>
      <sz val="10"/>
      <color rgb="FF9C0000"/>
      <name val="Arial"/>
      <family val="2"/>
    </font>
    <font>
      <sz val="8"/>
      <color rgb="FF000000"/>
      <name val="Tahoma"/>
      <family val="2"/>
    </font>
    <font>
      <b/>
      <sz val="11"/>
      <color rgb="FFC00000"/>
      <name val="Calibri"/>
      <family val="2"/>
    </font>
    <font>
      <b/>
      <sz val="11"/>
      <color rgb="FF000000"/>
      <name val="Calibri"/>
      <family val="2"/>
    </font>
    <font>
      <b/>
      <sz val="11"/>
      <color rgb="FFC00000"/>
      <name val="Calibri"/>
      <family val="2"/>
      <scheme val="minor"/>
    </font>
    <font>
      <b/>
      <sz val="11"/>
      <name val="Calibri"/>
      <family val="2"/>
    </font>
    <font>
      <b/>
      <sz val="11"/>
      <color rgb="FFFF0000"/>
      <name val="Calibri"/>
      <family val="2"/>
      <scheme val="minor"/>
    </font>
    <font>
      <b/>
      <sz val="11"/>
      <color theme="1"/>
      <name val="Calibri"/>
      <family val="2"/>
      <scheme val="minor"/>
    </font>
    <font>
      <sz val="11"/>
      <color rgb="FF000000"/>
      <name val="Calibri"/>
      <family val="2"/>
    </font>
    <font>
      <sz val="8"/>
      <color rgb="FF000000"/>
      <name val="Arial"/>
      <family val="2"/>
    </font>
    <font>
      <b/>
      <sz val="11"/>
      <color rgb="FFFF0000"/>
      <name val="Calibri"/>
      <family val="2"/>
    </font>
    <font>
      <b/>
      <sz val="10"/>
      <color rgb="FFFFFFFF"/>
      <name val="Arial"/>
      <family val="2"/>
    </font>
  </fonts>
  <fills count="6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00000"/>
        <bgColor indexed="64"/>
      </patternFill>
    </fill>
    <fill>
      <patternFill patternType="solid">
        <fgColor theme="0"/>
        <bgColor indexed="64"/>
      </patternFill>
    </fill>
    <fill>
      <patternFill patternType="solid">
        <fgColor indexed="45"/>
        <bgColor indexed="64"/>
      </patternFill>
    </fill>
    <fill>
      <patternFill patternType="solid">
        <fgColor theme="9" tint="0.59999389629810485"/>
        <bgColor theme="9" tint="0.59999389629810485"/>
      </patternFill>
    </fill>
    <fill>
      <patternFill patternType="solid">
        <fgColor rgb="FFFFFFFF"/>
        <bgColor rgb="FFFFFFFF"/>
      </patternFill>
    </fill>
    <fill>
      <patternFill patternType="solid">
        <fgColor indexed="45"/>
      </patternFill>
    </fill>
    <fill>
      <patternFill patternType="solid">
        <fgColor indexed="47"/>
        <bgColor indexed="64"/>
      </patternFill>
    </fill>
    <fill>
      <patternFill patternType="solid">
        <fgColor rgb="FFFFCC99"/>
        <bgColor rgb="FFFFCC99"/>
      </patternFill>
    </fill>
    <fill>
      <patternFill patternType="solid">
        <fgColor indexed="43"/>
        <bgColor indexed="64"/>
      </patternFill>
    </fill>
    <fill>
      <patternFill patternType="solid">
        <fgColor indexed="42"/>
      </patternFill>
    </fill>
    <fill>
      <patternFill patternType="solid">
        <fgColor indexed="15"/>
        <bgColor indexed="64"/>
      </patternFill>
    </fill>
    <fill>
      <patternFill patternType="solid">
        <fgColor rgb="FF99CCFF"/>
        <bgColor rgb="FF99CCFF"/>
      </patternFill>
    </fill>
    <fill>
      <patternFill patternType="solid">
        <fgColor rgb="FFFF99CC"/>
        <bgColor rgb="FFFF99CC"/>
      </patternFill>
    </fill>
    <fill>
      <patternFill patternType="solid">
        <fgColor indexed="15"/>
        <bgColor indexed="42"/>
      </patternFill>
    </fill>
    <fill>
      <patternFill patternType="solid">
        <fgColor rgb="FFCC99FF"/>
        <bgColor rgb="FFCC99FF"/>
      </patternFill>
    </fill>
    <fill>
      <patternFill patternType="solid">
        <fgColor rgb="FF00B0F0"/>
        <bgColor indexed="64"/>
      </patternFill>
    </fill>
    <fill>
      <patternFill patternType="solid">
        <fgColor indexed="11"/>
      </patternFill>
    </fill>
    <fill>
      <patternFill patternType="solid">
        <fgColor rgb="FFFF99CC"/>
        <bgColor rgb="FF000000"/>
      </patternFill>
    </fill>
    <fill>
      <patternFill patternType="solid">
        <fgColor rgb="FFFFC8C8"/>
        <bgColor rgb="FFFFC8C8"/>
      </patternFill>
    </fill>
    <fill>
      <patternFill patternType="solid">
        <fgColor rgb="FFFFCC00"/>
        <bgColor rgb="FFFFCC00"/>
      </patternFill>
    </fill>
    <fill>
      <patternFill patternType="solid">
        <fgColor rgb="FFFFCC99"/>
        <bgColor rgb="FF000000"/>
      </patternFill>
    </fill>
    <fill>
      <patternFill patternType="solid">
        <fgColor rgb="FFFFFF99"/>
        <bgColor rgb="FF000000"/>
      </patternFill>
    </fill>
    <fill>
      <patternFill patternType="solid">
        <fgColor rgb="FF00FFFF"/>
        <bgColor rgb="FF000000"/>
      </patternFill>
    </fill>
    <fill>
      <patternFill patternType="solid">
        <fgColor rgb="FF99CCFF"/>
        <bgColor rgb="FF000000"/>
      </patternFill>
    </fill>
    <fill>
      <patternFill patternType="solid">
        <fgColor rgb="FFFFFF00"/>
        <bgColor rgb="FF000000"/>
      </patternFill>
    </fill>
    <fill>
      <patternFill patternType="solid">
        <fgColor rgb="FFFFCC00"/>
        <bgColor rgb="FF000000"/>
      </patternFill>
    </fill>
    <fill>
      <patternFill patternType="solid">
        <fgColor rgb="FFCCFFCC"/>
        <bgColor rgb="FF000000"/>
      </patternFill>
    </fill>
    <fill>
      <patternFill patternType="solid">
        <fgColor rgb="FFCC99FF"/>
        <bgColor rgb="FF000000"/>
      </patternFill>
    </fill>
    <fill>
      <patternFill patternType="solid">
        <fgColor rgb="FFCCFFCC"/>
        <bgColor rgb="FFCCFFCC"/>
      </patternFill>
    </fill>
    <fill>
      <patternFill patternType="solid">
        <fgColor rgb="FFCCFFCC"/>
        <bgColor rgb="FFFFC8C8"/>
      </patternFill>
    </fill>
    <fill>
      <patternFill patternType="solid">
        <fgColor rgb="FFFF99CC"/>
        <bgColor indexed="64"/>
      </patternFill>
    </fill>
    <fill>
      <patternFill patternType="solid">
        <fgColor rgb="FF99CCFF"/>
        <bgColor indexed="64"/>
      </patternFill>
    </fill>
    <fill>
      <patternFill patternType="solid">
        <fgColor indexed="44"/>
      </patternFill>
    </fill>
    <fill>
      <patternFill patternType="solid">
        <fgColor indexed="51"/>
      </patternFill>
    </fill>
    <fill>
      <patternFill patternType="solid">
        <fgColor rgb="FFFFCC00"/>
        <bgColor indexed="64"/>
      </patternFill>
    </fill>
    <fill>
      <patternFill patternType="solid">
        <fgColor rgb="FFFFFF99"/>
        <bgColor indexed="64"/>
      </patternFill>
    </fill>
    <fill>
      <patternFill patternType="solid">
        <fgColor rgb="FFCCFFCC"/>
        <bgColor indexed="64"/>
      </patternFill>
    </fill>
    <fill>
      <patternFill patternType="solid">
        <fgColor rgb="FFFFFF00"/>
        <bgColor indexed="64"/>
      </patternFill>
    </fill>
    <fill>
      <patternFill patternType="solid">
        <fgColor rgb="FF00FFFF"/>
        <bgColor indexed="64"/>
      </patternFill>
    </fill>
    <fill>
      <patternFill patternType="solid">
        <fgColor indexed="47"/>
      </patternFill>
    </fill>
    <fill>
      <patternFill patternType="solid">
        <fgColor indexed="46"/>
      </patternFill>
    </fill>
    <fill>
      <patternFill patternType="solid">
        <fgColor rgb="FF99CCFF"/>
      </patternFill>
    </fill>
    <fill>
      <patternFill patternType="solid">
        <fgColor theme="2" tint="-0.249977111117893"/>
        <bgColor indexed="64"/>
      </patternFill>
    </fill>
    <fill>
      <patternFill patternType="solid">
        <fgColor theme="2" tint="-0.249977111117893"/>
        <bgColor indexed="65"/>
      </patternFill>
    </fill>
    <fill>
      <patternFill patternType="solid">
        <fgColor rgb="FFFFCC99"/>
      </patternFill>
    </fill>
    <fill>
      <patternFill patternType="solid">
        <fgColor rgb="FFFF99CC"/>
      </patternFill>
    </fill>
    <fill>
      <patternFill patternType="solid">
        <fgColor rgb="FFFFFF99"/>
      </patternFill>
    </fill>
    <fill>
      <patternFill patternType="solid">
        <fgColor rgb="FF00FFFF"/>
      </patternFill>
    </fill>
    <fill>
      <patternFill patternType="solid">
        <fgColor rgb="FFFFCC00"/>
      </patternFill>
    </fill>
    <fill>
      <patternFill patternType="solid">
        <fgColor rgb="FFCCFFCC"/>
      </patternFill>
    </fill>
    <fill>
      <patternFill patternType="solid">
        <fgColor indexed="15"/>
      </patternFill>
    </fill>
    <fill>
      <patternFill patternType="solid">
        <fgColor rgb="FFCC99FF"/>
      </patternFill>
    </fill>
    <fill>
      <patternFill patternType="solid">
        <fgColor indexed="43"/>
      </patternFill>
    </fill>
    <fill>
      <patternFill patternType="solid">
        <fgColor rgb="FF000000"/>
        <bgColor rgb="FF000000"/>
      </patternFill>
    </fill>
    <fill>
      <patternFill patternType="solid">
        <fgColor rgb="FFB1A0C7"/>
        <bgColor rgb="FF000000"/>
      </patternFill>
    </fill>
    <fill>
      <patternFill patternType="solid">
        <fgColor rgb="FFD9D9D9"/>
        <bgColor rgb="FF000000"/>
      </patternFill>
    </fill>
    <fill>
      <patternFill patternType="solid">
        <fgColor rgb="FFFCD5B4"/>
        <bgColor rgb="FF000000"/>
      </patternFill>
    </fill>
  </fills>
  <borders count="83">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double">
        <color auto="1"/>
      </bottom>
      <diagonal/>
    </border>
    <border>
      <left/>
      <right/>
      <top/>
      <bottom style="double">
        <color auto="1"/>
      </bottom>
      <diagonal/>
    </border>
    <border>
      <left style="medium">
        <color auto="1"/>
      </left>
      <right/>
      <top/>
      <bottom/>
      <diagonal/>
    </border>
    <border>
      <left style="double">
        <color auto="1"/>
      </left>
      <right style="thin">
        <color auto="1"/>
      </right>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65"/>
      </left>
      <right style="thin">
        <color indexed="64"/>
      </right>
      <top style="thin">
        <color indexed="8"/>
      </top>
      <bottom/>
      <diagonal/>
    </border>
    <border>
      <left style="thin">
        <color indexed="8"/>
      </left>
      <right/>
      <top style="thin">
        <color indexed="64"/>
      </top>
      <bottom/>
      <diagonal/>
    </border>
    <border>
      <left style="thin">
        <color indexed="65"/>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64"/>
      </left>
      <right/>
      <top style="thin">
        <color indexed="64"/>
      </top>
      <bottom/>
      <diagonal/>
    </border>
    <border>
      <left style="thin">
        <color indexed="8"/>
      </left>
      <right style="thin">
        <color indexed="8"/>
      </right>
      <top style="thin">
        <color indexed="65"/>
      </top>
      <bottom style="thin">
        <color indexed="64"/>
      </bottom>
      <diagonal/>
    </border>
    <border>
      <left style="thin">
        <color indexed="8"/>
      </left>
      <right/>
      <top style="thin">
        <color indexed="65"/>
      </top>
      <bottom style="thin">
        <color indexed="64"/>
      </bottom>
      <diagonal/>
    </border>
    <border>
      <left style="thin">
        <color indexed="64"/>
      </left>
      <right/>
      <top style="thin">
        <color indexed="8"/>
      </top>
      <bottom/>
      <diagonal/>
    </border>
    <border>
      <left style="thin">
        <color indexed="8"/>
      </left>
      <right/>
      <top/>
      <bottom/>
      <diagonal/>
    </border>
    <border>
      <left style="thin">
        <color indexed="64"/>
      </left>
      <right/>
      <top/>
      <bottom/>
      <diagonal/>
    </border>
    <border>
      <left style="thin">
        <color indexed="8"/>
      </left>
      <right/>
      <top/>
      <bottom style="thin">
        <color indexed="64"/>
      </bottom>
      <diagonal/>
    </border>
    <border>
      <left style="thin">
        <color indexed="64"/>
      </left>
      <right/>
      <top/>
      <bottom style="thin">
        <color indexed="64"/>
      </bottom>
      <diagonal/>
    </border>
    <border>
      <left style="thin">
        <color indexed="8"/>
      </left>
      <right/>
      <top/>
      <bottom style="double">
        <color indexed="8"/>
      </bottom>
      <diagonal/>
    </border>
    <border>
      <left/>
      <right/>
      <top/>
      <bottom style="double">
        <color indexed="8"/>
      </bottom>
      <diagonal/>
    </border>
    <border>
      <left style="thin">
        <color indexed="64"/>
      </left>
      <right/>
      <top/>
      <bottom style="double">
        <color indexed="8"/>
      </bottom>
      <diagonal/>
    </border>
    <border>
      <left style="thin">
        <color indexed="8"/>
      </left>
      <right/>
      <top/>
      <bottom style="medium">
        <color indexed="8"/>
      </bottom>
      <diagonal/>
    </border>
    <border>
      <left/>
      <right/>
      <top/>
      <bottom style="medium">
        <color indexed="8"/>
      </bottom>
      <diagonal/>
    </border>
    <border>
      <left style="thin">
        <color indexed="64"/>
      </left>
      <right/>
      <top/>
      <bottom style="medium">
        <color indexed="8"/>
      </bottom>
      <diagonal/>
    </border>
    <border>
      <left style="thin">
        <color indexed="65"/>
      </left>
      <right style="thin">
        <color indexed="8"/>
      </right>
      <top style="thin">
        <color indexed="8"/>
      </top>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bottom/>
      <diagonal/>
    </border>
    <border>
      <left/>
      <right/>
      <top style="thin">
        <color indexed="65"/>
      </top>
      <bottom/>
      <diagonal/>
    </border>
    <border>
      <left style="thin">
        <color indexed="8"/>
      </left>
      <right style="thin">
        <color indexed="8"/>
      </right>
      <top/>
      <bottom style="thin">
        <color indexed="64"/>
      </bottom>
      <diagonal/>
    </border>
    <border>
      <left/>
      <right style="thin">
        <color indexed="8"/>
      </right>
      <top/>
      <bottom/>
      <diagonal/>
    </border>
    <border>
      <left/>
      <right style="thin">
        <color indexed="8"/>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999999"/>
      </left>
      <right style="thin">
        <color rgb="FF999999"/>
      </right>
      <top style="thin">
        <color rgb="FF999999"/>
      </top>
      <bottom style="thin">
        <color rgb="FF999999"/>
      </bottom>
      <diagonal/>
    </border>
    <border>
      <left style="thin">
        <color rgb="FF000000"/>
      </left>
      <right style="thin">
        <color rgb="FF000000"/>
      </right>
      <top style="thin">
        <color rgb="FF000000"/>
      </top>
      <bottom/>
      <diagonal/>
    </border>
    <border>
      <left style="thin">
        <color rgb="FFD3D3D3"/>
      </left>
      <right style="thin">
        <color rgb="FFD3D3D3"/>
      </right>
      <top/>
      <bottom/>
      <diagonal/>
    </border>
    <border>
      <left/>
      <right/>
      <top style="thin">
        <color indexed="64"/>
      </top>
      <bottom style="double">
        <color indexed="64"/>
      </bottom>
      <diagonal/>
    </border>
    <border>
      <left/>
      <right/>
      <top style="thin">
        <color auto="1"/>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thin">
        <color rgb="FF999999"/>
      </left>
      <right/>
      <top style="thin">
        <color indexed="8"/>
      </top>
      <bottom/>
      <diagonal/>
    </border>
    <border>
      <left style="thin">
        <color rgb="FF999999"/>
      </left>
      <right/>
      <top/>
      <bottom style="thin">
        <color indexed="64"/>
      </bottom>
      <diagonal/>
    </border>
    <border>
      <left style="thin">
        <color rgb="FF999999"/>
      </left>
      <right style="thin">
        <color rgb="FF999999"/>
      </right>
      <top/>
      <bottom style="thin">
        <color indexed="64"/>
      </bottom>
      <diagonal/>
    </border>
    <border>
      <left/>
      <right/>
      <top style="thin">
        <color indexed="65"/>
      </top>
      <bottom style="thin">
        <color indexed="64"/>
      </bottom>
      <diagonal/>
    </border>
    <border>
      <left/>
      <right/>
      <top style="thin">
        <color indexed="65"/>
      </top>
      <bottom style="thin">
        <color indexed="8"/>
      </bottom>
      <diagonal/>
    </border>
    <border>
      <left style="thin">
        <color rgb="FF999999"/>
      </left>
      <right/>
      <top style="thin">
        <color rgb="FF999999"/>
      </top>
      <bottom style="thin">
        <color indexed="64"/>
      </bottom>
      <diagonal/>
    </border>
  </borders>
  <cellStyleXfs count="13">
    <xf numFmtId="164" fontId="0" fillId="0" borderId="0"/>
    <xf numFmtId="37" fontId="2" fillId="7" borderId="10"/>
    <xf numFmtId="37" fontId="2" fillId="7" borderId="10">
      <protection locked="0"/>
    </xf>
    <xf numFmtId="37" fontId="2" fillId="0" borderId="10">
      <alignment horizontal="center" vertical="top"/>
      <protection locked="0"/>
    </xf>
    <xf numFmtId="9" fontId="9" fillId="5" borderId="10">
      <alignment horizontal="right"/>
    </xf>
    <xf numFmtId="9" fontId="9" fillId="6" borderId="10">
      <alignment horizontal="right"/>
    </xf>
    <xf numFmtId="38" fontId="9" fillId="5" borderId="10">
      <alignment horizontal="right"/>
    </xf>
    <xf numFmtId="38" fontId="9" fillId="6" borderId="10">
      <alignment horizontal="right"/>
    </xf>
    <xf numFmtId="0" fontId="1" fillId="0" borderId="0"/>
    <xf numFmtId="43" fontId="1" fillId="0" borderId="0" applyFont="0" applyFill="0" applyBorder="0" applyAlignment="0" applyProtection="0"/>
    <xf numFmtId="43" fontId="2" fillId="0" borderId="0" applyFont="0" applyFill="0" applyBorder="0" applyAlignment="0" applyProtection="0"/>
    <xf numFmtId="9" fontId="1" fillId="0" borderId="0" applyFont="0" applyFill="0" applyBorder="0" applyAlignment="0" applyProtection="0"/>
    <xf numFmtId="0" fontId="31" fillId="24" borderId="0" applyNumberFormat="0" applyBorder="0" applyAlignment="0" applyProtection="0"/>
  </cellStyleXfs>
  <cellXfs count="682">
    <xf numFmtId="164" fontId="0" fillId="0" borderId="0" xfId="0"/>
    <xf numFmtId="49" fontId="4" fillId="13" borderId="0" xfId="0" applyNumberFormat="1" applyFont="1" applyFill="1" applyAlignment="1" applyProtection="1">
      <alignment horizontal="left"/>
      <protection locked="0"/>
    </xf>
    <xf numFmtId="164" fontId="4" fillId="0" borderId="9" xfId="0" applyFont="1" applyBorder="1" applyAlignment="1">
      <alignment horizontal="center" wrapText="1"/>
    </xf>
    <xf numFmtId="164" fontId="5" fillId="0" borderId="8" xfId="0" applyFont="1" applyBorder="1" applyAlignment="1">
      <alignment horizontal="centerContinuous" wrapText="1"/>
    </xf>
    <xf numFmtId="164" fontId="10" fillId="0" borderId="8" xfId="0" applyFont="1" applyBorder="1" applyAlignment="1">
      <alignment horizontal="centerContinuous" wrapText="1"/>
    </xf>
    <xf numFmtId="164" fontId="5" fillId="0" borderId="4" xfId="0" applyFont="1" applyBorder="1" applyAlignment="1">
      <alignment horizontal="centerContinuous" wrapText="1"/>
    </xf>
    <xf numFmtId="164" fontId="5" fillId="0" borderId="9" xfId="0" applyFont="1" applyBorder="1" applyAlignment="1">
      <alignment horizontal="centerContinuous" wrapText="1"/>
    </xf>
    <xf numFmtId="164" fontId="2" fillId="0" borderId="11" xfId="0" applyFont="1" applyBorder="1"/>
    <xf numFmtId="164" fontId="5" fillId="0" borderId="6" xfId="0" applyFont="1" applyBorder="1" applyAlignment="1">
      <alignment horizontal="centerContinuous"/>
    </xf>
    <xf numFmtId="164" fontId="2" fillId="0" borderId="5" xfId="0" applyFont="1" applyBorder="1"/>
    <xf numFmtId="164" fontId="7" fillId="0" borderId="3" xfId="0" applyFont="1" applyBorder="1" applyAlignment="1">
      <alignment horizontal="centerContinuous"/>
    </xf>
    <xf numFmtId="164" fontId="6" fillId="0" borderId="2" xfId="0" applyFont="1" applyBorder="1" applyAlignment="1">
      <alignment horizontal="centerContinuous"/>
    </xf>
    <xf numFmtId="164" fontId="5" fillId="0" borderId="2" xfId="0" applyFont="1" applyBorder="1" applyAlignment="1">
      <alignment horizontal="centerContinuous"/>
    </xf>
    <xf numFmtId="164" fontId="6" fillId="0" borderId="8" xfId="0" applyFont="1" applyBorder="1" applyAlignment="1">
      <alignment horizontal="centerContinuous"/>
    </xf>
    <xf numFmtId="0" fontId="0" fillId="0" borderId="0" xfId="0" applyNumberFormat="1"/>
    <xf numFmtId="164" fontId="2" fillId="0" borderId="0" xfId="0" applyFont="1"/>
    <xf numFmtId="0" fontId="11" fillId="4" borderId="13" xfId="0" applyNumberFormat="1" applyFont="1" applyFill="1" applyBorder="1" applyAlignment="1">
      <alignment horizontal="left"/>
    </xf>
    <xf numFmtId="164" fontId="2" fillId="0" borderId="0" xfId="0" applyFont="1" applyAlignment="1">
      <alignment horizontal="centerContinuous"/>
    </xf>
    <xf numFmtId="49" fontId="2" fillId="8" borderId="0" xfId="0" applyNumberFormat="1" applyFont="1" applyFill="1" applyAlignment="1" applyProtection="1">
      <alignment horizontal="center"/>
      <protection locked="0"/>
    </xf>
    <xf numFmtId="49" fontId="2" fillId="8" borderId="0" xfId="0" applyNumberFormat="1" applyFont="1" applyFill="1" applyAlignment="1" applyProtection="1">
      <alignment horizontal="left"/>
      <protection locked="0"/>
    </xf>
    <xf numFmtId="1" fontId="2" fillId="8" borderId="0" xfId="0" applyNumberFormat="1" applyFont="1" applyFill="1" applyAlignment="1" applyProtection="1">
      <alignment horizontal="center"/>
      <protection locked="0"/>
    </xf>
    <xf numFmtId="3" fontId="9" fillId="5" borderId="14" xfId="0" applyNumberFormat="1" applyFont="1" applyFill="1" applyBorder="1"/>
    <xf numFmtId="3" fontId="10" fillId="6" borderId="5" xfId="0" applyNumberFormat="1" applyFont="1" applyFill="1" applyBorder="1"/>
    <xf numFmtId="3" fontId="9" fillId="5" borderId="15" xfId="0" applyNumberFormat="1" applyFont="1" applyFill="1" applyBorder="1"/>
    <xf numFmtId="165" fontId="4" fillId="0" borderId="0" xfId="0" applyNumberFormat="1" applyFont="1" applyAlignment="1">
      <alignment horizontal="left" vertical="top"/>
    </xf>
    <xf numFmtId="164" fontId="4" fillId="0" borderId="0" xfId="0" applyFont="1" applyAlignment="1">
      <alignment horizontal="left" vertical="top"/>
    </xf>
    <xf numFmtId="3" fontId="5" fillId="2" borderId="3" xfId="0" applyNumberFormat="1" applyFont="1" applyFill="1" applyBorder="1" applyAlignment="1">
      <alignment horizontal="centerContinuous"/>
    </xf>
    <xf numFmtId="3" fontId="3" fillId="2" borderId="4" xfId="0" applyNumberFormat="1" applyFont="1" applyFill="1" applyBorder="1" applyAlignment="1">
      <alignment horizontal="centerContinuous"/>
    </xf>
    <xf numFmtId="49" fontId="4" fillId="9" borderId="5" xfId="0" applyNumberFormat="1" applyFont="1" applyFill="1" applyBorder="1" applyAlignment="1">
      <alignment horizontal="left" vertical="top"/>
    </xf>
    <xf numFmtId="49" fontId="4" fillId="9" borderId="0" xfId="0" applyNumberFormat="1" applyFont="1" applyFill="1" applyAlignment="1">
      <alignment horizontal="left" vertical="top"/>
    </xf>
    <xf numFmtId="49" fontId="2" fillId="3" borderId="0" xfId="0" applyNumberFormat="1" applyFont="1" applyFill="1" applyAlignment="1">
      <alignment horizontal="center"/>
    </xf>
    <xf numFmtId="49" fontId="2" fillId="3" borderId="0" xfId="0" applyNumberFormat="1" applyFont="1" applyFill="1" applyAlignment="1">
      <alignment horizontal="left"/>
    </xf>
    <xf numFmtId="164" fontId="2" fillId="3" borderId="0" xfId="0" applyFont="1" applyFill="1" applyAlignment="1">
      <alignment horizontal="center" wrapText="1"/>
    </xf>
    <xf numFmtId="1" fontId="2" fillId="10" borderId="0" xfId="0" applyNumberFormat="1" applyFont="1" applyFill="1" applyAlignment="1" applyProtection="1">
      <alignment horizontal="center"/>
      <protection locked="0"/>
    </xf>
    <xf numFmtId="164" fontId="2" fillId="0" borderId="0" xfId="0" applyFont="1" applyAlignment="1">
      <alignment horizontal="left"/>
    </xf>
    <xf numFmtId="49" fontId="2" fillId="0" borderId="0" xfId="0" applyNumberFormat="1" applyFont="1" applyAlignment="1">
      <alignment horizontal="center"/>
    </xf>
    <xf numFmtId="49" fontId="2" fillId="0" borderId="0" xfId="0" applyNumberFormat="1" applyFont="1" applyAlignment="1">
      <alignment horizontal="left"/>
    </xf>
    <xf numFmtId="164" fontId="5" fillId="0" borderId="0" xfId="0" applyFont="1"/>
    <xf numFmtId="164" fontId="6" fillId="0" borderId="0" xfId="0" applyFont="1"/>
    <xf numFmtId="49" fontId="2" fillId="17" borderId="5" xfId="0" applyNumberFormat="1" applyFont="1" applyFill="1" applyBorder="1" applyAlignment="1" applyProtection="1">
      <alignment horizontal="center"/>
      <protection locked="0"/>
    </xf>
    <xf numFmtId="49" fontId="2" fillId="17" borderId="0" xfId="0" applyNumberFormat="1" applyFont="1" applyFill="1" applyAlignment="1" applyProtection="1">
      <alignment horizontal="left"/>
      <protection locked="0"/>
    </xf>
    <xf numFmtId="1" fontId="2" fillId="17" borderId="0" xfId="0" applyNumberFormat="1" applyFont="1" applyFill="1" applyAlignment="1" applyProtection="1">
      <alignment horizontal="center"/>
      <protection locked="0"/>
    </xf>
    <xf numFmtId="49" fontId="2" fillId="18" borderId="0" xfId="0" applyNumberFormat="1" applyFont="1" applyFill="1" applyAlignment="1" applyProtection="1">
      <alignment horizontal="left"/>
      <protection locked="0"/>
    </xf>
    <xf numFmtId="49" fontId="4" fillId="18" borderId="0" xfId="0" applyNumberFormat="1" applyFont="1" applyFill="1" applyAlignment="1" applyProtection="1">
      <alignment horizontal="left"/>
      <protection locked="0"/>
    </xf>
    <xf numFmtId="49" fontId="2" fillId="10" borderId="0" xfId="0" applyNumberFormat="1" applyFont="1" applyFill="1" applyAlignment="1" applyProtection="1">
      <alignment horizontal="left"/>
      <protection locked="0"/>
    </xf>
    <xf numFmtId="49" fontId="2" fillId="10" borderId="0" xfId="0" applyNumberFormat="1" applyFont="1" applyFill="1" applyAlignment="1" applyProtection="1">
      <alignment horizontal="center"/>
      <protection locked="0"/>
    </xf>
    <xf numFmtId="49" fontId="2" fillId="18" borderId="5" xfId="0" applyNumberFormat="1" applyFont="1" applyFill="1" applyBorder="1" applyAlignment="1" applyProtection="1">
      <alignment horizontal="center"/>
      <protection locked="0"/>
    </xf>
    <xf numFmtId="0" fontId="2" fillId="18" borderId="0" xfId="0" applyNumberFormat="1" applyFont="1" applyFill="1" applyAlignment="1" applyProtection="1">
      <alignment horizontal="center"/>
      <protection locked="0"/>
    </xf>
    <xf numFmtId="1" fontId="2" fillId="21" borderId="0" xfId="0" applyNumberFormat="1" applyFont="1" applyFill="1" applyAlignment="1" applyProtection="1">
      <alignment horizontal="center"/>
      <protection locked="0"/>
    </xf>
    <xf numFmtId="49" fontId="8" fillId="17" borderId="0" xfId="0" applyNumberFormat="1" applyFont="1" applyFill="1" applyAlignment="1" applyProtection="1">
      <alignment horizontal="left"/>
      <protection locked="0"/>
    </xf>
    <xf numFmtId="0" fontId="17" fillId="0" borderId="16" xfId="8" applyFont="1" applyBorder="1"/>
    <xf numFmtId="0" fontId="17" fillId="0" borderId="17" xfId="8" applyFont="1" applyBorder="1"/>
    <xf numFmtId="9" fontId="17" fillId="0" borderId="18" xfId="8" applyNumberFormat="1" applyFont="1" applyBorder="1"/>
    <xf numFmtId="9" fontId="17" fillId="0" borderId="17" xfId="8" applyNumberFormat="1" applyFont="1" applyBorder="1"/>
    <xf numFmtId="0" fontId="17" fillId="0" borderId="0" xfId="8" applyFont="1"/>
    <xf numFmtId="0" fontId="17" fillId="0" borderId="18" xfId="8" applyFont="1" applyBorder="1"/>
    <xf numFmtId="0" fontId="17" fillId="0" borderId="25" xfId="8" applyFont="1" applyBorder="1"/>
    <xf numFmtId="165" fontId="17" fillId="0" borderId="0" xfId="9" applyNumberFormat="1" applyFont="1"/>
    <xf numFmtId="165" fontId="17" fillId="0" borderId="1" xfId="9" applyNumberFormat="1" applyFont="1" applyBorder="1"/>
    <xf numFmtId="0" fontId="1" fillId="0" borderId="16" xfId="8" applyBorder="1"/>
    <xf numFmtId="0" fontId="1" fillId="0" borderId="17" xfId="8" applyBorder="1"/>
    <xf numFmtId="9" fontId="17" fillId="0" borderId="40" xfId="8" applyNumberFormat="1" applyFont="1" applyBorder="1"/>
    <xf numFmtId="0" fontId="1" fillId="0" borderId="0" xfId="8"/>
    <xf numFmtId="0" fontId="17" fillId="0" borderId="29" xfId="8" applyFont="1" applyBorder="1"/>
    <xf numFmtId="0" fontId="17" fillId="0" borderId="24" xfId="8" applyFont="1" applyBorder="1"/>
    <xf numFmtId="0" fontId="1" fillId="0" borderId="41" xfId="8" applyBorder="1"/>
    <xf numFmtId="0" fontId="17" fillId="0" borderId="41" xfId="8" applyFont="1" applyBorder="1"/>
    <xf numFmtId="0" fontId="1" fillId="0" borderId="18" xfId="8" applyBorder="1"/>
    <xf numFmtId="0" fontId="17" fillId="0" borderId="42" xfId="8" applyFont="1" applyBorder="1"/>
    <xf numFmtId="0" fontId="17" fillId="0" borderId="43" xfId="8" applyFont="1" applyBorder="1"/>
    <xf numFmtId="0" fontId="17" fillId="0" borderId="28" xfId="8" applyFont="1" applyBorder="1"/>
    <xf numFmtId="0" fontId="17" fillId="0" borderId="27" xfId="8" applyFont="1" applyBorder="1"/>
    <xf numFmtId="3" fontId="1" fillId="0" borderId="0" xfId="8" applyNumberFormat="1"/>
    <xf numFmtId="3" fontId="17" fillId="0" borderId="0" xfId="8" applyNumberFormat="1" applyFont="1"/>
    <xf numFmtId="3" fontId="17" fillId="0" borderId="30" xfId="8" applyNumberFormat="1" applyFont="1" applyBorder="1"/>
    <xf numFmtId="3" fontId="17" fillId="0" borderId="31" xfId="8" applyNumberFormat="1" applyFont="1" applyBorder="1"/>
    <xf numFmtId="3" fontId="17" fillId="0" borderId="44" xfId="8" applyNumberFormat="1" applyFont="1" applyBorder="1"/>
    <xf numFmtId="3" fontId="17" fillId="0" borderId="0" xfId="9" applyNumberFormat="1" applyFont="1"/>
    <xf numFmtId="3" fontId="1" fillId="0" borderId="45" xfId="8" applyNumberFormat="1" applyBorder="1"/>
    <xf numFmtId="3" fontId="17" fillId="0" borderId="1" xfId="8" applyNumberFormat="1" applyFont="1" applyBorder="1"/>
    <xf numFmtId="3" fontId="17" fillId="0" borderId="32" xfId="8" applyNumberFormat="1" applyFont="1" applyBorder="1"/>
    <xf numFmtId="3" fontId="17" fillId="0" borderId="33" xfId="8" applyNumberFormat="1" applyFont="1" applyBorder="1"/>
    <xf numFmtId="3" fontId="17" fillId="0" borderId="46" xfId="8" applyNumberFormat="1" applyFont="1" applyBorder="1"/>
    <xf numFmtId="3" fontId="1" fillId="0" borderId="1" xfId="8" applyNumberFormat="1" applyBorder="1"/>
    <xf numFmtId="3" fontId="17" fillId="0" borderId="47" xfId="8" applyNumberFormat="1" applyFont="1" applyBorder="1"/>
    <xf numFmtId="3" fontId="17" fillId="0" borderId="48" xfId="8" applyNumberFormat="1" applyFont="1" applyBorder="1"/>
    <xf numFmtId="3" fontId="17" fillId="0" borderId="5" xfId="8" applyNumberFormat="1" applyFont="1" applyBorder="1"/>
    <xf numFmtId="3" fontId="17" fillId="0" borderId="7" xfId="8" applyNumberFormat="1" applyFont="1" applyBorder="1"/>
    <xf numFmtId="3" fontId="17" fillId="0" borderId="0" xfId="9" applyNumberFormat="1" applyFont="1" applyAlignment="1">
      <alignment horizontal="right"/>
    </xf>
    <xf numFmtId="3" fontId="2" fillId="0" borderId="0" xfId="9" applyNumberFormat="1" applyFont="1"/>
    <xf numFmtId="3" fontId="1" fillId="0" borderId="0" xfId="9" applyNumberFormat="1"/>
    <xf numFmtId="3" fontId="19" fillId="0" borderId="0" xfId="9" applyNumberFormat="1" applyFont="1"/>
    <xf numFmtId="165" fontId="0" fillId="0" borderId="5" xfId="10" applyNumberFormat="1" applyFont="1" applyBorder="1"/>
    <xf numFmtId="165" fontId="0" fillId="0" borderId="0" xfId="10" applyNumberFormat="1" applyFont="1"/>
    <xf numFmtId="165" fontId="0" fillId="10" borderId="0" xfId="10" applyNumberFormat="1" applyFont="1" applyFill="1"/>
    <xf numFmtId="165" fontId="0" fillId="14" borderId="0" xfId="10" applyNumberFormat="1" applyFont="1" applyFill="1"/>
    <xf numFmtId="165" fontId="0" fillId="16" borderId="5" xfId="10" applyNumberFormat="1" applyFont="1" applyFill="1" applyBorder="1"/>
    <xf numFmtId="165" fontId="0" fillId="16" borderId="0" xfId="10" applyNumberFormat="1" applyFont="1" applyFill="1"/>
    <xf numFmtId="165" fontId="0" fillId="0" borderId="52" xfId="10" applyNumberFormat="1" applyFont="1" applyBorder="1"/>
    <xf numFmtId="165" fontId="0" fillId="0" borderId="50" xfId="10" applyNumberFormat="1" applyFont="1" applyBorder="1"/>
    <xf numFmtId="165" fontId="0" fillId="10" borderId="50" xfId="10" applyNumberFormat="1" applyFont="1" applyFill="1" applyBorder="1"/>
    <xf numFmtId="165" fontId="0" fillId="14" borderId="50" xfId="10" applyNumberFormat="1" applyFont="1" applyFill="1" applyBorder="1"/>
    <xf numFmtId="165" fontId="0" fillId="16" borderId="52" xfId="10" applyNumberFormat="1" applyFont="1" applyFill="1" applyBorder="1"/>
    <xf numFmtId="165" fontId="0" fillId="16" borderId="50" xfId="10" applyNumberFormat="1" applyFont="1" applyFill="1" applyBorder="1"/>
    <xf numFmtId="164" fontId="4" fillId="0" borderId="0" xfId="0" applyFont="1" applyAlignment="1">
      <alignment horizontal="left"/>
    </xf>
    <xf numFmtId="164" fontId="0" fillId="0" borderId="0" xfId="0" applyAlignment="1">
      <alignment horizontal="left"/>
    </xf>
    <xf numFmtId="164" fontId="0" fillId="10" borderId="5" xfId="0" applyFill="1" applyBorder="1"/>
    <xf numFmtId="164" fontId="0" fillId="10" borderId="0" xfId="0" applyFill="1"/>
    <xf numFmtId="164" fontId="0" fillId="14" borderId="5" xfId="0" applyFill="1" applyBorder="1"/>
    <xf numFmtId="164" fontId="0" fillId="14" borderId="0" xfId="0" applyFill="1"/>
    <xf numFmtId="164" fontId="0" fillId="16" borderId="5" xfId="0" applyFill="1" applyBorder="1"/>
    <xf numFmtId="164" fontId="0" fillId="16" borderId="0" xfId="0" applyFill="1"/>
    <xf numFmtId="164" fontId="0" fillId="10" borderId="52" xfId="0" applyFill="1" applyBorder="1" applyAlignment="1">
      <alignment horizontal="centerContinuous"/>
    </xf>
    <xf numFmtId="164" fontId="0" fillId="10" borderId="51" xfId="0" applyFill="1" applyBorder="1" applyAlignment="1">
      <alignment horizontal="centerContinuous"/>
    </xf>
    <xf numFmtId="164" fontId="0" fillId="10" borderId="50" xfId="0" applyFill="1" applyBorder="1" applyAlignment="1">
      <alignment horizontal="centerContinuous"/>
    </xf>
    <xf numFmtId="164" fontId="0" fillId="14" borderId="52" xfId="0" applyFill="1" applyBorder="1" applyAlignment="1">
      <alignment horizontal="centerContinuous"/>
    </xf>
    <xf numFmtId="164" fontId="0" fillId="14" borderId="50" xfId="0" applyFill="1" applyBorder="1" applyAlignment="1">
      <alignment horizontal="centerContinuous"/>
    </xf>
    <xf numFmtId="164" fontId="0" fillId="16" borderId="52" xfId="0" applyFill="1" applyBorder="1" applyAlignment="1">
      <alignment horizontal="centerContinuous"/>
    </xf>
    <xf numFmtId="164" fontId="0" fillId="16" borderId="50" xfId="0" applyFill="1" applyBorder="1" applyAlignment="1">
      <alignment horizontal="centerContinuous"/>
    </xf>
    <xf numFmtId="1" fontId="0" fillId="23" borderId="50" xfId="0" applyNumberFormat="1" applyFill="1" applyBorder="1" applyAlignment="1">
      <alignment horizontal="left"/>
    </xf>
    <xf numFmtId="1" fontId="2" fillId="23" borderId="23" xfId="0" applyNumberFormat="1" applyFont="1" applyFill="1" applyBorder="1" applyAlignment="1">
      <alignment horizontal="center"/>
    </xf>
    <xf numFmtId="1" fontId="2" fillId="23" borderId="53" xfId="0" applyNumberFormat="1" applyFont="1" applyFill="1" applyBorder="1" applyAlignment="1">
      <alignment horizontal="center"/>
    </xf>
    <xf numFmtId="1" fontId="0" fillId="23" borderId="23" xfId="0" applyNumberFormat="1" applyFill="1" applyBorder="1" applyAlignment="1">
      <alignment horizontal="center"/>
    </xf>
    <xf numFmtId="1" fontId="0" fillId="23" borderId="53" xfId="0" applyNumberFormat="1" applyFill="1" applyBorder="1" applyAlignment="1">
      <alignment horizontal="center"/>
    </xf>
    <xf numFmtId="1" fontId="0" fillId="23" borderId="54" xfId="0" applyNumberFormat="1" applyFill="1" applyBorder="1" applyAlignment="1">
      <alignment horizontal="center"/>
    </xf>
    <xf numFmtId="1" fontId="0" fillId="23" borderId="0" xfId="0" applyNumberFormat="1" applyFill="1"/>
    <xf numFmtId="164" fontId="0" fillId="0" borderId="50" xfId="0" applyBorder="1" applyAlignment="1">
      <alignment horizontal="left"/>
    </xf>
    <xf numFmtId="164" fontId="0" fillId="23" borderId="0" xfId="0" applyFill="1" applyAlignment="1">
      <alignment horizontal="left"/>
    </xf>
    <xf numFmtId="164" fontId="0" fillId="23" borderId="0" xfId="0" applyFill="1"/>
    <xf numFmtId="37" fontId="7" fillId="0" borderId="0" xfId="8" applyNumberFormat="1" applyFont="1" applyAlignment="1">
      <alignment horizontal="centerContinuous"/>
    </xf>
    <xf numFmtId="0" fontId="20" fillId="0" borderId="0" xfId="8" applyFont="1" applyAlignment="1">
      <alignment horizontal="centerContinuous"/>
    </xf>
    <xf numFmtId="0" fontId="2" fillId="0" borderId="0" xfId="8" applyFont="1" applyAlignment="1">
      <alignment horizontal="centerContinuous"/>
    </xf>
    <xf numFmtId="165" fontId="21" fillId="0" borderId="0" xfId="10" applyNumberFormat="1" applyFont="1" applyAlignment="1">
      <alignment horizontal="left"/>
    </xf>
    <xf numFmtId="165" fontId="21" fillId="0" borderId="0" xfId="10" applyNumberFormat="1" applyFont="1" applyAlignment="1">
      <alignment horizontal="centerContinuous"/>
    </xf>
    <xf numFmtId="0" fontId="2" fillId="0" borderId="0" xfId="8" applyFont="1"/>
    <xf numFmtId="37" fontId="4" fillId="0" borderId="0" xfId="8" applyNumberFormat="1" applyFont="1" applyAlignment="1">
      <alignment horizontal="centerContinuous"/>
    </xf>
    <xf numFmtId="0" fontId="1" fillId="0" borderId="0" xfId="8" applyAlignment="1">
      <alignment vertical="top" wrapText="1"/>
    </xf>
    <xf numFmtId="37" fontId="23" fillId="0" borderId="0" xfId="8" applyNumberFormat="1" applyFont="1" applyAlignment="1">
      <alignment horizontal="centerContinuous"/>
    </xf>
    <xf numFmtId="165" fontId="24" fillId="0" borderId="0" xfId="10" applyNumberFormat="1" applyFont="1" applyAlignment="1">
      <alignment horizontal="left"/>
    </xf>
    <xf numFmtId="165" fontId="24" fillId="0" borderId="0" xfId="10" applyNumberFormat="1" applyFont="1" applyAlignment="1">
      <alignment horizontal="centerContinuous"/>
    </xf>
    <xf numFmtId="0" fontId="2" fillId="0" borderId="50" xfId="8" applyFont="1" applyBorder="1"/>
    <xf numFmtId="3" fontId="2" fillId="0" borderId="50" xfId="8" applyNumberFormat="1" applyFont="1" applyBorder="1"/>
    <xf numFmtId="0" fontId="2" fillId="0" borderId="50" xfId="8" applyFont="1" applyBorder="1" applyAlignment="1">
      <alignment horizontal="left"/>
    </xf>
    <xf numFmtId="3" fontId="2" fillId="0" borderId="0" xfId="8" applyNumberFormat="1" applyFont="1"/>
    <xf numFmtId="165" fontId="24" fillId="0" borderId="0" xfId="10" applyNumberFormat="1" applyFont="1"/>
    <xf numFmtId="37" fontId="25" fillId="0" borderId="0" xfId="8" applyNumberFormat="1" applyFont="1"/>
    <xf numFmtId="0" fontId="25" fillId="0" borderId="54" xfId="8" applyFont="1" applyBorder="1" applyAlignment="1">
      <alignment horizontal="centerContinuous"/>
    </xf>
    <xf numFmtId="0" fontId="25" fillId="0" borderId="0" xfId="8" applyFont="1" applyAlignment="1">
      <alignment horizontal="centerContinuous"/>
    </xf>
    <xf numFmtId="165" fontId="26" fillId="0" borderId="0" xfId="10" applyNumberFormat="1" applyFont="1" applyAlignment="1">
      <alignment horizontal="left"/>
    </xf>
    <xf numFmtId="165" fontId="27" fillId="0" borderId="0" xfId="10" applyNumberFormat="1" applyFont="1" applyAlignment="1">
      <alignment horizontal="centerContinuous"/>
    </xf>
    <xf numFmtId="0" fontId="25" fillId="0" borderId="0" xfId="8" applyFont="1"/>
    <xf numFmtId="0" fontId="25" fillId="0" borderId="23" xfId="8" applyFont="1" applyBorder="1" applyAlignment="1">
      <alignment horizontal="center"/>
    </xf>
    <xf numFmtId="0" fontId="25" fillId="0" borderId="54" xfId="8" applyFont="1" applyBorder="1" applyAlignment="1">
      <alignment horizontal="center"/>
    </xf>
    <xf numFmtId="0" fontId="25" fillId="0" borderId="26" xfId="8" applyFont="1" applyBorder="1" applyAlignment="1">
      <alignment horizontal="centerContinuous"/>
    </xf>
    <xf numFmtId="0" fontId="25" fillId="0" borderId="54" xfId="8" applyFont="1" applyBorder="1" applyAlignment="1">
      <alignment horizontal="center" wrapText="1"/>
    </xf>
    <xf numFmtId="0" fontId="25" fillId="0" borderId="53" xfId="8" applyFont="1" applyBorder="1" applyAlignment="1">
      <alignment horizontal="center" wrapText="1"/>
    </xf>
    <xf numFmtId="0" fontId="25" fillId="0" borderId="55" xfId="8" applyFont="1" applyBorder="1" applyAlignment="1">
      <alignment horizontal="center" wrapText="1"/>
    </xf>
    <xf numFmtId="0" fontId="25" fillId="0" borderId="23" xfId="8" applyFont="1" applyBorder="1" applyAlignment="1">
      <alignment horizontal="centerContinuous"/>
    </xf>
    <xf numFmtId="0" fontId="25" fillId="0" borderId="53" xfId="8" applyFont="1" applyBorder="1" applyAlignment="1">
      <alignment horizontal="centerContinuous"/>
    </xf>
    <xf numFmtId="0" fontId="25" fillId="0" borderId="52" xfId="8" applyFont="1" applyBorder="1" applyAlignment="1">
      <alignment horizontal="center" wrapText="1"/>
    </xf>
    <xf numFmtId="3" fontId="27" fillId="0" borderId="0" xfId="8" applyNumberFormat="1" applyFont="1"/>
    <xf numFmtId="0" fontId="27" fillId="0" borderId="0" xfId="8" applyFont="1"/>
    <xf numFmtId="0" fontId="2" fillId="0" borderId="22" xfId="8" applyFont="1" applyBorder="1" applyAlignment="1">
      <alignment horizontal="left"/>
    </xf>
    <xf numFmtId="169" fontId="2" fillId="0" borderId="0" xfId="11" applyNumberFormat="1" applyFont="1" applyAlignment="1">
      <alignment horizontal="right"/>
    </xf>
    <xf numFmtId="169" fontId="9" fillId="0" borderId="56" xfId="10" applyNumberFormat="1" applyFont="1" applyBorder="1" applyAlignment="1">
      <alignment horizontal="right"/>
    </xf>
    <xf numFmtId="170" fontId="2" fillId="0" borderId="57" xfId="11" applyNumberFormat="1" applyFont="1" applyBorder="1" applyAlignment="1">
      <alignment horizontal="right"/>
    </xf>
    <xf numFmtId="169" fontId="2" fillId="0" borderId="22" xfId="8" applyNumberFormat="1" applyFont="1" applyBorder="1"/>
    <xf numFmtId="169" fontId="2" fillId="0" borderId="57" xfId="11" applyNumberFormat="1" applyFont="1" applyBorder="1" applyAlignment="1">
      <alignment horizontal="right"/>
    </xf>
    <xf numFmtId="168" fontId="24" fillId="0" borderId="0" xfId="10" applyNumberFormat="1" applyFont="1" applyAlignment="1">
      <alignment horizontal="right"/>
    </xf>
    <xf numFmtId="169" fontId="2" fillId="0" borderId="0" xfId="8" applyNumberFormat="1" applyFont="1"/>
    <xf numFmtId="2" fontId="2" fillId="0" borderId="49" xfId="11" applyNumberFormat="1" applyFont="1" applyBorder="1" applyAlignment="1">
      <alignment horizontal="right"/>
    </xf>
    <xf numFmtId="169" fontId="2" fillId="0" borderId="49" xfId="11" applyNumberFormat="1" applyFont="1" applyBorder="1" applyAlignment="1">
      <alignment horizontal="right"/>
    </xf>
    <xf numFmtId="170" fontId="2" fillId="0" borderId="0" xfId="11" applyNumberFormat="1" applyFont="1" applyAlignment="1">
      <alignment horizontal="right"/>
    </xf>
    <xf numFmtId="171" fontId="2" fillId="0" borderId="49" xfId="11" applyNumberFormat="1" applyFont="1" applyBorder="1" applyAlignment="1">
      <alignment horizontal="right"/>
    </xf>
    <xf numFmtId="170" fontId="2" fillId="0" borderId="49" xfId="11" applyNumberFormat="1" applyFont="1" applyBorder="1" applyAlignment="1">
      <alignment horizontal="right"/>
    </xf>
    <xf numFmtId="2" fontId="2" fillId="0" borderId="0" xfId="11" applyNumberFormat="1" applyFont="1" applyAlignment="1">
      <alignment horizontal="right"/>
    </xf>
    <xf numFmtId="169" fontId="2" fillId="0" borderId="50" xfId="11" applyNumberFormat="1" applyFont="1" applyBorder="1" applyAlignment="1">
      <alignment horizontal="right"/>
    </xf>
    <xf numFmtId="169" fontId="9" fillId="0" borderId="58" xfId="10" applyNumberFormat="1" applyFont="1" applyBorder="1" applyAlignment="1">
      <alignment horizontal="right"/>
    </xf>
    <xf numFmtId="169" fontId="2" fillId="0" borderId="51" xfId="11" applyNumberFormat="1" applyFont="1" applyBorder="1" applyAlignment="1">
      <alignment horizontal="right"/>
    </xf>
    <xf numFmtId="169" fontId="2" fillId="0" borderId="50" xfId="8" applyNumberFormat="1" applyFont="1" applyBorder="1"/>
    <xf numFmtId="0" fontId="30" fillId="0" borderId="0" xfId="8" applyFont="1" applyAlignment="1">
      <alignment wrapText="1"/>
    </xf>
    <xf numFmtId="0" fontId="22" fillId="0" borderId="0" xfId="8" applyFont="1"/>
    <xf numFmtId="0" fontId="30" fillId="0" borderId="0" xfId="8" applyFont="1" applyAlignment="1">
      <alignment vertical="top"/>
    </xf>
    <xf numFmtId="168" fontId="22" fillId="0" borderId="0" xfId="10" applyNumberFormat="1" applyFont="1" applyAlignment="1">
      <alignment horizontal="right"/>
    </xf>
    <xf numFmtId="168" fontId="22" fillId="0" borderId="0" xfId="10" applyNumberFormat="1" applyFont="1" applyAlignment="1">
      <alignment horizontal="right" indent="1"/>
    </xf>
    <xf numFmtId="169" fontId="22" fillId="0" borderId="0" xfId="8" applyNumberFormat="1" applyFont="1"/>
    <xf numFmtId="0" fontId="30" fillId="0" borderId="0" xfId="8" applyFont="1" applyAlignment="1">
      <alignment vertical="top" wrapText="1"/>
    </xf>
    <xf numFmtId="49" fontId="22" fillId="0" borderId="0" xfId="8" quotePrefix="1" applyNumberFormat="1" applyFont="1" applyAlignment="1">
      <alignment horizontal="right"/>
    </xf>
    <xf numFmtId="3" fontId="25" fillId="0" borderId="0" xfId="8" applyNumberFormat="1" applyFont="1"/>
    <xf numFmtId="0" fontId="2" fillId="0" borderId="22" xfId="8" applyFont="1" applyBorder="1"/>
    <xf numFmtId="171" fontId="2" fillId="0" borderId="0" xfId="11" applyNumberFormat="1" applyFont="1" applyAlignment="1">
      <alignment horizontal="right"/>
    </xf>
    <xf numFmtId="171" fontId="2" fillId="0" borderId="50" xfId="11" applyNumberFormat="1" applyFont="1" applyBorder="1" applyAlignment="1">
      <alignment horizontal="right"/>
    </xf>
    <xf numFmtId="0" fontId="30" fillId="0" borderId="0" xfId="8" applyFont="1"/>
    <xf numFmtId="168" fontId="22" fillId="0" borderId="0" xfId="8" applyNumberFormat="1" applyFont="1"/>
    <xf numFmtId="0" fontId="22" fillId="0" borderId="0" xfId="8" applyFont="1" applyAlignment="1">
      <alignment horizontal="centerContinuous"/>
    </xf>
    <xf numFmtId="0" fontId="17" fillId="0" borderId="0" xfId="8" applyFont="1" applyAlignment="1">
      <alignment vertical="top" wrapText="1"/>
    </xf>
    <xf numFmtId="2" fontId="2" fillId="0" borderId="57" xfId="11" applyNumberFormat="1" applyFont="1" applyBorder="1" applyAlignment="1">
      <alignment horizontal="right"/>
    </xf>
    <xf numFmtId="2" fontId="2" fillId="0" borderId="50" xfId="11" applyNumberFormat="1" applyFont="1" applyBorder="1" applyAlignment="1">
      <alignment horizontal="right"/>
    </xf>
    <xf numFmtId="169" fontId="31" fillId="0" borderId="0" xfId="12" applyNumberFormat="1" applyFill="1" applyAlignment="1">
      <alignment horizontal="right"/>
    </xf>
    <xf numFmtId="2" fontId="2" fillId="0" borderId="51" xfId="11" applyNumberFormat="1" applyFont="1" applyBorder="1" applyAlignment="1">
      <alignment horizontal="right"/>
    </xf>
    <xf numFmtId="0" fontId="2" fillId="0" borderId="0" xfId="8" applyFont="1" applyAlignment="1">
      <alignment horizontal="left"/>
    </xf>
    <xf numFmtId="1" fontId="2" fillId="0" borderId="0" xfId="8" applyNumberFormat="1" applyFont="1"/>
    <xf numFmtId="169" fontId="2" fillId="0" borderId="0" xfId="10" applyNumberFormat="1"/>
    <xf numFmtId="168" fontId="32" fillId="0" borderId="0" xfId="10" applyNumberFormat="1" applyFont="1" applyAlignment="1">
      <alignment horizontal="right"/>
    </xf>
    <xf numFmtId="165" fontId="32" fillId="0" borderId="0" xfId="10" applyNumberFormat="1" applyFont="1"/>
    <xf numFmtId="169" fontId="2" fillId="0" borderId="0" xfId="10" applyNumberFormat="1" applyAlignment="1">
      <alignment horizontal="right"/>
    </xf>
    <xf numFmtId="169" fontId="2" fillId="0" borderId="0" xfId="10" applyNumberFormat="1" applyAlignment="1">
      <alignment horizontal="right" indent="1"/>
    </xf>
    <xf numFmtId="0" fontId="32" fillId="0" borderId="0" xfId="8" applyFont="1"/>
    <xf numFmtId="0" fontId="22" fillId="0" borderId="0" xfId="8" applyFont="1" applyAlignment="1">
      <alignment horizontal="left"/>
    </xf>
    <xf numFmtId="169" fontId="2" fillId="0" borderId="0" xfId="11" quotePrefix="1" applyNumberFormat="1" applyFont="1" applyAlignment="1">
      <alignment horizontal="left"/>
    </xf>
    <xf numFmtId="0" fontId="1" fillId="0" borderId="0" xfId="8" applyAlignment="1">
      <alignment wrapText="1"/>
    </xf>
    <xf numFmtId="165" fontId="32" fillId="0" borderId="0" xfId="10" applyNumberFormat="1" applyFont="1" applyAlignment="1">
      <alignment horizontal="left"/>
    </xf>
    <xf numFmtId="165" fontId="2" fillId="0" borderId="0" xfId="10" applyNumberFormat="1" applyAlignment="1">
      <alignment horizontal="left"/>
    </xf>
    <xf numFmtId="0" fontId="24" fillId="0" borderId="0" xfId="8" applyFont="1"/>
    <xf numFmtId="165" fontId="34" fillId="0" borderId="0" xfId="10" applyNumberFormat="1" applyFont="1" applyAlignment="1">
      <alignment horizontal="left"/>
    </xf>
    <xf numFmtId="165" fontId="25" fillId="0" borderId="0" xfId="10" applyNumberFormat="1" applyFont="1" applyAlignment="1">
      <alignment horizontal="centerContinuous"/>
    </xf>
    <xf numFmtId="169" fontId="2" fillId="0" borderId="0" xfId="11" quotePrefix="1" applyNumberFormat="1" applyFont="1" applyAlignment="1">
      <alignment horizontal="right"/>
    </xf>
    <xf numFmtId="169" fontId="24" fillId="0" borderId="0" xfId="8" applyNumberFormat="1" applyFont="1"/>
    <xf numFmtId="1" fontId="24" fillId="0" borderId="0" xfId="8" applyNumberFormat="1" applyFont="1"/>
    <xf numFmtId="172" fontId="2" fillId="0" borderId="0" xfId="11" applyNumberFormat="1" applyFont="1" applyAlignment="1">
      <alignment horizontal="right"/>
    </xf>
    <xf numFmtId="169" fontId="32" fillId="0" borderId="0" xfId="8" applyNumberFormat="1" applyFont="1"/>
    <xf numFmtId="3" fontId="24" fillId="0" borderId="0" xfId="8" applyNumberFormat="1" applyFont="1"/>
    <xf numFmtId="0" fontId="17" fillId="0" borderId="0" xfId="8" applyFont="1" applyAlignment="1">
      <alignment wrapText="1"/>
    </xf>
    <xf numFmtId="49" fontId="7" fillId="0" borderId="0" xfId="8" applyNumberFormat="1" applyFont="1" applyAlignment="1" applyProtection="1">
      <alignment horizontal="centerContinuous"/>
      <protection locked="0"/>
    </xf>
    <xf numFmtId="0" fontId="1" fillId="0" borderId="0" xfId="8" applyAlignment="1">
      <alignment horizontal="centerContinuous"/>
    </xf>
    <xf numFmtId="0" fontId="17" fillId="0" borderId="0" xfId="8" applyFont="1" applyAlignment="1">
      <alignment horizontal="centerContinuous"/>
    </xf>
    <xf numFmtId="37" fontId="35" fillId="0" borderId="0" xfId="8" applyNumberFormat="1" applyFont="1" applyAlignment="1">
      <alignment horizontal="centerContinuous"/>
    </xf>
    <xf numFmtId="37" fontId="36" fillId="0" borderId="50" xfId="8" applyNumberFormat="1" applyFont="1" applyBorder="1"/>
    <xf numFmtId="0" fontId="1" fillId="0" borderId="50" xfId="8" applyBorder="1"/>
    <xf numFmtId="0" fontId="17" fillId="0" borderId="50" xfId="8" applyFont="1" applyBorder="1"/>
    <xf numFmtId="37" fontId="36" fillId="0" borderId="54" xfId="8" applyNumberFormat="1" applyFont="1" applyBorder="1"/>
    <xf numFmtId="0" fontId="4" fillId="0" borderId="54" xfId="8" applyFont="1" applyBorder="1" applyAlignment="1">
      <alignment horizontal="center"/>
    </xf>
    <xf numFmtId="0" fontId="4" fillId="0" borderId="23" xfId="8" applyFont="1" applyBorder="1" applyAlignment="1">
      <alignment horizontal="center"/>
    </xf>
    <xf numFmtId="0" fontId="4" fillId="0" borderId="23" xfId="8" applyFont="1" applyBorder="1" applyAlignment="1">
      <alignment horizontal="centerContinuous"/>
    </xf>
    <xf numFmtId="0" fontId="4" fillId="0" borderId="54" xfId="8" applyFont="1" applyBorder="1" applyAlignment="1">
      <alignment horizontal="centerContinuous"/>
    </xf>
    <xf numFmtId="0" fontId="4" fillId="0" borderId="0" xfId="8" applyFont="1"/>
    <xf numFmtId="37" fontId="36" fillId="0" borderId="54" xfId="8" applyNumberFormat="1" applyFont="1" applyBorder="1" applyAlignment="1">
      <alignment horizontal="center"/>
    </xf>
    <xf numFmtId="0" fontId="4" fillId="0" borderId="55" xfId="8" applyFont="1" applyBorder="1" applyAlignment="1">
      <alignment horizontal="center"/>
    </xf>
    <xf numFmtId="0" fontId="4" fillId="0" borderId="23" xfId="8" applyFont="1" applyBorder="1" applyAlignment="1">
      <alignment horizontal="center" wrapText="1"/>
    </xf>
    <xf numFmtId="0" fontId="4" fillId="0" borderId="0" xfId="8" applyFont="1" applyAlignment="1">
      <alignment horizontal="center"/>
    </xf>
    <xf numFmtId="169" fontId="2" fillId="0" borderId="0" xfId="8" applyNumberFormat="1" applyFont="1" applyAlignment="1">
      <alignment horizontal="center"/>
    </xf>
    <xf numFmtId="169" fontId="2" fillId="0" borderId="59" xfId="8" applyNumberFormat="1" applyFont="1" applyBorder="1" applyAlignment="1">
      <alignment horizontal="center"/>
    </xf>
    <xf numFmtId="169" fontId="2" fillId="0" borderId="31" xfId="8" applyNumberFormat="1" applyFont="1" applyBorder="1" applyAlignment="1">
      <alignment horizontal="center"/>
    </xf>
    <xf numFmtId="169" fontId="2" fillId="0" borderId="31" xfId="8" applyNumberFormat="1" applyFont="1" applyBorder="1"/>
    <xf numFmtId="169" fontId="2" fillId="0" borderId="26" xfId="8" applyNumberFormat="1" applyFont="1" applyBorder="1" applyAlignment="1">
      <alignment horizontal="center"/>
    </xf>
    <xf numFmtId="169" fontId="2" fillId="0" borderId="56" xfId="8" applyNumberFormat="1" applyFont="1" applyBorder="1" applyAlignment="1">
      <alignment horizontal="center"/>
    </xf>
    <xf numFmtId="169" fontId="2" fillId="0" borderId="50" xfId="8" applyNumberFormat="1" applyFont="1" applyBorder="1" applyAlignment="1">
      <alignment horizontal="center"/>
    </xf>
    <xf numFmtId="169" fontId="2" fillId="0" borderId="58" xfId="8" applyNumberFormat="1" applyFont="1" applyBorder="1" applyAlignment="1">
      <alignment horizontal="center"/>
    </xf>
    <xf numFmtId="169" fontId="2" fillId="0" borderId="52" xfId="8" applyNumberFormat="1" applyFont="1" applyBorder="1" applyAlignment="1">
      <alignment horizontal="center"/>
    </xf>
    <xf numFmtId="169" fontId="2" fillId="0" borderId="51" xfId="8" applyNumberFormat="1" applyFont="1" applyBorder="1" applyAlignment="1">
      <alignment horizontal="center"/>
    </xf>
    <xf numFmtId="169" fontId="2" fillId="0" borderId="52" xfId="8" applyNumberFormat="1" applyFont="1" applyBorder="1"/>
    <xf numFmtId="49" fontId="22" fillId="0" borderId="0" xfId="8" applyNumberFormat="1" applyFont="1" applyAlignment="1">
      <alignment horizontal="right"/>
    </xf>
    <xf numFmtId="37" fontId="35" fillId="0" borderId="0" xfId="8" applyNumberFormat="1" applyFont="1" applyAlignment="1">
      <alignment horizontal="center"/>
    </xf>
    <xf numFmtId="37" fontId="36" fillId="0" borderId="0" xfId="8" applyNumberFormat="1" applyFont="1" applyAlignment="1">
      <alignment horizontal="centerContinuous"/>
    </xf>
    <xf numFmtId="0" fontId="4" fillId="0" borderId="53" xfId="8" applyFont="1" applyBorder="1" applyAlignment="1">
      <alignment horizontal="centerContinuous"/>
    </xf>
    <xf numFmtId="0" fontId="2" fillId="0" borderId="31" xfId="8" applyFont="1" applyBorder="1"/>
    <xf numFmtId="0" fontId="22" fillId="0" borderId="31" xfId="8" applyFont="1" applyBorder="1"/>
    <xf numFmtId="169" fontId="17" fillId="0" borderId="31" xfId="8" applyNumberFormat="1" applyFont="1" applyBorder="1" applyAlignment="1">
      <alignment horizontal="center"/>
    </xf>
    <xf numFmtId="0" fontId="17" fillId="0" borderId="0" xfId="8" applyFont="1" applyAlignment="1">
      <alignment horizontal="center"/>
    </xf>
    <xf numFmtId="0" fontId="1" fillId="0" borderId="0" xfId="8" applyAlignment="1">
      <alignment horizontal="center"/>
    </xf>
    <xf numFmtId="0" fontId="2" fillId="0" borderId="0" xfId="8" applyFont="1" applyAlignment="1">
      <alignment horizontal="center"/>
    </xf>
    <xf numFmtId="37" fontId="36" fillId="0" borderId="50" xfId="8" applyNumberFormat="1" applyFont="1" applyBorder="1" applyAlignment="1">
      <alignment horizontal="centerContinuous"/>
    </xf>
    <xf numFmtId="0" fontId="1" fillId="0" borderId="50" xfId="8" applyBorder="1" applyAlignment="1">
      <alignment horizontal="centerContinuous"/>
    </xf>
    <xf numFmtId="169" fontId="2" fillId="0" borderId="22" xfId="8" applyNumberFormat="1" applyFont="1" applyBorder="1" applyAlignment="1">
      <alignment horizontal="center"/>
    </xf>
    <xf numFmtId="169" fontId="17" fillId="0" borderId="0" xfId="8" applyNumberFormat="1" applyFont="1"/>
    <xf numFmtId="169" fontId="1" fillId="0" borderId="0" xfId="8" applyNumberFormat="1"/>
    <xf numFmtId="0" fontId="17" fillId="0" borderId="0" xfId="8" applyFont="1" applyAlignment="1" applyProtection="1">
      <alignment vertical="center" wrapText="1"/>
      <protection locked="0"/>
    </xf>
    <xf numFmtId="0" fontId="1" fillId="0" borderId="0" xfId="8" applyAlignment="1" applyProtection="1">
      <alignment vertical="center" wrapText="1"/>
      <protection locked="0"/>
    </xf>
    <xf numFmtId="37" fontId="4" fillId="0" borderId="50" xfId="8" applyNumberFormat="1" applyFont="1" applyBorder="1"/>
    <xf numFmtId="37" fontId="25" fillId="0" borderId="54" xfId="8" applyNumberFormat="1" applyFont="1" applyBorder="1"/>
    <xf numFmtId="37" fontId="25" fillId="0" borderId="54" xfId="8" applyNumberFormat="1" applyFont="1" applyBorder="1" applyAlignment="1">
      <alignment horizontal="center"/>
    </xf>
    <xf numFmtId="0" fontId="25" fillId="0" borderId="55" xfId="8" applyFont="1" applyBorder="1" applyAlignment="1">
      <alignment horizontal="center"/>
    </xf>
    <xf numFmtId="0" fontId="25" fillId="0" borderId="23" xfId="8" applyFont="1" applyBorder="1" applyAlignment="1">
      <alignment horizontal="center" wrapText="1"/>
    </xf>
    <xf numFmtId="169" fontId="17" fillId="0" borderId="0" xfId="8" applyNumberFormat="1" applyFont="1" applyAlignment="1">
      <alignment horizontal="right"/>
    </xf>
    <xf numFmtId="37" fontId="23" fillId="0" borderId="0" xfId="8" applyNumberFormat="1" applyFont="1" applyAlignment="1">
      <alignment horizontal="center"/>
    </xf>
    <xf numFmtId="0" fontId="8" fillId="0" borderId="0" xfId="8" applyFont="1" applyAlignment="1">
      <alignment horizontal="center"/>
    </xf>
    <xf numFmtId="0" fontId="8" fillId="0" borderId="0" xfId="8" applyFont="1"/>
    <xf numFmtId="169" fontId="19" fillId="0" borderId="0" xfId="8" applyNumberFormat="1" applyFont="1"/>
    <xf numFmtId="169" fontId="2" fillId="0" borderId="0" xfId="8" applyNumberFormat="1" applyFont="1" applyAlignment="1">
      <alignment horizontal="right"/>
    </xf>
    <xf numFmtId="2" fontId="2" fillId="0" borderId="0" xfId="8" applyNumberFormat="1" applyFont="1" applyAlignment="1">
      <alignment horizontal="right"/>
    </xf>
    <xf numFmtId="37" fontId="4" fillId="0" borderId="54" xfId="8" applyNumberFormat="1" applyFont="1" applyBorder="1"/>
    <xf numFmtId="37" fontId="4" fillId="0" borderId="54" xfId="8" applyNumberFormat="1" applyFont="1" applyBorder="1" applyAlignment="1">
      <alignment horizontal="center"/>
    </xf>
    <xf numFmtId="3" fontId="10" fillId="6" borderId="56" xfId="0" applyNumberFormat="1" applyFont="1" applyFill="1" applyBorder="1"/>
    <xf numFmtId="164" fontId="4" fillId="0" borderId="52" xfId="0" applyFont="1" applyBorder="1" applyAlignment="1">
      <alignment horizontal="centerContinuous" wrapText="1"/>
    </xf>
    <xf numFmtId="164" fontId="6" fillId="0" borderId="50" xfId="0" applyFont="1" applyBorder="1" applyAlignment="1">
      <alignment horizontal="centerContinuous"/>
    </xf>
    <xf numFmtId="164" fontId="10" fillId="0" borderId="52" xfId="0" applyFont="1" applyBorder="1" applyAlignment="1">
      <alignment horizontal="centerContinuous" wrapText="1"/>
    </xf>
    <xf numFmtId="164" fontId="5" fillId="0" borderId="58" xfId="0" applyFont="1" applyBorder="1" applyAlignment="1">
      <alignment horizontal="center" wrapText="1"/>
    </xf>
    <xf numFmtId="164" fontId="4" fillId="0" borderId="58" xfId="0" applyFont="1" applyBorder="1" applyAlignment="1">
      <alignment horizontal="centerContinuous" wrapText="1"/>
    </xf>
    <xf numFmtId="9" fontId="17" fillId="0" borderId="19" xfId="8" applyNumberFormat="1" applyFont="1" applyBorder="1"/>
    <xf numFmtId="0" fontId="1" fillId="0" borderId="5" xfId="8" applyBorder="1"/>
    <xf numFmtId="0" fontId="17" fillId="0" borderId="20" xfId="8" applyFont="1" applyBorder="1"/>
    <xf numFmtId="0" fontId="17" fillId="0" borderId="21" xfId="8" applyFont="1" applyBorder="1"/>
    <xf numFmtId="0" fontId="17" fillId="0" borderId="22" xfId="8" applyFont="1" applyBorder="1"/>
    <xf numFmtId="0" fontId="17" fillId="0" borderId="23" xfId="8" applyFont="1" applyBorder="1"/>
    <xf numFmtId="9" fontId="17" fillId="0" borderId="24" xfId="8" applyNumberFormat="1" applyFont="1" applyBorder="1"/>
    <xf numFmtId="9" fontId="17" fillId="0" borderId="16" xfId="8" applyNumberFormat="1" applyFont="1" applyBorder="1"/>
    <xf numFmtId="0" fontId="17" fillId="0" borderId="26" xfId="8" applyFont="1" applyBorder="1"/>
    <xf numFmtId="0" fontId="17" fillId="0" borderId="5" xfId="8" applyFont="1" applyBorder="1"/>
    <xf numFmtId="9" fontId="17" fillId="0" borderId="27" xfId="8" applyNumberFormat="1" applyFont="1" applyBorder="1"/>
    <xf numFmtId="9" fontId="17" fillId="0" borderId="28" xfId="8" applyNumberFormat="1" applyFont="1" applyBorder="1"/>
    <xf numFmtId="0" fontId="18" fillId="0" borderId="16" xfId="8" applyFont="1" applyBorder="1"/>
    <xf numFmtId="166" fontId="17" fillId="0" borderId="16" xfId="8" applyNumberFormat="1" applyFont="1" applyBorder="1"/>
    <xf numFmtId="166" fontId="17" fillId="0" borderId="18" xfId="8" applyNumberFormat="1" applyFont="1" applyBorder="1"/>
    <xf numFmtId="166" fontId="17" fillId="0" borderId="29" xfId="8" applyNumberFormat="1" applyFont="1" applyBorder="1"/>
    <xf numFmtId="0" fontId="18" fillId="0" borderId="25" xfId="8" applyFont="1" applyBorder="1"/>
    <xf numFmtId="0" fontId="17" fillId="0" borderId="30" xfId="8" applyFont="1" applyBorder="1"/>
    <xf numFmtId="166" fontId="17" fillId="0" borderId="30" xfId="8" applyNumberFormat="1" applyFont="1" applyBorder="1"/>
    <xf numFmtId="166" fontId="17" fillId="0" borderId="0" xfId="8" applyNumberFormat="1" applyFont="1"/>
    <xf numFmtId="166" fontId="17" fillId="0" borderId="31" xfId="8" applyNumberFormat="1" applyFont="1" applyBorder="1"/>
    <xf numFmtId="0" fontId="1" fillId="0" borderId="31" xfId="8" applyBorder="1"/>
    <xf numFmtId="0" fontId="18" fillId="0" borderId="32" xfId="8" applyFont="1" applyBorder="1" applyAlignment="1">
      <alignment horizontal="right"/>
    </xf>
    <xf numFmtId="167" fontId="18" fillId="0" borderId="32" xfId="8" applyNumberFormat="1" applyFont="1" applyBorder="1"/>
    <xf numFmtId="167" fontId="18" fillId="0" borderId="1" xfId="8" applyNumberFormat="1" applyFont="1" applyBorder="1"/>
    <xf numFmtId="167" fontId="18" fillId="0" borderId="7" xfId="8" applyNumberFormat="1" applyFont="1" applyBorder="1"/>
    <xf numFmtId="167" fontId="18" fillId="0" borderId="33" xfId="8" applyNumberFormat="1" applyFont="1" applyBorder="1"/>
    <xf numFmtId="168" fontId="17" fillId="0" borderId="0" xfId="9" applyNumberFormat="1" applyFont="1" applyFill="1"/>
    <xf numFmtId="0" fontId="18" fillId="0" borderId="34" xfId="8" applyFont="1" applyBorder="1" applyAlignment="1">
      <alignment horizontal="right"/>
    </xf>
    <xf numFmtId="167" fontId="18" fillId="0" borderId="34" xfId="8" applyNumberFormat="1" applyFont="1" applyBorder="1"/>
    <xf numFmtId="167" fontId="18" fillId="0" borderId="35" xfId="8" applyNumberFormat="1" applyFont="1" applyBorder="1"/>
    <xf numFmtId="167" fontId="18" fillId="0" borderId="36" xfId="8" applyNumberFormat="1" applyFont="1" applyBorder="1"/>
    <xf numFmtId="0" fontId="18" fillId="0" borderId="37" xfId="8" applyFont="1" applyBorder="1"/>
    <xf numFmtId="0" fontId="18" fillId="0" borderId="37" xfId="8" applyFont="1" applyBorder="1" applyAlignment="1">
      <alignment horizontal="right"/>
    </xf>
    <xf numFmtId="167" fontId="18" fillId="0" borderId="37" xfId="8" applyNumberFormat="1" applyFont="1" applyBorder="1"/>
    <xf numFmtId="167" fontId="18" fillId="0" borderId="38" xfId="8" applyNumberFormat="1" applyFont="1" applyBorder="1"/>
    <xf numFmtId="167" fontId="18" fillId="0" borderId="39" xfId="8" applyNumberFormat="1" applyFont="1" applyBorder="1"/>
    <xf numFmtId="0" fontId="18" fillId="0" borderId="30" xfId="8" applyFont="1" applyBorder="1"/>
    <xf numFmtId="0" fontId="19" fillId="0" borderId="0" xfId="8" applyFont="1"/>
    <xf numFmtId="168" fontId="17" fillId="0" borderId="0" xfId="10" applyNumberFormat="1" applyFont="1" applyFill="1"/>
    <xf numFmtId="0" fontId="18" fillId="0" borderId="32" xfId="8" applyFont="1" applyBorder="1"/>
    <xf numFmtId="164" fontId="4" fillId="25" borderId="0" xfId="0" applyFont="1" applyFill="1" applyAlignment="1">
      <alignment horizontal="left"/>
    </xf>
    <xf numFmtId="37" fontId="23" fillId="0" borderId="0" xfId="8" applyNumberFormat="1" applyFont="1"/>
    <xf numFmtId="164" fontId="2" fillId="25" borderId="0" xfId="0" applyFont="1" applyFill="1" applyAlignment="1">
      <alignment horizontal="center"/>
    </xf>
    <xf numFmtId="164" fontId="2" fillId="25" borderId="0" xfId="0" applyFont="1" applyFill="1" applyAlignment="1">
      <alignment horizontal="left"/>
    </xf>
    <xf numFmtId="164" fontId="2" fillId="28" borderId="0" xfId="0" applyFont="1" applyFill="1" applyAlignment="1">
      <alignment horizontal="left"/>
    </xf>
    <xf numFmtId="164" fontId="4" fillId="28" borderId="0" xfId="0" applyFont="1" applyFill="1" applyAlignment="1">
      <alignment horizontal="left"/>
    </xf>
    <xf numFmtId="164" fontId="2" fillId="28" borderId="0" xfId="0" applyFont="1" applyFill="1" applyAlignment="1">
      <alignment horizontal="center"/>
    </xf>
    <xf numFmtId="164" fontId="8" fillId="28" borderId="0" xfId="0" applyFont="1" applyFill="1" applyAlignment="1">
      <alignment horizontal="left"/>
    </xf>
    <xf numFmtId="164" fontId="2" fillId="15" borderId="0" xfId="0" applyFont="1" applyFill="1" applyAlignment="1">
      <alignment horizontal="left"/>
    </xf>
    <xf numFmtId="164" fontId="2" fillId="29" borderId="0" xfId="0" applyFont="1" applyFill="1" applyAlignment="1">
      <alignment horizontal="center"/>
    </xf>
    <xf numFmtId="164" fontId="2" fillId="29" borderId="0" xfId="0" applyFont="1" applyFill="1" applyAlignment="1">
      <alignment horizontal="left"/>
    </xf>
    <xf numFmtId="164" fontId="4" fillId="29" borderId="0" xfId="0" applyFont="1" applyFill="1" applyAlignment="1">
      <alignment horizontal="left"/>
    </xf>
    <xf numFmtId="164" fontId="8" fillId="29" borderId="0" xfId="0" applyFont="1" applyFill="1" applyAlignment="1">
      <alignment horizontal="left"/>
    </xf>
    <xf numFmtId="164" fontId="2" fillId="30" borderId="0" xfId="0" applyFont="1" applyFill="1" applyAlignment="1">
      <alignment horizontal="center"/>
    </xf>
    <xf numFmtId="164" fontId="2" fillId="30" borderId="0" xfId="0" applyFont="1" applyFill="1" applyAlignment="1">
      <alignment horizontal="left"/>
    </xf>
    <xf numFmtId="164" fontId="8" fillId="30" borderId="0" xfId="0" applyFont="1" applyFill="1" applyAlignment="1">
      <alignment horizontal="left"/>
    </xf>
    <xf numFmtId="164" fontId="4" fillId="30" borderId="0" xfId="0" applyFont="1" applyFill="1" applyAlignment="1">
      <alignment horizontal="left"/>
    </xf>
    <xf numFmtId="164" fontId="16" fillId="30" borderId="0" xfId="0" applyFont="1" applyFill="1" applyAlignment="1">
      <alignment horizontal="left"/>
    </xf>
    <xf numFmtId="164" fontId="2" fillId="31" borderId="0" xfId="0" applyFont="1" applyFill="1" applyAlignment="1">
      <alignment horizontal="left"/>
    </xf>
    <xf numFmtId="164" fontId="4" fillId="31" borderId="0" xfId="0" applyFont="1" applyFill="1" applyAlignment="1">
      <alignment horizontal="left"/>
    </xf>
    <xf numFmtId="164" fontId="2" fillId="19" borderId="0" xfId="0" applyFont="1" applyFill="1" applyAlignment="1">
      <alignment horizontal="center"/>
    </xf>
    <xf numFmtId="164" fontId="2" fillId="31" borderId="0" xfId="0" applyFont="1" applyFill="1" applyAlignment="1">
      <alignment horizontal="center"/>
    </xf>
    <xf numFmtId="164" fontId="2" fillId="19" borderId="0" xfId="0" applyFont="1" applyFill="1" applyAlignment="1">
      <alignment horizontal="left"/>
    </xf>
    <xf numFmtId="164" fontId="8" fillId="31" borderId="0" xfId="0" applyFont="1" applyFill="1" applyAlignment="1">
      <alignment horizontal="left"/>
    </xf>
    <xf numFmtId="164" fontId="8" fillId="31" borderId="0" xfId="0" applyFont="1" applyFill="1" applyAlignment="1">
      <alignment horizontal="center"/>
    </xf>
    <xf numFmtId="164" fontId="2" fillId="20" borderId="0" xfId="0" applyFont="1" applyFill="1" applyAlignment="1">
      <alignment horizontal="left"/>
    </xf>
    <xf numFmtId="164" fontId="2" fillId="20" borderId="0" xfId="0" applyFont="1" applyFill="1" applyAlignment="1">
      <alignment horizontal="center"/>
    </xf>
    <xf numFmtId="164" fontId="2" fillId="32" borderId="0" xfId="0" applyFont="1" applyFill="1" applyAlignment="1">
      <alignment horizontal="center"/>
    </xf>
    <xf numFmtId="164" fontId="2" fillId="15" borderId="0" xfId="0" applyFont="1" applyFill="1" applyAlignment="1">
      <alignment horizontal="center"/>
    </xf>
    <xf numFmtId="164" fontId="2" fillId="33" borderId="0" xfId="0" applyFont="1" applyFill="1" applyAlignment="1">
      <alignment horizontal="left"/>
    </xf>
    <xf numFmtId="164" fontId="4" fillId="33" borderId="0" xfId="0" applyFont="1" applyFill="1" applyAlignment="1">
      <alignment horizontal="left"/>
    </xf>
    <xf numFmtId="164" fontId="2" fillId="33" borderId="0" xfId="0" applyFont="1" applyFill="1" applyAlignment="1">
      <alignment horizontal="center"/>
    </xf>
    <xf numFmtId="164" fontId="8" fillId="33" borderId="0" xfId="0" applyFont="1" applyFill="1" applyAlignment="1">
      <alignment horizontal="left"/>
    </xf>
    <xf numFmtId="164" fontId="2" fillId="27" borderId="0" xfId="0" applyFont="1" applyFill="1" applyAlignment="1">
      <alignment horizontal="left"/>
    </xf>
    <xf numFmtId="164" fontId="2" fillId="27" borderId="0" xfId="0" applyFont="1" applyFill="1" applyAlignment="1">
      <alignment horizontal="center"/>
    </xf>
    <xf numFmtId="164" fontId="2" fillId="12" borderId="0" xfId="0" applyFont="1" applyFill="1" applyAlignment="1">
      <alignment horizontal="left"/>
    </xf>
    <xf numFmtId="164" fontId="2" fillId="34" borderId="0" xfId="0" applyFont="1" applyFill="1" applyAlignment="1">
      <alignment horizontal="left"/>
    </xf>
    <xf numFmtId="164" fontId="4" fillId="34" borderId="0" xfId="0" applyFont="1" applyFill="1" applyAlignment="1">
      <alignment horizontal="left"/>
    </xf>
    <xf numFmtId="164" fontId="2" fillId="34" borderId="0" xfId="0" applyFont="1" applyFill="1" applyAlignment="1">
      <alignment horizontal="center"/>
    </xf>
    <xf numFmtId="164" fontId="40" fillId="34" borderId="0" xfId="0" applyFont="1" applyFill="1" applyAlignment="1">
      <alignment horizontal="left"/>
    </xf>
    <xf numFmtId="164" fontId="8" fillId="34" borderId="0" xfId="0" applyFont="1" applyFill="1" applyAlignment="1">
      <alignment horizontal="left"/>
    </xf>
    <xf numFmtId="164" fontId="8" fillId="34" borderId="0" xfId="0" applyFont="1" applyFill="1" applyAlignment="1">
      <alignment horizontal="center"/>
    </xf>
    <xf numFmtId="164" fontId="2" fillId="35" borderId="0" xfId="0" applyFont="1" applyFill="1" applyAlignment="1">
      <alignment horizontal="left"/>
    </xf>
    <xf numFmtId="164" fontId="4" fillId="35" borderId="0" xfId="0" applyFont="1" applyFill="1" applyAlignment="1">
      <alignment horizontal="left"/>
    </xf>
    <xf numFmtId="164" fontId="2" fillId="35" borderId="0" xfId="0" applyFont="1" applyFill="1" applyAlignment="1">
      <alignment horizontal="center"/>
    </xf>
    <xf numFmtId="164" fontId="8" fillId="35" borderId="0" xfId="0" applyFont="1" applyFill="1" applyAlignment="1">
      <alignment horizontal="left"/>
    </xf>
    <xf numFmtId="164" fontId="14" fillId="33" borderId="0" xfId="0" applyFont="1" applyFill="1" applyAlignment="1">
      <alignment horizontal="center"/>
    </xf>
    <xf numFmtId="164" fontId="40" fillId="33" borderId="0" xfId="0" applyFont="1" applyFill="1" applyAlignment="1">
      <alignment horizontal="left"/>
    </xf>
    <xf numFmtId="164" fontId="41" fillId="33" borderId="0" xfId="0" applyFont="1" applyFill="1" applyAlignment="1">
      <alignment horizontal="left"/>
    </xf>
    <xf numFmtId="164" fontId="40" fillId="29" borderId="0" xfId="0" applyFont="1" applyFill="1" applyAlignment="1">
      <alignment horizontal="left"/>
    </xf>
    <xf numFmtId="164" fontId="41" fillId="29" borderId="0" xfId="0" applyFont="1" applyFill="1" applyAlignment="1">
      <alignment horizontal="left"/>
    </xf>
    <xf numFmtId="164" fontId="2" fillId="36" borderId="0" xfId="0" applyFont="1" applyFill="1" applyAlignment="1">
      <alignment horizontal="left"/>
    </xf>
    <xf numFmtId="164" fontId="41" fillId="34" borderId="0" xfId="0" applyFont="1" applyFill="1" applyAlignment="1">
      <alignment horizontal="left"/>
    </xf>
    <xf numFmtId="164" fontId="2" fillId="37" borderId="0" xfId="0" applyFont="1" applyFill="1" applyAlignment="1">
      <alignment horizontal="left"/>
    </xf>
    <xf numFmtId="164" fontId="38" fillId="26" borderId="0" xfId="0" applyFont="1" applyFill="1" applyAlignment="1">
      <alignment horizontal="left"/>
    </xf>
    <xf numFmtId="164" fontId="2" fillId="30" borderId="0" xfId="0" applyFont="1" applyFill="1" applyAlignment="1">
      <alignment horizontal="left" wrapText="1"/>
    </xf>
    <xf numFmtId="164" fontId="41" fillId="30" borderId="0" xfId="0" applyFont="1" applyFill="1" applyAlignment="1">
      <alignment horizontal="left"/>
    </xf>
    <xf numFmtId="164" fontId="2" fillId="30" borderId="0" xfId="0" applyFont="1" applyFill="1" applyAlignment="1">
      <alignment horizontal="center" wrapText="1"/>
    </xf>
    <xf numFmtId="164" fontId="40" fillId="30" borderId="0" xfId="0" applyFont="1" applyFill="1" applyAlignment="1">
      <alignment horizontal="left"/>
    </xf>
    <xf numFmtId="164" fontId="40" fillId="35" borderId="0" xfId="0" applyFont="1" applyFill="1" applyAlignment="1">
      <alignment horizontal="left"/>
    </xf>
    <xf numFmtId="164" fontId="41" fillId="35" borderId="0" xfId="0" applyFont="1" applyFill="1" applyAlignment="1">
      <alignment horizontal="left"/>
    </xf>
    <xf numFmtId="164" fontId="2" fillId="22" borderId="0" xfId="0" applyFont="1" applyFill="1" applyAlignment="1">
      <alignment horizontal="left"/>
    </xf>
    <xf numFmtId="164" fontId="2" fillId="22" borderId="0" xfId="0" applyFont="1" applyFill="1" applyAlignment="1">
      <alignment horizontal="center"/>
    </xf>
    <xf numFmtId="164" fontId="14" fillId="31" borderId="0" xfId="0" applyFont="1" applyFill="1" applyAlignment="1">
      <alignment horizontal="center"/>
    </xf>
    <xf numFmtId="49" fontId="2" fillId="13" borderId="0" xfId="0" applyNumberFormat="1" applyFont="1" applyFill="1" applyAlignment="1" applyProtection="1">
      <alignment horizontal="center"/>
      <protection locked="0"/>
    </xf>
    <xf numFmtId="49" fontId="2" fillId="13" borderId="0" xfId="0" applyNumberFormat="1" applyFont="1" applyFill="1" applyAlignment="1" applyProtection="1">
      <alignment horizontal="left"/>
      <protection locked="0"/>
    </xf>
    <xf numFmtId="1" fontId="2" fillId="13" borderId="0" xfId="0" applyNumberFormat="1" applyFont="1" applyFill="1" applyAlignment="1" applyProtection="1">
      <alignment horizontal="center"/>
      <protection locked="0"/>
    </xf>
    <xf numFmtId="49" fontId="8" fillId="38" borderId="0" xfId="0" applyNumberFormat="1" applyFont="1" applyFill="1" applyAlignment="1" applyProtection="1">
      <alignment horizontal="left"/>
      <protection locked="0"/>
    </xf>
    <xf numFmtId="49" fontId="4" fillId="38" borderId="0" xfId="0" applyNumberFormat="1" applyFont="1" applyFill="1" applyAlignment="1" applyProtection="1">
      <alignment horizontal="left"/>
      <protection locked="0"/>
    </xf>
    <xf numFmtId="49" fontId="8" fillId="13" borderId="0" xfId="0" applyNumberFormat="1" applyFont="1" applyFill="1" applyAlignment="1" applyProtection="1">
      <alignment horizontal="left"/>
      <protection locked="0"/>
    </xf>
    <xf numFmtId="1" fontId="24" fillId="13" borderId="0" xfId="0" applyNumberFormat="1" applyFont="1" applyFill="1" applyAlignment="1" applyProtection="1">
      <alignment horizontal="center"/>
      <protection locked="0"/>
    </xf>
    <xf numFmtId="1" fontId="8" fillId="13" borderId="0" xfId="0" applyNumberFormat="1" applyFont="1" applyFill="1" applyAlignment="1" applyProtection="1">
      <alignment horizontal="left"/>
      <protection locked="0"/>
    </xf>
    <xf numFmtId="1" fontId="8" fillId="13" borderId="0" xfId="0" applyNumberFormat="1" applyFont="1" applyFill="1" applyAlignment="1" applyProtection="1">
      <alignment horizontal="center"/>
      <protection locked="0"/>
    </xf>
    <xf numFmtId="164" fontId="2" fillId="13" borderId="0" xfId="0" applyFont="1" applyFill="1" applyAlignment="1" applyProtection="1">
      <alignment horizontal="center"/>
      <protection locked="0"/>
    </xf>
    <xf numFmtId="49" fontId="2" fillId="38" borderId="0" xfId="0" applyNumberFormat="1" applyFont="1" applyFill="1" applyAlignment="1" applyProtection="1">
      <alignment horizontal="left"/>
      <protection locked="0"/>
    </xf>
    <xf numFmtId="3" fontId="4" fillId="13" borderId="0" xfId="0" applyNumberFormat="1" applyFont="1" applyFill="1" applyAlignment="1" applyProtection="1">
      <alignment horizontal="left"/>
      <protection locked="0"/>
    </xf>
    <xf numFmtId="3" fontId="2" fillId="13" borderId="0" xfId="0" applyNumberFormat="1" applyFont="1" applyFill="1" applyAlignment="1" applyProtection="1">
      <alignment horizontal="left"/>
      <protection locked="0"/>
    </xf>
    <xf numFmtId="37" fontId="2" fillId="13" borderId="0" xfId="0" applyNumberFormat="1" applyFont="1" applyFill="1" applyAlignment="1" applyProtection="1">
      <alignment horizontal="left"/>
      <protection locked="0"/>
    </xf>
    <xf numFmtId="3" fontId="2" fillId="38" borderId="0" xfId="0" applyNumberFormat="1" applyFont="1" applyFill="1" applyAlignment="1" applyProtection="1">
      <alignment horizontal="left"/>
      <protection locked="0"/>
    </xf>
    <xf numFmtId="164" fontId="2" fillId="28" borderId="5" xfId="0" applyFont="1" applyFill="1" applyBorder="1" applyAlignment="1">
      <alignment horizontal="center"/>
    </xf>
    <xf numFmtId="164" fontId="2" fillId="29" borderId="5" xfId="0" applyFont="1" applyFill="1" applyBorder="1" applyAlignment="1">
      <alignment horizontal="center"/>
    </xf>
    <xf numFmtId="164" fontId="2" fillId="31" borderId="5" xfId="0" applyFont="1" applyFill="1" applyBorder="1" applyAlignment="1">
      <alignment horizontal="center"/>
    </xf>
    <xf numFmtId="49" fontId="8" fillId="39" borderId="0" xfId="0" applyNumberFormat="1" applyFont="1" applyFill="1" applyAlignment="1" applyProtection="1">
      <alignment horizontal="left"/>
      <protection locked="0"/>
    </xf>
    <xf numFmtId="164" fontId="2" fillId="19" borderId="0" xfId="0" applyFont="1" applyFill="1" applyAlignment="1" applyProtection="1">
      <alignment horizontal="center"/>
      <protection locked="0"/>
    </xf>
    <xf numFmtId="1" fontId="8" fillId="40" borderId="0" xfId="0" applyNumberFormat="1" applyFont="1" applyFill="1" applyAlignment="1" applyProtection="1">
      <alignment horizontal="center"/>
      <protection locked="0"/>
    </xf>
    <xf numFmtId="164" fontId="4" fillId="31" borderId="0" xfId="0" applyFont="1" applyFill="1" applyAlignment="1">
      <alignment horizontal="center"/>
    </xf>
    <xf numFmtId="164" fontId="2" fillId="25" borderId="5" xfId="0" applyFont="1" applyFill="1" applyBorder="1" applyAlignment="1">
      <alignment horizontal="center"/>
    </xf>
    <xf numFmtId="164" fontId="2" fillId="33" borderId="5" xfId="0" applyFont="1" applyFill="1" applyBorder="1" applyAlignment="1">
      <alignment horizontal="center"/>
    </xf>
    <xf numFmtId="49" fontId="8" fillId="41" borderId="0" xfId="0" applyNumberFormat="1" applyFont="1" applyFill="1" applyAlignment="1" applyProtection="1">
      <alignment horizontal="left"/>
      <protection locked="0"/>
    </xf>
    <xf numFmtId="1" fontId="2" fillId="41" borderId="0" xfId="0" applyNumberFormat="1" applyFont="1" applyFill="1" applyAlignment="1" applyProtection="1">
      <alignment horizontal="center"/>
      <protection locked="0"/>
    </xf>
    <xf numFmtId="1" fontId="8" fillId="42" borderId="0" xfId="0" applyNumberFormat="1" applyFont="1" applyFill="1" applyAlignment="1" applyProtection="1">
      <alignment horizontal="center"/>
      <protection locked="0"/>
    </xf>
    <xf numFmtId="164" fontId="4" fillId="29" borderId="0" xfId="0" applyFont="1" applyFill="1" applyAlignment="1">
      <alignment horizontal="center"/>
    </xf>
    <xf numFmtId="164" fontId="2" fillId="34" borderId="5" xfId="0" applyFont="1" applyFill="1" applyBorder="1" applyAlignment="1">
      <alignment horizontal="center"/>
    </xf>
    <xf numFmtId="164" fontId="4" fillId="34" borderId="0" xfId="0" applyFont="1" applyFill="1" applyAlignment="1">
      <alignment horizontal="center"/>
    </xf>
    <xf numFmtId="164" fontId="2" fillId="35" borderId="5" xfId="0" applyFont="1" applyFill="1" applyBorder="1" applyAlignment="1">
      <alignment horizontal="center"/>
    </xf>
    <xf numFmtId="164" fontId="42" fillId="43" borderId="0" xfId="0" applyFont="1" applyFill="1" applyAlignment="1" applyProtection="1">
      <alignment horizontal="left"/>
      <protection locked="0"/>
    </xf>
    <xf numFmtId="1" fontId="2" fillId="16" borderId="0" xfId="0" applyNumberFormat="1" applyFont="1" applyFill="1" applyAlignment="1" applyProtection="1">
      <alignment horizontal="center"/>
      <protection locked="0"/>
    </xf>
    <xf numFmtId="1" fontId="8" fillId="43" borderId="0" xfId="0" applyNumberFormat="1" applyFont="1" applyFill="1" applyAlignment="1" applyProtection="1">
      <alignment horizontal="center"/>
      <protection locked="0"/>
    </xf>
    <xf numFmtId="164" fontId="43" fillId="29" borderId="0" xfId="0" applyFont="1" applyFill="1" applyAlignment="1">
      <alignment horizontal="left"/>
    </xf>
    <xf numFmtId="164" fontId="44" fillId="44" borderId="0" xfId="0" applyFont="1" applyFill="1" applyAlignment="1" applyProtection="1">
      <alignment horizontal="left"/>
      <protection locked="0"/>
    </xf>
    <xf numFmtId="1" fontId="16" fillId="17" borderId="0" xfId="0" applyNumberFormat="1" applyFont="1" applyFill="1" applyAlignment="1" applyProtection="1">
      <alignment horizontal="center"/>
      <protection locked="0"/>
    </xf>
    <xf numFmtId="164" fontId="43" fillId="34" borderId="0" xfId="0" applyFont="1" applyFill="1" applyAlignment="1">
      <alignment horizontal="left"/>
    </xf>
    <xf numFmtId="1" fontId="16" fillId="44" borderId="0" xfId="0" applyNumberFormat="1" applyFont="1" applyFill="1" applyAlignment="1" applyProtection="1">
      <alignment horizontal="center"/>
      <protection locked="0"/>
    </xf>
    <xf numFmtId="49" fontId="2" fillId="36" borderId="0" xfId="0" applyNumberFormat="1" applyFont="1" applyFill="1" applyAlignment="1" applyProtection="1">
      <alignment horizontal="left"/>
      <protection locked="0"/>
    </xf>
    <xf numFmtId="1" fontId="2" fillId="36" borderId="0" xfId="0" applyNumberFormat="1" applyFont="1" applyFill="1" applyAlignment="1" applyProtection="1">
      <alignment horizontal="center"/>
      <protection locked="0"/>
    </xf>
    <xf numFmtId="1" fontId="2" fillId="45" borderId="0" xfId="0" applyNumberFormat="1" applyFont="1" applyFill="1" applyAlignment="1" applyProtection="1">
      <alignment horizontal="center"/>
      <protection locked="0"/>
    </xf>
    <xf numFmtId="164" fontId="42" fillId="46" borderId="0" xfId="0" applyFont="1" applyFill="1" applyAlignment="1" applyProtection="1">
      <alignment horizontal="left"/>
      <protection locked="0"/>
    </xf>
    <xf numFmtId="1" fontId="2" fillId="18" borderId="0" xfId="0" applyNumberFormat="1" applyFont="1" applyFill="1" applyAlignment="1" applyProtection="1">
      <alignment horizontal="left" vertical="center"/>
      <protection locked="0"/>
    </xf>
    <xf numFmtId="1" fontId="8" fillId="18" borderId="0" xfId="0" applyNumberFormat="1" applyFont="1" applyFill="1" applyAlignment="1" applyProtection="1">
      <alignment horizontal="center"/>
      <protection locked="0"/>
    </xf>
    <xf numFmtId="164" fontId="2" fillId="30" borderId="0" xfId="0" applyFont="1" applyFill="1" applyAlignment="1">
      <alignment horizontal="left" vertical="center" wrapText="1"/>
    </xf>
    <xf numFmtId="164" fontId="14" fillId="31" borderId="5" xfId="0" applyFont="1" applyFill="1" applyBorder="1" applyAlignment="1">
      <alignment horizontal="center"/>
    </xf>
    <xf numFmtId="49" fontId="4" fillId="47" borderId="0" xfId="0" applyNumberFormat="1" applyFont="1" applyFill="1" applyAlignment="1" applyProtection="1">
      <alignment horizontal="left"/>
      <protection locked="0"/>
    </xf>
    <xf numFmtId="49" fontId="4" fillId="39" borderId="0" xfId="0" applyNumberFormat="1" applyFont="1" applyFill="1" applyAlignment="1" applyProtection="1">
      <alignment horizontal="left"/>
      <protection locked="0"/>
    </xf>
    <xf numFmtId="49" fontId="4" fillId="48" borderId="0" xfId="0" applyNumberFormat="1" applyFont="1" applyFill="1" applyAlignment="1" applyProtection="1">
      <alignment horizontal="left"/>
      <protection locked="0"/>
    </xf>
    <xf numFmtId="49" fontId="4" fillId="49" borderId="0" xfId="0" applyNumberFormat="1" applyFont="1" applyFill="1" applyAlignment="1" applyProtection="1">
      <alignment horizontal="left"/>
      <protection locked="0"/>
    </xf>
    <xf numFmtId="164" fontId="45" fillId="46" borderId="0" xfId="0" applyFont="1" applyFill="1" applyAlignment="1" applyProtection="1">
      <alignment horizontal="left"/>
      <protection locked="0"/>
    </xf>
    <xf numFmtId="164" fontId="4" fillId="16" borderId="0" xfId="0" applyFont="1" applyFill="1" applyAlignment="1" applyProtection="1">
      <alignment horizontal="left"/>
      <protection locked="0"/>
    </xf>
    <xf numFmtId="164" fontId="45" fillId="42" borderId="0" xfId="0" applyFont="1" applyFill="1" applyAlignment="1" applyProtection="1">
      <alignment horizontal="left"/>
      <protection locked="0"/>
    </xf>
    <xf numFmtId="164" fontId="45" fillId="44" borderId="0" xfId="0" applyFont="1" applyFill="1" applyAlignment="1" applyProtection="1">
      <alignment horizontal="left"/>
      <protection locked="0"/>
    </xf>
    <xf numFmtId="164" fontId="18" fillId="44" borderId="0" xfId="0" applyFont="1" applyFill="1" applyAlignment="1" applyProtection="1">
      <alignment horizontal="left"/>
      <protection locked="0"/>
    </xf>
    <xf numFmtId="49" fontId="4" fillId="17" borderId="0" xfId="0" applyNumberFormat="1" applyFont="1" applyFill="1" applyAlignment="1" applyProtection="1">
      <alignment horizontal="left"/>
      <protection locked="0"/>
    </xf>
    <xf numFmtId="38" fontId="9" fillId="5" borderId="58" xfId="0" applyNumberFormat="1" applyFont="1" applyFill="1" applyBorder="1" applyAlignment="1">
      <alignment horizontal="right"/>
    </xf>
    <xf numFmtId="38" fontId="9" fillId="6" borderId="58" xfId="0" applyNumberFormat="1" applyFont="1" applyFill="1" applyBorder="1" applyAlignment="1">
      <alignment horizontal="right"/>
    </xf>
    <xf numFmtId="37" fontId="2" fillId="11" borderId="58" xfId="0" applyNumberFormat="1" applyFont="1" applyFill="1" applyBorder="1" applyProtection="1">
      <protection locked="0"/>
    </xf>
    <xf numFmtId="37" fontId="2" fillId="12" borderId="58" xfId="0" applyNumberFormat="1" applyFont="1" applyFill="1" applyBorder="1" applyAlignment="1" applyProtection="1">
      <alignment horizontal="center" vertical="top"/>
      <protection locked="0"/>
    </xf>
    <xf numFmtId="49" fontId="2" fillId="50" borderId="0" xfId="0" applyNumberFormat="1" applyFont="1" applyFill="1" applyAlignment="1" applyProtection="1">
      <alignment horizontal="center"/>
      <protection locked="0"/>
    </xf>
    <xf numFmtId="49" fontId="2" fillId="50" borderId="0" xfId="0" applyNumberFormat="1" applyFont="1" applyFill="1" applyAlignment="1" applyProtection="1">
      <alignment horizontal="left"/>
      <protection locked="0"/>
    </xf>
    <xf numFmtId="49" fontId="4" fillId="51" borderId="0" xfId="0" applyNumberFormat="1" applyFont="1" applyFill="1" applyAlignment="1" applyProtection="1">
      <alignment horizontal="left"/>
      <protection locked="0"/>
    </xf>
    <xf numFmtId="1" fontId="2" fillId="50" borderId="0" xfId="0" applyNumberFormat="1" applyFont="1" applyFill="1" applyAlignment="1" applyProtection="1">
      <alignment horizontal="center"/>
      <protection locked="0"/>
    </xf>
    <xf numFmtId="164" fontId="2" fillId="50" borderId="0" xfId="0" applyFont="1" applyFill="1"/>
    <xf numFmtId="164" fontId="2" fillId="12" borderId="58" xfId="0" applyFont="1" applyFill="1" applyBorder="1" applyAlignment="1" applyProtection="1">
      <alignment horizontal="center" vertical="top"/>
      <protection locked="0"/>
    </xf>
    <xf numFmtId="164" fontId="2" fillId="28" borderId="5" xfId="0" applyFont="1" applyFill="1" applyBorder="1" applyAlignment="1" applyProtection="1">
      <alignment horizontal="center"/>
      <protection locked="0"/>
    </xf>
    <xf numFmtId="164" fontId="2" fillId="28" borderId="0" xfId="0" applyFont="1" applyFill="1" applyAlignment="1" applyProtection="1">
      <alignment horizontal="left"/>
      <protection locked="0"/>
    </xf>
    <xf numFmtId="164" fontId="2" fillId="28" borderId="0" xfId="0" applyFont="1" applyFill="1" applyAlignment="1" applyProtection="1">
      <alignment horizontal="center"/>
      <protection locked="0"/>
    </xf>
    <xf numFmtId="164" fontId="2" fillId="11" borderId="58" xfId="0" applyFont="1" applyFill="1" applyBorder="1" applyProtection="1">
      <protection locked="0"/>
    </xf>
    <xf numFmtId="164" fontId="2" fillId="0" borderId="0" xfId="0" applyFont="1" applyProtection="1">
      <protection locked="0"/>
    </xf>
    <xf numFmtId="164" fontId="2" fillId="15" borderId="0" xfId="0" applyFont="1" applyFill="1" applyAlignment="1" applyProtection="1">
      <alignment horizontal="left"/>
      <protection locked="0"/>
    </xf>
    <xf numFmtId="164" fontId="2" fillId="29" borderId="0" xfId="0" applyFont="1" applyFill="1" applyAlignment="1" applyProtection="1">
      <alignment horizontal="center"/>
      <protection locked="0"/>
    </xf>
    <xf numFmtId="40" fontId="2" fillId="11" borderId="58" xfId="0" applyNumberFormat="1" applyFont="1" applyFill="1" applyBorder="1" applyProtection="1">
      <protection locked="0"/>
    </xf>
    <xf numFmtId="40" fontId="2" fillId="12" borderId="58" xfId="0" applyNumberFormat="1" applyFont="1" applyFill="1" applyBorder="1" applyAlignment="1" applyProtection="1">
      <alignment horizontal="center" vertical="top"/>
      <protection locked="0"/>
    </xf>
    <xf numFmtId="0" fontId="46" fillId="12" borderId="60" xfId="0" applyNumberFormat="1" applyFont="1" applyFill="1" applyBorder="1" applyAlignment="1" applyProtection="1">
      <alignment horizontal="right" wrapText="1"/>
      <protection locked="0"/>
    </xf>
    <xf numFmtId="164" fontId="2" fillId="12" borderId="9" xfId="0" applyFont="1" applyFill="1" applyBorder="1" applyProtection="1">
      <protection locked="0"/>
    </xf>
    <xf numFmtId="164" fontId="2" fillId="31" borderId="5" xfId="0" applyFont="1" applyFill="1" applyBorder="1" applyAlignment="1" applyProtection="1">
      <alignment horizontal="center"/>
      <protection locked="0"/>
    </xf>
    <xf numFmtId="164" fontId="2" fillId="31" borderId="0" xfId="0" applyFont="1" applyFill="1" applyAlignment="1" applyProtection="1">
      <alignment horizontal="left"/>
      <protection locked="0"/>
    </xf>
    <xf numFmtId="164" fontId="2" fillId="19" borderId="0" xfId="0" applyFont="1" applyFill="1" applyAlignment="1" applyProtection="1">
      <alignment horizontal="left"/>
      <protection locked="0"/>
    </xf>
    <xf numFmtId="49" fontId="2" fillId="10" borderId="5" xfId="0" applyNumberFormat="1" applyFont="1" applyFill="1" applyBorder="1" applyAlignment="1" applyProtection="1">
      <alignment horizontal="center"/>
      <protection locked="0"/>
    </xf>
    <xf numFmtId="49" fontId="2" fillId="20" borderId="0" xfId="0" applyNumberFormat="1" applyFont="1" applyFill="1" applyAlignment="1" applyProtection="1">
      <alignment horizontal="left"/>
      <protection locked="0"/>
    </xf>
    <xf numFmtId="164" fontId="2" fillId="35" borderId="0" xfId="0" applyFont="1" applyFill="1" applyAlignment="1" applyProtection="1">
      <alignment horizontal="center"/>
      <protection locked="0"/>
    </xf>
    <xf numFmtId="164" fontId="2" fillId="11" borderId="9" xfId="0" applyFont="1" applyFill="1" applyBorder="1" applyProtection="1">
      <protection locked="0"/>
    </xf>
    <xf numFmtId="0" fontId="46" fillId="12" borderId="0" xfId="0" applyNumberFormat="1" applyFont="1" applyFill="1" applyAlignment="1" applyProtection="1">
      <alignment horizontal="center"/>
      <protection locked="0"/>
    </xf>
    <xf numFmtId="164" fontId="2" fillId="12" borderId="9" xfId="0" applyFont="1" applyFill="1" applyBorder="1" applyAlignment="1" applyProtection="1">
      <alignment horizontal="center" vertical="top"/>
      <protection locked="0"/>
    </xf>
    <xf numFmtId="164" fontId="2" fillId="29" borderId="0" xfId="0" applyFont="1" applyFill="1" applyAlignment="1" applyProtection="1">
      <alignment horizontal="left"/>
      <protection locked="0"/>
    </xf>
    <xf numFmtId="164" fontId="2" fillId="29" borderId="5" xfId="0" applyFont="1" applyFill="1" applyBorder="1" applyAlignment="1" applyProtection="1">
      <alignment horizontal="center"/>
      <protection locked="0"/>
    </xf>
    <xf numFmtId="164" fontId="0" fillId="12" borderId="61" xfId="0" applyFill="1" applyBorder="1" applyAlignment="1" applyProtection="1">
      <alignment vertical="top" wrapText="1"/>
      <protection locked="0"/>
    </xf>
    <xf numFmtId="164" fontId="0" fillId="12" borderId="9" xfId="0" applyFill="1" applyBorder="1" applyAlignment="1" applyProtection="1">
      <alignment vertical="top" wrapText="1"/>
      <protection locked="0"/>
    </xf>
    <xf numFmtId="164" fontId="2" fillId="12" borderId="58" xfId="0" applyFont="1" applyFill="1" applyBorder="1" applyProtection="1">
      <protection locked="0"/>
    </xf>
    <xf numFmtId="164" fontId="2" fillId="11" borderId="0" xfId="0" applyFont="1" applyFill="1" applyProtection="1">
      <protection locked="0"/>
    </xf>
    <xf numFmtId="164" fontId="4" fillId="12" borderId="0" xfId="0" applyFont="1" applyFill="1" applyProtection="1">
      <protection locked="0"/>
    </xf>
    <xf numFmtId="164" fontId="2" fillId="12" borderId="0" xfId="0" applyFont="1" applyFill="1" applyProtection="1">
      <protection locked="0"/>
    </xf>
    <xf numFmtId="164" fontId="4" fillId="35" borderId="0" xfId="0" applyFont="1" applyFill="1" applyAlignment="1" applyProtection="1">
      <alignment horizontal="center"/>
      <protection locked="0"/>
    </xf>
    <xf numFmtId="49" fontId="13" fillId="13" borderId="0" xfId="0" applyNumberFormat="1" applyFont="1" applyFill="1" applyAlignment="1" applyProtection="1">
      <alignment horizontal="left"/>
      <protection locked="0"/>
    </xf>
    <xf numFmtId="1" fontId="14" fillId="13" borderId="0" xfId="0" applyNumberFormat="1" applyFont="1" applyFill="1" applyAlignment="1" applyProtection="1">
      <alignment horizontal="center"/>
      <protection locked="0"/>
    </xf>
    <xf numFmtId="49" fontId="8" fillId="53" borderId="0" xfId="0" applyNumberFormat="1" applyFont="1" applyFill="1" applyAlignment="1" applyProtection="1">
      <alignment horizontal="left"/>
      <protection locked="0"/>
    </xf>
    <xf numFmtId="49" fontId="13" fillId="53" borderId="0" xfId="0" applyNumberFormat="1" applyFont="1" applyFill="1" applyAlignment="1" applyProtection="1">
      <alignment horizontal="left"/>
      <protection locked="0"/>
    </xf>
    <xf numFmtId="49" fontId="2" fillId="53" borderId="0" xfId="0" applyNumberFormat="1" applyFont="1" applyFill="1" applyAlignment="1" applyProtection="1">
      <alignment horizontal="left"/>
      <protection locked="0"/>
    </xf>
    <xf numFmtId="1" fontId="2" fillId="13" borderId="0" xfId="0" applyNumberFormat="1" applyFont="1" applyFill="1" applyAlignment="1" applyProtection="1">
      <alignment horizontal="left"/>
      <protection locked="0"/>
    </xf>
    <xf numFmtId="49" fontId="16" fillId="38" borderId="0" xfId="0" applyNumberFormat="1" applyFont="1" applyFill="1" applyAlignment="1" applyProtection="1">
      <alignment horizontal="left"/>
      <protection locked="0"/>
    </xf>
    <xf numFmtId="164" fontId="16" fillId="13" borderId="0" xfId="0" applyFont="1" applyFill="1" applyAlignment="1" applyProtection="1">
      <alignment horizontal="center"/>
      <protection locked="0"/>
    </xf>
    <xf numFmtId="1" fontId="16" fillId="13" borderId="0" xfId="0" applyNumberFormat="1" applyFont="1" applyFill="1" applyAlignment="1" applyProtection="1">
      <alignment horizontal="center"/>
      <protection locked="0"/>
    </xf>
    <xf numFmtId="49" fontId="4" fillId="53" borderId="0" xfId="0" applyNumberFormat="1" applyFont="1" applyFill="1" applyAlignment="1" applyProtection="1">
      <alignment horizontal="left"/>
      <protection locked="0"/>
    </xf>
    <xf numFmtId="1" fontId="4" fillId="13" borderId="0" xfId="0" applyNumberFormat="1" applyFont="1" applyFill="1" applyAlignment="1" applyProtection="1">
      <alignment horizontal="left"/>
      <protection locked="0"/>
    </xf>
    <xf numFmtId="49" fontId="14" fillId="13" borderId="0" xfId="0" applyNumberFormat="1" applyFont="1" applyFill="1" applyAlignment="1" applyProtection="1">
      <alignment horizontal="center"/>
      <protection locked="0"/>
    </xf>
    <xf numFmtId="3" fontId="13" fillId="13" borderId="0" xfId="0" applyNumberFormat="1" applyFont="1" applyFill="1" applyAlignment="1" applyProtection="1">
      <alignment horizontal="left"/>
      <protection locked="0"/>
    </xf>
    <xf numFmtId="164" fontId="13" fillId="53" borderId="0" xfId="0" applyFont="1" applyFill="1" applyAlignment="1">
      <alignment horizontal="left"/>
    </xf>
    <xf numFmtId="164" fontId="13" fillId="52" borderId="0" xfId="0" applyFont="1" applyFill="1" applyAlignment="1" applyProtection="1">
      <alignment horizontal="left"/>
      <protection locked="0"/>
    </xf>
    <xf numFmtId="164" fontId="14" fillId="52" borderId="0" xfId="0" applyFont="1" applyFill="1" applyAlignment="1" applyProtection="1">
      <alignment horizontal="center"/>
      <protection locked="0"/>
    </xf>
    <xf numFmtId="164" fontId="8" fillId="52" borderId="0" xfId="0" applyFont="1" applyFill="1" applyAlignment="1" applyProtection="1">
      <alignment horizontal="left"/>
      <protection locked="0"/>
    </xf>
    <xf numFmtId="49" fontId="13" fillId="47" borderId="0" xfId="0" applyNumberFormat="1" applyFont="1" applyFill="1" applyAlignment="1" applyProtection="1">
      <alignment horizontal="left"/>
      <protection locked="0"/>
    </xf>
    <xf numFmtId="164" fontId="13" fillId="54" borderId="0" xfId="0" applyFont="1" applyFill="1" applyAlignment="1">
      <alignment horizontal="left"/>
    </xf>
    <xf numFmtId="164" fontId="14" fillId="54" borderId="0" xfId="0" applyFont="1" applyFill="1" applyAlignment="1">
      <alignment horizontal="center"/>
    </xf>
    <xf numFmtId="164" fontId="14" fillId="54" borderId="0" xfId="0" applyFont="1" applyFill="1" applyAlignment="1" applyProtection="1">
      <alignment horizontal="center"/>
      <protection locked="0"/>
    </xf>
    <xf numFmtId="164" fontId="8" fillId="54" borderId="0" xfId="0" applyFont="1" applyFill="1" applyAlignment="1">
      <alignment horizontal="left"/>
    </xf>
    <xf numFmtId="164" fontId="16" fillId="16" borderId="0" xfId="0" applyFont="1" applyFill="1" applyAlignment="1" applyProtection="1">
      <alignment horizontal="left"/>
      <protection locked="0"/>
    </xf>
    <xf numFmtId="164" fontId="16" fillId="54" borderId="0" xfId="0" applyFont="1" applyFill="1" applyAlignment="1">
      <alignment horizontal="center"/>
    </xf>
    <xf numFmtId="164" fontId="16" fillId="54" borderId="0" xfId="0" applyFont="1" applyFill="1" applyAlignment="1" applyProtection="1">
      <alignment horizontal="center"/>
      <protection locked="0"/>
    </xf>
    <xf numFmtId="164" fontId="14" fillId="55" borderId="0" xfId="0" applyFont="1" applyFill="1" applyAlignment="1">
      <alignment horizontal="center"/>
    </xf>
    <xf numFmtId="164" fontId="14" fillId="55" borderId="0" xfId="0" applyFont="1" applyFill="1" applyAlignment="1" applyProtection="1">
      <alignment horizontal="center"/>
      <protection locked="0"/>
    </xf>
    <xf numFmtId="164" fontId="13" fillId="49" borderId="0" xfId="0" applyFont="1" applyFill="1" applyAlignment="1" applyProtection="1">
      <alignment horizontal="left"/>
      <protection locked="0"/>
    </xf>
    <xf numFmtId="164" fontId="14" fillId="49" borderId="0" xfId="0" applyFont="1" applyFill="1" applyAlignment="1" applyProtection="1">
      <alignment horizontal="center"/>
      <protection locked="0"/>
    </xf>
    <xf numFmtId="164" fontId="2" fillId="49" borderId="0" xfId="0" applyFont="1" applyFill="1" applyAlignment="1" applyProtection="1">
      <alignment horizontal="center"/>
      <protection locked="0"/>
    </xf>
    <xf numFmtId="164" fontId="8" fillId="49" borderId="0" xfId="0" applyFont="1" applyFill="1" applyAlignment="1" applyProtection="1">
      <alignment horizontal="left"/>
      <protection locked="0"/>
    </xf>
    <xf numFmtId="49" fontId="8" fillId="49" borderId="0" xfId="0" applyNumberFormat="1" applyFont="1" applyFill="1" applyAlignment="1" applyProtection="1">
      <alignment horizontal="left"/>
      <protection locked="0"/>
    </xf>
    <xf numFmtId="1" fontId="2" fillId="40" borderId="0" xfId="0" applyNumberFormat="1" applyFont="1" applyFill="1" applyAlignment="1" applyProtection="1">
      <alignment horizontal="center"/>
      <protection locked="0"/>
    </xf>
    <xf numFmtId="49" fontId="13" fillId="49" borderId="0" xfId="0" applyNumberFormat="1" applyFont="1" applyFill="1" applyAlignment="1" applyProtection="1">
      <alignment horizontal="left"/>
      <protection locked="0"/>
    </xf>
    <xf numFmtId="1" fontId="4" fillId="40" borderId="0" xfId="0" applyNumberFormat="1" applyFont="1" applyFill="1" applyAlignment="1" applyProtection="1">
      <alignment horizontal="center"/>
      <protection locked="0"/>
    </xf>
    <xf numFmtId="49" fontId="14" fillId="13" borderId="0" xfId="0" applyNumberFormat="1" applyFont="1" applyFill="1" applyAlignment="1" applyProtection="1">
      <alignment horizontal="left"/>
      <protection locked="0"/>
    </xf>
    <xf numFmtId="1" fontId="14" fillId="53" borderId="0" xfId="0" applyNumberFormat="1" applyFont="1" applyFill="1" applyAlignment="1" applyProtection="1">
      <alignment horizontal="center"/>
      <protection locked="0"/>
    </xf>
    <xf numFmtId="164" fontId="13" fillId="56" borderId="0" xfId="0" applyFont="1" applyFill="1" applyAlignment="1">
      <alignment horizontal="left"/>
    </xf>
    <xf numFmtId="164" fontId="14" fillId="56" borderId="0" xfId="0" applyFont="1" applyFill="1" applyAlignment="1">
      <alignment horizontal="center"/>
    </xf>
    <xf numFmtId="164" fontId="14" fillId="56" borderId="0" xfId="0" applyFont="1" applyFill="1" applyAlignment="1" applyProtection="1">
      <alignment horizontal="center"/>
      <protection locked="0"/>
    </xf>
    <xf numFmtId="164" fontId="8" fillId="56" borderId="0" xfId="0" applyFont="1" applyFill="1" applyAlignment="1">
      <alignment horizontal="left"/>
    </xf>
    <xf numFmtId="1" fontId="14" fillId="41" borderId="0" xfId="0" applyNumberFormat="1" applyFont="1" applyFill="1" applyAlignment="1" applyProtection="1">
      <alignment horizontal="center"/>
      <protection locked="0"/>
    </xf>
    <xf numFmtId="1" fontId="8" fillId="56" borderId="0" xfId="0" applyNumberFormat="1" applyFont="1" applyFill="1" applyAlignment="1" applyProtection="1">
      <alignment horizontal="center"/>
      <protection locked="0"/>
    </xf>
    <xf numFmtId="164" fontId="13" fillId="54" borderId="0" xfId="0" applyFont="1" applyFill="1" applyAlignment="1" applyProtection="1">
      <alignment horizontal="center"/>
      <protection locked="0"/>
    </xf>
    <xf numFmtId="164" fontId="13" fillId="57" borderId="0" xfId="0" applyFont="1" applyFill="1" applyAlignment="1">
      <alignment horizontal="left"/>
    </xf>
    <xf numFmtId="164" fontId="14" fillId="57" borderId="0" xfId="0" applyFont="1" applyFill="1" applyAlignment="1">
      <alignment horizontal="center"/>
    </xf>
    <xf numFmtId="164" fontId="14" fillId="57" borderId="0" xfId="0" applyFont="1" applyFill="1" applyAlignment="1" applyProtection="1">
      <alignment horizontal="center"/>
      <protection locked="0"/>
    </xf>
    <xf numFmtId="164" fontId="40" fillId="57" borderId="0" xfId="0" applyFont="1" applyFill="1" applyAlignment="1">
      <alignment horizontal="left"/>
    </xf>
    <xf numFmtId="49" fontId="13" fillId="58" borderId="0" xfId="0" applyNumberFormat="1" applyFont="1" applyFill="1" applyAlignment="1" applyProtection="1">
      <alignment horizontal="left"/>
      <protection locked="0"/>
    </xf>
    <xf numFmtId="164" fontId="14" fillId="58" borderId="0" xfId="0" applyFont="1" applyFill="1" applyAlignment="1" applyProtection="1">
      <alignment horizontal="center"/>
      <protection locked="0"/>
    </xf>
    <xf numFmtId="1" fontId="14" fillId="58" borderId="0" xfId="0" applyNumberFormat="1" applyFont="1" applyFill="1" applyAlignment="1" applyProtection="1">
      <alignment horizontal="center"/>
      <protection locked="0"/>
    </xf>
    <xf numFmtId="49" fontId="8" fillId="58" borderId="0" xfId="0" applyNumberFormat="1" applyFont="1" applyFill="1" applyAlignment="1" applyProtection="1">
      <alignment horizontal="left"/>
      <protection locked="0"/>
    </xf>
    <xf numFmtId="1" fontId="8" fillId="55" borderId="0" xfId="0" applyNumberFormat="1" applyFont="1" applyFill="1" applyAlignment="1" applyProtection="1">
      <alignment horizontal="center"/>
      <protection locked="0"/>
    </xf>
    <xf numFmtId="164" fontId="13" fillId="59" borderId="0" xfId="0" applyFont="1" applyFill="1" applyAlignment="1">
      <alignment horizontal="left"/>
    </xf>
    <xf numFmtId="164" fontId="14" fillId="59" borderId="0" xfId="0" applyFont="1" applyFill="1" applyAlignment="1">
      <alignment horizontal="center"/>
    </xf>
    <xf numFmtId="164" fontId="14" fillId="59" borderId="0" xfId="0" applyFont="1" applyFill="1" applyAlignment="1" applyProtection="1">
      <alignment horizontal="center"/>
      <protection locked="0"/>
    </xf>
    <xf numFmtId="164" fontId="8" fillId="59" borderId="0" xfId="0" applyFont="1" applyFill="1" applyAlignment="1">
      <alignment horizontal="left"/>
    </xf>
    <xf numFmtId="49" fontId="16" fillId="48" borderId="0" xfId="0" applyNumberFormat="1" applyFont="1" applyFill="1" applyAlignment="1" applyProtection="1">
      <alignment horizontal="left"/>
      <protection locked="0"/>
    </xf>
    <xf numFmtId="164" fontId="16" fillId="59" borderId="0" xfId="0" applyFont="1" applyFill="1" applyAlignment="1">
      <alignment horizontal="center"/>
    </xf>
    <xf numFmtId="164" fontId="16" fillId="59" borderId="0" xfId="0" applyFont="1" applyFill="1" applyAlignment="1" applyProtection="1">
      <alignment horizontal="center"/>
      <protection locked="0"/>
    </xf>
    <xf numFmtId="164" fontId="14" fillId="49" borderId="0" xfId="0" applyFont="1" applyFill="1" applyAlignment="1">
      <alignment horizontal="center"/>
    </xf>
    <xf numFmtId="3" fontId="4" fillId="49" borderId="0" xfId="0" applyNumberFormat="1" applyFont="1" applyFill="1" applyAlignment="1" applyProtection="1">
      <alignment horizontal="left"/>
      <protection locked="0"/>
    </xf>
    <xf numFmtId="164" fontId="13" fillId="49" borderId="0" xfId="0" applyFont="1" applyFill="1" applyAlignment="1">
      <alignment horizontal="left"/>
    </xf>
    <xf numFmtId="164" fontId="8" fillId="49" borderId="0" xfId="0" applyFont="1" applyFill="1" applyAlignment="1">
      <alignment horizontal="left"/>
    </xf>
    <xf numFmtId="164" fontId="40" fillId="56" borderId="0" xfId="0" applyFont="1" applyFill="1" applyAlignment="1">
      <alignment horizontal="left"/>
    </xf>
    <xf numFmtId="164" fontId="41" fillId="56" borderId="0" xfId="0" applyFont="1" applyFill="1" applyAlignment="1">
      <alignment horizontal="left"/>
    </xf>
    <xf numFmtId="164" fontId="18" fillId="42" borderId="0" xfId="0" applyFont="1" applyFill="1" applyAlignment="1" applyProtection="1">
      <alignment horizontal="left"/>
      <protection locked="0"/>
    </xf>
    <xf numFmtId="164" fontId="44" fillId="42" borderId="0" xfId="0" applyFont="1" applyFill="1" applyAlignment="1" applyProtection="1">
      <alignment horizontal="left"/>
      <protection locked="0"/>
    </xf>
    <xf numFmtId="164" fontId="16" fillId="56" borderId="0" xfId="0" applyFont="1" applyFill="1" applyAlignment="1">
      <alignment horizontal="center"/>
    </xf>
    <xf numFmtId="164" fontId="16" fillId="56" borderId="0" xfId="0" applyFont="1" applyFill="1" applyAlignment="1" applyProtection="1">
      <alignment horizontal="center"/>
      <protection locked="0"/>
    </xf>
    <xf numFmtId="164" fontId="13" fillId="54" borderId="0" xfId="0" applyFont="1" applyFill="1" applyAlignment="1" applyProtection="1">
      <alignment horizontal="left"/>
      <protection locked="0"/>
    </xf>
    <xf numFmtId="164" fontId="8" fillId="54" borderId="0" xfId="0" applyFont="1" applyFill="1" applyAlignment="1" applyProtection="1">
      <alignment horizontal="left"/>
      <protection locked="0"/>
    </xf>
    <xf numFmtId="164" fontId="40" fillId="54" borderId="0" xfId="0" applyFont="1" applyFill="1" applyAlignment="1" applyProtection="1">
      <alignment horizontal="left"/>
      <protection locked="0"/>
    </xf>
    <xf numFmtId="164" fontId="41" fillId="54" borderId="0" xfId="0" applyFont="1" applyFill="1" applyAlignment="1" applyProtection="1">
      <alignment horizontal="left"/>
      <protection locked="0"/>
    </xf>
    <xf numFmtId="1" fontId="14" fillId="60" borderId="0" xfId="0" applyNumberFormat="1" applyFont="1" applyFill="1" applyAlignment="1" applyProtection="1">
      <alignment horizontal="center"/>
      <protection locked="0"/>
    </xf>
    <xf numFmtId="1" fontId="2" fillId="54" borderId="0" xfId="0" applyNumberFormat="1" applyFont="1" applyFill="1" applyAlignment="1" applyProtection="1">
      <alignment horizontal="center"/>
      <protection locked="0"/>
    </xf>
    <xf numFmtId="164" fontId="18" fillId="43" borderId="0" xfId="0" applyFont="1" applyFill="1" applyAlignment="1" applyProtection="1">
      <alignment horizontal="left"/>
      <protection locked="0"/>
    </xf>
    <xf numFmtId="164" fontId="2" fillId="57" borderId="0" xfId="0" applyFont="1" applyFill="1" applyAlignment="1" applyProtection="1">
      <alignment horizontal="center"/>
      <protection locked="0"/>
    </xf>
    <xf numFmtId="1" fontId="14" fillId="17" borderId="0" xfId="0" applyNumberFormat="1" applyFont="1" applyFill="1" applyAlignment="1" applyProtection="1">
      <alignment horizontal="center"/>
      <protection locked="0"/>
    </xf>
    <xf numFmtId="164" fontId="41" fillId="57" borderId="0" xfId="0" applyFont="1" applyFill="1" applyAlignment="1" applyProtection="1">
      <alignment horizontal="left"/>
      <protection locked="0"/>
    </xf>
    <xf numFmtId="164" fontId="41" fillId="57" borderId="0" xfId="0" applyFont="1" applyFill="1" applyAlignment="1">
      <alignment horizontal="left"/>
    </xf>
    <xf numFmtId="164" fontId="43" fillId="57" borderId="0" xfId="0" applyFont="1" applyFill="1" applyAlignment="1">
      <alignment horizontal="left"/>
    </xf>
    <xf numFmtId="49" fontId="13" fillId="17" borderId="0" xfId="0" applyNumberFormat="1" applyFont="1" applyFill="1" applyAlignment="1" applyProtection="1">
      <alignment horizontal="left"/>
      <protection locked="0"/>
    </xf>
    <xf numFmtId="164" fontId="8" fillId="57" borderId="0" xfId="0" applyFont="1" applyFill="1" applyAlignment="1">
      <alignment horizontal="left"/>
    </xf>
    <xf numFmtId="164" fontId="48" fillId="57" borderId="0" xfId="0" applyFont="1" applyFill="1" applyAlignment="1" applyProtection="1">
      <alignment horizontal="left"/>
      <protection locked="0"/>
    </xf>
    <xf numFmtId="1" fontId="2" fillId="57" borderId="0" xfId="0" applyNumberFormat="1" applyFont="1" applyFill="1" applyAlignment="1" applyProtection="1">
      <alignment horizontal="center"/>
      <protection locked="0"/>
    </xf>
    <xf numFmtId="164" fontId="8" fillId="57" borderId="0" xfId="0" applyFont="1" applyFill="1" applyAlignment="1">
      <alignment horizontal="center"/>
    </xf>
    <xf numFmtId="164" fontId="41" fillId="55" borderId="0" xfId="0" applyFont="1" applyFill="1" applyAlignment="1">
      <alignment horizontal="left"/>
    </xf>
    <xf numFmtId="164" fontId="14" fillId="55" borderId="0" xfId="0" applyFont="1" applyFill="1" applyAlignment="1">
      <alignment horizontal="left" wrapText="1"/>
    </xf>
    <xf numFmtId="164" fontId="2" fillId="55" borderId="0" xfId="0" applyFont="1" applyFill="1" applyAlignment="1" applyProtection="1">
      <alignment horizontal="center" wrapText="1"/>
      <protection locked="0"/>
    </xf>
    <xf numFmtId="164" fontId="13" fillId="55" borderId="0" xfId="0" applyFont="1" applyFill="1" applyAlignment="1">
      <alignment horizontal="left"/>
    </xf>
    <xf numFmtId="164" fontId="8" fillId="55" borderId="0" xfId="0" applyFont="1" applyFill="1" applyAlignment="1">
      <alignment horizontal="left"/>
    </xf>
    <xf numFmtId="164" fontId="18" fillId="46" borderId="0" xfId="0" applyFont="1" applyFill="1" applyAlignment="1" applyProtection="1">
      <alignment horizontal="left"/>
      <protection locked="0"/>
    </xf>
    <xf numFmtId="164" fontId="40" fillId="55" borderId="0" xfId="0" applyFont="1" applyFill="1" applyAlignment="1" applyProtection="1">
      <alignment horizontal="left"/>
      <protection locked="0"/>
    </xf>
    <xf numFmtId="1" fontId="14" fillId="58" borderId="0" xfId="0" applyNumberFormat="1" applyFont="1" applyFill="1" applyAlignment="1" applyProtection="1">
      <alignment horizontal="left" vertical="center"/>
      <protection locked="0"/>
    </xf>
    <xf numFmtId="1" fontId="2" fillId="58" borderId="0" xfId="0" applyNumberFormat="1" applyFont="1" applyFill="1" applyAlignment="1" applyProtection="1">
      <alignment horizontal="center"/>
      <protection locked="0"/>
    </xf>
    <xf numFmtId="164" fontId="14" fillId="55" borderId="0" xfId="0" applyFont="1" applyFill="1" applyAlignment="1">
      <alignment horizontal="left" vertical="center" wrapText="1"/>
    </xf>
    <xf numFmtId="164" fontId="44" fillId="46" borderId="0" xfId="0" applyFont="1" applyFill="1" applyAlignment="1" applyProtection="1">
      <alignment horizontal="left"/>
      <protection locked="0"/>
    </xf>
    <xf numFmtId="164" fontId="16" fillId="55" borderId="0" xfId="0" applyFont="1" applyFill="1" applyAlignment="1">
      <alignment horizontal="left" wrapText="1"/>
    </xf>
    <xf numFmtId="164" fontId="16" fillId="55" borderId="0" xfId="0" applyFont="1" applyFill="1" applyAlignment="1" applyProtection="1">
      <alignment horizontal="center" wrapText="1"/>
      <protection locked="0"/>
    </xf>
    <xf numFmtId="164" fontId="40" fillId="55" borderId="0" xfId="0" applyFont="1" applyFill="1" applyAlignment="1">
      <alignment horizontal="left"/>
    </xf>
    <xf numFmtId="164" fontId="14" fillId="49" borderId="0" xfId="0" applyFont="1" applyFill="1" applyAlignment="1">
      <alignment horizontal="left"/>
    </xf>
    <xf numFmtId="164" fontId="8" fillId="49" borderId="0" xfId="0" applyFont="1" applyFill="1" applyAlignment="1">
      <alignment horizontal="center"/>
    </xf>
    <xf numFmtId="164" fontId="4" fillId="35" borderId="0" xfId="0" applyFont="1" applyFill="1"/>
    <xf numFmtId="164" fontId="40" fillId="35" borderId="0" xfId="0" applyFont="1" applyFill="1"/>
    <xf numFmtId="164" fontId="16" fillId="35" borderId="0" xfId="0" applyFont="1" applyFill="1" applyAlignment="1">
      <alignment horizontal="left"/>
    </xf>
    <xf numFmtId="164" fontId="16" fillId="35" borderId="0" xfId="0" applyFont="1" applyFill="1" applyAlignment="1">
      <alignment horizontal="center"/>
    </xf>
    <xf numFmtId="1" fontId="16" fillId="35" borderId="0" xfId="0" applyNumberFormat="1" applyFont="1" applyFill="1" applyAlignment="1" applyProtection="1">
      <alignment horizontal="center"/>
      <protection locked="0"/>
    </xf>
    <xf numFmtId="164" fontId="8" fillId="35" borderId="0" xfId="0" applyFont="1" applyFill="1"/>
    <xf numFmtId="0" fontId="2" fillId="0" borderId="0" xfId="0" applyNumberFormat="1" applyFont="1" applyAlignment="1">
      <alignment horizontal="center"/>
    </xf>
    <xf numFmtId="164" fontId="16" fillId="30" borderId="0" xfId="0" applyFont="1" applyFill="1" applyAlignment="1">
      <alignment horizontal="left" wrapText="1"/>
    </xf>
    <xf numFmtId="164" fontId="47" fillId="12" borderId="9" xfId="0" applyFont="1" applyFill="1" applyBorder="1" applyAlignment="1" applyProtection="1">
      <alignment vertical="top" wrapText="1" readingOrder="1"/>
      <protection locked="0"/>
    </xf>
    <xf numFmtId="164" fontId="47" fillId="12" borderId="62" xfId="0" applyFont="1" applyFill="1" applyBorder="1" applyAlignment="1" applyProtection="1">
      <alignment vertical="top" wrapText="1" readingOrder="1"/>
      <protection locked="0"/>
    </xf>
    <xf numFmtId="164" fontId="49" fillId="61" borderId="12" xfId="0" applyFont="1" applyFill="1" applyBorder="1" applyAlignment="1">
      <alignment horizontal="center"/>
    </xf>
    <xf numFmtId="164" fontId="49" fillId="61" borderId="13" xfId="0" applyFont="1" applyFill="1" applyBorder="1" applyAlignment="1">
      <alignment horizontal="left"/>
    </xf>
    <xf numFmtId="164" fontId="49" fillId="61" borderId="13" xfId="0" applyFont="1" applyFill="1" applyBorder="1" applyAlignment="1">
      <alignment horizontal="left" wrapText="1"/>
    </xf>
    <xf numFmtId="164" fontId="49" fillId="61" borderId="13" xfId="0" applyFont="1" applyFill="1" applyBorder="1" applyAlignment="1">
      <alignment horizontal="center"/>
    </xf>
    <xf numFmtId="164" fontId="49" fillId="61" borderId="63" xfId="0" applyFont="1" applyFill="1" applyBorder="1" applyAlignment="1">
      <alignment horizontal="center"/>
    </xf>
    <xf numFmtId="164" fontId="10" fillId="62" borderId="9" xfId="0" applyFont="1" applyFill="1" applyBorder="1" applyAlignment="1">
      <alignment horizontal="center" wrapText="1"/>
    </xf>
    <xf numFmtId="164" fontId="10" fillId="63" borderId="33" xfId="0" applyFont="1" applyFill="1" applyBorder="1" applyAlignment="1">
      <alignment horizontal="center" wrapText="1"/>
    </xf>
    <xf numFmtId="164" fontId="4" fillId="64" borderId="58" xfId="0" applyFont="1" applyFill="1" applyBorder="1" applyAlignment="1">
      <alignment horizontal="center" wrapText="1"/>
    </xf>
    <xf numFmtId="164" fontId="10" fillId="0" borderId="58" xfId="0" applyFont="1" applyBorder="1" applyAlignment="1">
      <alignment horizontal="center" wrapText="1"/>
    </xf>
    <xf numFmtId="164" fontId="4" fillId="0" borderId="33" xfId="0" applyFont="1" applyBorder="1" applyAlignment="1">
      <alignment horizontal="center" wrapText="1"/>
    </xf>
    <xf numFmtId="164" fontId="4" fillId="64" borderId="9" xfId="0" applyFont="1" applyFill="1" applyBorder="1" applyAlignment="1">
      <alignment horizontal="center" wrapText="1"/>
    </xf>
    <xf numFmtId="164" fontId="5" fillId="0" borderId="64" xfId="0" applyFont="1" applyBorder="1" applyAlignment="1">
      <alignment horizontal="centerContinuous"/>
    </xf>
    <xf numFmtId="164" fontId="5" fillId="0" borderId="50" xfId="0" applyFont="1" applyBorder="1" applyAlignment="1">
      <alignment horizontal="centerContinuous" wrapText="1"/>
    </xf>
    <xf numFmtId="164" fontId="4" fillId="0" borderId="3" xfId="0" applyFont="1" applyBorder="1" applyAlignment="1">
      <alignment horizontal="center" wrapText="1"/>
    </xf>
    <xf numFmtId="37" fontId="2" fillId="12" borderId="33" xfId="0" applyNumberFormat="1" applyFont="1" applyFill="1" applyBorder="1" applyAlignment="1" applyProtection="1">
      <alignment horizontal="center" vertical="top"/>
      <protection locked="0"/>
    </xf>
    <xf numFmtId="164" fontId="2" fillId="12" borderId="33" xfId="0" applyFont="1" applyFill="1" applyBorder="1" applyAlignment="1" applyProtection="1">
      <alignment horizontal="center" vertical="top"/>
      <protection locked="0"/>
    </xf>
    <xf numFmtId="40" fontId="2" fillId="12" borderId="33" xfId="0" applyNumberFormat="1" applyFont="1" applyFill="1" applyBorder="1" applyAlignment="1" applyProtection="1">
      <alignment horizontal="center" vertical="top"/>
      <protection locked="0"/>
    </xf>
    <xf numFmtId="164" fontId="2" fillId="12" borderId="3" xfId="0" applyFont="1" applyFill="1" applyBorder="1" applyAlignment="1" applyProtection="1">
      <alignment horizontal="center" vertical="top"/>
      <protection locked="0"/>
    </xf>
    <xf numFmtId="164" fontId="4" fillId="0" borderId="0" xfId="0" applyFont="1"/>
    <xf numFmtId="0" fontId="4" fillId="0" borderId="0" xfId="0" applyNumberFormat="1" applyFont="1" applyAlignment="1" applyProtection="1">
      <alignment horizontal="center"/>
      <protection locked="0"/>
    </xf>
    <xf numFmtId="0" fontId="10" fillId="0" borderId="0" xfId="0" applyNumberFormat="1" applyFont="1" applyAlignment="1" applyProtection="1">
      <alignment horizontal="center"/>
      <protection locked="0"/>
    </xf>
    <xf numFmtId="164" fontId="0" fillId="0" borderId="0" xfId="0" applyProtection="1">
      <protection locked="0"/>
    </xf>
    <xf numFmtId="164" fontId="14" fillId="30" borderId="0" xfId="0" applyFont="1" applyFill="1" applyAlignment="1">
      <alignment horizontal="left"/>
    </xf>
    <xf numFmtId="164" fontId="13" fillId="30" borderId="0" xfId="0" applyFont="1" applyFill="1" applyAlignment="1">
      <alignment horizontal="left"/>
    </xf>
    <xf numFmtId="49" fontId="16" fillId="47" borderId="0" xfId="0" applyNumberFormat="1" applyFont="1" applyFill="1" applyAlignment="1" applyProtection="1">
      <alignment horizontal="left"/>
      <protection locked="0"/>
    </xf>
    <xf numFmtId="164" fontId="16" fillId="28" borderId="0" xfId="0" applyFont="1" applyFill="1" applyAlignment="1">
      <alignment horizontal="center"/>
    </xf>
    <xf numFmtId="164" fontId="16" fillId="28" borderId="0" xfId="0" applyFont="1" applyFill="1" applyAlignment="1" applyProtection="1">
      <alignment horizontal="center"/>
      <protection locked="0"/>
    </xf>
    <xf numFmtId="0" fontId="30" fillId="0" borderId="22" xfId="8" applyFont="1" applyBorder="1" applyAlignment="1">
      <alignment horizontal="left" wrapText="1"/>
    </xf>
    <xf numFmtId="0" fontId="30" fillId="0" borderId="0" xfId="8" applyFont="1" applyAlignment="1">
      <alignment vertical="center" wrapText="1"/>
    </xf>
    <xf numFmtId="0" fontId="17" fillId="0" borderId="0" xfId="8" applyFont="1" applyAlignment="1">
      <alignment vertical="center" wrapText="1"/>
    </xf>
    <xf numFmtId="0" fontId="30" fillId="0" borderId="0" xfId="8" applyFont="1" applyAlignment="1">
      <alignment horizontal="left" wrapText="1"/>
    </xf>
    <xf numFmtId="0" fontId="30" fillId="0" borderId="0" xfId="8" applyFont="1" applyAlignment="1">
      <alignment vertical="top" wrapText="1"/>
    </xf>
    <xf numFmtId="0" fontId="17" fillId="0" borderId="0" xfId="8" applyFont="1" applyAlignment="1">
      <alignment vertical="top" wrapText="1"/>
    </xf>
    <xf numFmtId="37" fontId="23" fillId="0" borderId="0" xfId="8" applyNumberFormat="1" applyFont="1" applyAlignment="1">
      <alignment horizontal="center"/>
    </xf>
    <xf numFmtId="37" fontId="7" fillId="0" borderId="0" xfId="8" applyNumberFormat="1" applyFont="1" applyAlignment="1">
      <alignment horizontal="center"/>
    </xf>
    <xf numFmtId="0" fontId="25" fillId="0" borderId="54" xfId="8" applyFont="1" applyBorder="1" applyAlignment="1">
      <alignment horizontal="center"/>
    </xf>
    <xf numFmtId="0" fontId="25" fillId="0" borderId="53" xfId="8" applyFont="1" applyBorder="1" applyAlignment="1">
      <alignment horizontal="center"/>
    </xf>
    <xf numFmtId="0" fontId="25" fillId="0" borderId="23" xfId="8" applyFont="1" applyBorder="1" applyAlignment="1">
      <alignment horizontal="center"/>
    </xf>
    <xf numFmtId="0" fontId="30" fillId="0" borderId="0" xfId="8" applyFont="1" applyAlignment="1">
      <alignment horizontal="left" vertical="top" wrapText="1"/>
    </xf>
    <xf numFmtId="0" fontId="30" fillId="0" borderId="22" xfId="8" applyFont="1" applyBorder="1" applyAlignment="1">
      <alignment horizontal="left" vertical="top" wrapText="1"/>
    </xf>
    <xf numFmtId="0" fontId="4" fillId="0" borderId="54" xfId="8" applyFont="1" applyBorder="1" applyAlignment="1">
      <alignment horizontal="center"/>
    </xf>
    <xf numFmtId="0" fontId="4" fillId="0" borderId="53" xfId="8" applyFont="1" applyBorder="1" applyAlignment="1">
      <alignment horizontal="center"/>
    </xf>
    <xf numFmtId="0" fontId="4" fillId="0" borderId="23" xfId="8" applyFont="1" applyBorder="1" applyAlignment="1">
      <alignment horizontal="center"/>
    </xf>
    <xf numFmtId="37" fontId="35" fillId="0" borderId="0" xfId="8" applyNumberFormat="1" applyFont="1" applyAlignment="1">
      <alignment horizontal="center"/>
    </xf>
    <xf numFmtId="0" fontId="30" fillId="0" borderId="0" xfId="8" applyFont="1" applyAlignment="1">
      <alignment wrapText="1"/>
    </xf>
    <xf numFmtId="0" fontId="32" fillId="0" borderId="0" xfId="8" applyFont="1" applyAlignment="1">
      <alignment vertical="top" wrapText="1"/>
    </xf>
    <xf numFmtId="0" fontId="19" fillId="0" borderId="0" xfId="8" applyFont="1" applyAlignment="1">
      <alignment vertical="top" wrapText="1"/>
    </xf>
    <xf numFmtId="0" fontId="17" fillId="0" borderId="0" xfId="8" applyFont="1"/>
    <xf numFmtId="0" fontId="1" fillId="0" borderId="0" xfId="8" applyAlignment="1">
      <alignment vertical="top" wrapText="1"/>
    </xf>
    <xf numFmtId="0" fontId="22" fillId="0" borderId="0" xfId="8" applyFont="1" applyAlignment="1">
      <alignment vertical="top" wrapText="1"/>
    </xf>
    <xf numFmtId="164" fontId="4" fillId="0" borderId="52" xfId="0" applyFont="1" applyBorder="1" applyAlignment="1">
      <alignment horizontal="center" wrapText="1"/>
    </xf>
    <xf numFmtId="164" fontId="5" fillId="0" borderId="8" xfId="0" applyFont="1" applyBorder="1" applyAlignment="1">
      <alignment horizontal="center" wrapText="1"/>
    </xf>
    <xf numFmtId="164" fontId="0" fillId="0" borderId="65" xfId="0" applyFont="1" applyFill="1" applyBorder="1"/>
    <xf numFmtId="164" fontId="0" fillId="0" borderId="66" xfId="0" applyFont="1" applyFill="1" applyBorder="1"/>
    <xf numFmtId="164" fontId="0" fillId="0" borderId="77" xfId="0" applyFont="1" applyFill="1" applyBorder="1"/>
    <xf numFmtId="164" fontId="0" fillId="0" borderId="17" xfId="0" applyFont="1" applyFill="1" applyBorder="1"/>
    <xf numFmtId="9" fontId="0" fillId="0" borderId="66" xfId="0" applyNumberFormat="1" applyFont="1" applyFill="1" applyBorder="1"/>
    <xf numFmtId="9" fontId="0" fillId="0" borderId="67" xfId="0" applyNumberFormat="1" applyFont="1" applyFill="1" applyBorder="1"/>
    <xf numFmtId="164" fontId="0" fillId="0" borderId="69" xfId="0" applyFont="1" applyFill="1" applyBorder="1"/>
    <xf numFmtId="164" fontId="0" fillId="0" borderId="70" xfId="0" applyFont="1" applyFill="1" applyBorder="1"/>
    <xf numFmtId="164" fontId="0" fillId="0" borderId="68" xfId="0" applyFont="1" applyFill="1" applyBorder="1"/>
    <xf numFmtId="164" fontId="0" fillId="0" borderId="71" xfId="0" applyFont="1" applyFill="1" applyBorder="1"/>
    <xf numFmtId="3" fontId="0" fillId="0" borderId="65" xfId="0" applyNumberFormat="1" applyFont="1" applyFill="1" applyBorder="1"/>
    <xf numFmtId="3" fontId="0" fillId="0" borderId="70" xfId="0" applyNumberFormat="1" applyFont="1" applyFill="1" applyBorder="1"/>
    <xf numFmtId="3" fontId="0" fillId="0" borderId="69" xfId="0" applyNumberFormat="1" applyFont="1" applyFill="1" applyBorder="1"/>
    <xf numFmtId="3" fontId="0" fillId="0" borderId="72" xfId="0" applyNumberFormat="1" applyFont="1" applyFill="1" applyBorder="1"/>
    <xf numFmtId="3" fontId="0" fillId="0" borderId="0" xfId="0" applyNumberFormat="1" applyFont="1" applyFill="1" applyBorder="1"/>
    <xf numFmtId="3" fontId="0" fillId="0" borderId="73" xfId="0" applyNumberFormat="1" applyFont="1" applyFill="1" applyBorder="1"/>
    <xf numFmtId="3" fontId="0" fillId="0" borderId="78" xfId="0" applyNumberFormat="1" applyFont="1" applyFill="1" applyBorder="1"/>
    <xf numFmtId="3" fontId="0" fillId="0" borderId="50" xfId="0" applyNumberFormat="1" applyFont="1" applyFill="1" applyBorder="1"/>
    <xf numFmtId="3" fontId="0" fillId="0" borderId="79" xfId="0" applyNumberFormat="1" applyFont="1" applyFill="1" applyBorder="1"/>
    <xf numFmtId="3" fontId="0" fillId="0" borderId="74" xfId="0" applyNumberFormat="1" applyFont="1" applyFill="1" applyBorder="1"/>
    <xf numFmtId="3" fontId="0" fillId="0" borderId="75" xfId="0" applyNumberFormat="1" applyFont="1" applyFill="1" applyBorder="1"/>
    <xf numFmtId="3" fontId="0" fillId="0" borderId="76" xfId="0" applyNumberFormat="1" applyFont="1" applyFill="1" applyBorder="1"/>
    <xf numFmtId="3" fontId="0" fillId="0" borderId="45" xfId="0" applyNumberFormat="1" applyFont="1" applyFill="1" applyBorder="1"/>
    <xf numFmtId="3" fontId="0" fillId="0" borderId="18" xfId="0" applyNumberFormat="1" applyFont="1" applyFill="1" applyBorder="1"/>
    <xf numFmtId="3" fontId="0" fillId="0" borderId="80" xfId="0" applyNumberFormat="1" applyFont="1" applyFill="1" applyBorder="1"/>
    <xf numFmtId="3" fontId="0" fillId="0" borderId="81" xfId="0" applyNumberFormat="1" applyFont="1" applyFill="1" applyBorder="1"/>
    <xf numFmtId="164" fontId="0" fillId="0" borderId="82" xfId="0" applyFont="1" applyFill="1" applyBorder="1"/>
    <xf numFmtId="9" fontId="0" fillId="0" borderId="70" xfId="0" applyNumberFormat="1" applyFont="1" applyFill="1" applyBorder="1"/>
  </cellXfs>
  <cellStyles count="13">
    <cellStyle name="40% - Accent3 2" xfId="12" xr:uid="{3DA2A2B2-C52F-4AD1-9610-7AB73F4D7A98}"/>
    <cellStyle name="CalcNumNew" xfId="7" xr:uid="{00000000-0005-0000-0000-000000000000}"/>
    <cellStyle name="CalcNumOld" xfId="6" xr:uid="{00000000-0005-0000-0000-000001000000}"/>
    <cellStyle name="CalcPctNew" xfId="5" xr:uid="{00000000-0005-0000-0000-000002000000}"/>
    <cellStyle name="CalcPctOld" xfId="4" xr:uid="{00000000-0005-0000-0000-000003000000}"/>
    <cellStyle name="Comma 2" xfId="9" xr:uid="{7431BC62-2B01-4A1A-A85F-FFAA03AC9E0C}"/>
    <cellStyle name="Comma 3" xfId="10" xr:uid="{407C071B-BF1A-486B-AA0A-7F006C4A82DC}"/>
    <cellStyle name="DataNew" xfId="3" xr:uid="{00000000-0005-0000-0000-000004000000}"/>
    <cellStyle name="DataOld" xfId="2" xr:uid="{00000000-0005-0000-0000-000005000000}"/>
    <cellStyle name="DataOldLock" xfId="1" xr:uid="{00000000-0005-0000-0000-000006000000}"/>
    <cellStyle name="Normal" xfId="0" builtinId="0" customBuiltin="1"/>
    <cellStyle name="Normal 2" xfId="8" xr:uid="{DF6CD6A7-3813-4293-86D7-486BC52BD0B5}"/>
    <cellStyle name="Percent 2" xfId="11" xr:uid="{4033D3BC-3192-45AD-B4E2-C8F41A3C9F04}"/>
  </cellStyles>
  <dxfs count="9495">
    <dxf>
      <numFmt numFmtId="13" formatCode="0%"/>
    </dxf>
    <dxf>
      <numFmt numFmtId="13" formatCode="0%"/>
    </dxf>
    <dxf>
      <numFmt numFmtId="13" formatCode="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8"/>
        </top>
      </border>
    </dxf>
    <dxf>
      <font>
        <b/>
      </font>
    </dxf>
    <dxf>
      <border>
        <top style="thin">
          <color indexed="8"/>
        </top>
        <bottom/>
      </border>
    </dxf>
    <dxf>
      <font>
        <b val="0"/>
      </font>
    </dxf>
    <dxf>
      <font>
        <b val="0"/>
      </font>
    </dxf>
    <dxf>
      <fill>
        <patternFill patternType="solid">
          <bgColor indexed="47"/>
        </patternFill>
      </fill>
    </dxf>
    <dxf>
      <fill>
        <patternFill patternType="solid">
          <bgColor indexed="45"/>
        </patternFill>
      </fill>
    </dxf>
    <dxf>
      <fill>
        <patternFill patternType="solid">
          <bgColor indexed="51"/>
        </patternFill>
      </fill>
    </dxf>
    <dxf>
      <fill>
        <patternFill patternType="solid">
          <bgColor indexed="43"/>
        </patternFill>
      </fill>
    </dxf>
    <dxf>
      <border>
        <top/>
      </border>
    </dxf>
    <dxf>
      <border>
        <bottom style="thin">
          <color indexed="64"/>
        </bottom>
      </border>
    </dxf>
    <dxf>
      <border>
        <bottom style="thin">
          <color indexed="64"/>
        </bottom>
      </border>
    </dxf>
    <dxf>
      <border>
        <top style="thin">
          <color indexed="8"/>
        </top>
      </border>
    </dxf>
    <dxf>
      <border>
        <top style="thin">
          <color indexed="8"/>
        </top>
      </border>
    </dxf>
    <dxf>
      <border>
        <top style="thin">
          <color indexed="8"/>
        </top>
      </border>
    </dxf>
    <dxf>
      <border>
        <top style="thin">
          <color indexed="8"/>
        </top>
      </border>
    </dxf>
    <dxf>
      <border>
        <bottom style="thin">
          <color indexed="8"/>
        </bottom>
      </border>
    </dxf>
    <dxf>
      <border>
        <bottom style="thin">
          <color indexed="64"/>
        </bottom>
      </border>
    </dxf>
    <dxf>
      <border>
        <bottom style="thin">
          <color indexed="64"/>
        </bottom>
      </border>
    </dxf>
    <dxf>
      <border>
        <bottom style="thin">
          <color indexed="64"/>
        </bottom>
      </border>
    </dxf>
    <dxf>
      <fill>
        <patternFill patternType="none"/>
      </fill>
    </dxf>
    <dxf>
      <numFmt numFmtId="165" formatCode="_(* #,##0_);_(* \(#,##0\);_(* &quot;-&quot;??_);_(@_)"/>
    </dxf>
    <dxf>
      <font>
        <color indexed="53"/>
      </font>
    </dxf>
    <dxf>
      <font>
        <color indexed="53"/>
      </font>
    </dxf>
    <dxf>
      <font>
        <color indexed="53"/>
      </font>
    </dxf>
    <dxf>
      <font>
        <color indexed="17"/>
      </font>
    </dxf>
    <dxf>
      <font>
        <color indexed="17"/>
      </font>
    </dxf>
    <dxf>
      <font>
        <color indexed="61"/>
      </font>
    </dxf>
    <dxf>
      <font>
        <color indexed="61"/>
      </font>
    </dxf>
    <dxf>
      <font>
        <color indexed="61"/>
      </font>
    </dxf>
    <dxf>
      <font>
        <color indexed="23"/>
      </font>
    </dxf>
    <dxf>
      <font>
        <color indexed="23"/>
      </font>
    </dxf>
    <dxf>
      <font>
        <b/>
      </font>
    </dxf>
    <dxf>
      <font>
        <b/>
      </font>
    </dxf>
    <dxf>
      <font>
        <b/>
      </font>
    </dxf>
    <dxf>
      <font>
        <b/>
      </font>
    </dxf>
    <dxf>
      <font>
        <b/>
      </font>
    </dxf>
    <dxf>
      <font>
        <b/>
      </font>
    </dxf>
    <dxf>
      <font>
        <b/>
      </font>
    </dxf>
    <dxf>
      <font>
        <b/>
      </font>
    </dxf>
    <dxf>
      <font>
        <b/>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ill>
        <patternFill patternType="none">
          <bgColor auto="1"/>
        </patternFill>
      </fill>
    </dxf>
    <dxf>
      <font>
        <b val="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border>
    </dxf>
    <dxf>
      <border>
        <left/>
      </border>
    </dxf>
    <dxf>
      <border>
        <left/>
      </border>
    </dxf>
    <dxf>
      <border>
        <left/>
      </border>
    </dxf>
    <dxf>
      <border>
        <left/>
      </border>
    </dxf>
    <dxf>
      <border>
        <left/>
      </border>
    </dxf>
    <dxf>
      <border>
        <left/>
      </border>
    </dxf>
    <dxf>
      <border>
        <left/>
      </border>
    </dxf>
    <dxf>
      <border>
        <left/>
      </border>
    </dxf>
    <dxf>
      <fill>
        <patternFill patternType="none">
          <bgColor auto="1"/>
        </patternFill>
      </fill>
    </dxf>
    <dxf>
      <numFmt numFmtId="13" formatCode="0%"/>
    </dxf>
    <dxf>
      <numFmt numFmtId="13" formatCode="0%"/>
    </dxf>
    <dxf>
      <numFmt numFmtId="13" formatCode="0%"/>
    </dxf>
    <dxf>
      <numFmt numFmtId="166" formatCode="0.0%"/>
    </dxf>
    <dxf>
      <border>
        <bottom style="thin">
          <color indexed="64"/>
        </bottom>
      </border>
    </dxf>
    <dxf>
      <font>
        <b/>
      </font>
    </dxf>
    <dxf>
      <font>
        <b val="0"/>
      </font>
    </dxf>
    <dxf>
      <font>
        <b val="0"/>
      </font>
    </dxf>
    <dxf>
      <font>
        <b val="0"/>
      </font>
    </dxf>
    <dxf>
      <font>
        <b val="0"/>
      </font>
    </dxf>
    <dxf>
      <font>
        <b val="0"/>
      </font>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border>
        <left/>
      </border>
    </dxf>
    <dxf>
      <border>
        <left/>
      </border>
    </dxf>
    <dxf>
      <border>
        <right style="thin">
          <color indexed="64"/>
        </right>
      </border>
    </dxf>
    <dxf>
      <border>
        <top style="thin">
          <color indexed="64"/>
        </top>
      </border>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none">
          <bgColor auto="1"/>
        </patternFill>
      </fill>
    </dxf>
    <dxf>
      <font>
        <color auto="1"/>
      </font>
    </dxf>
    <dxf>
      <border>
        <left style="thin">
          <color indexed="64"/>
        </left>
      </border>
    </dxf>
    <dxf>
      <border>
        <left style="thin">
          <color indexed="64"/>
        </left>
      </border>
    </dxf>
    <dxf>
      <border>
        <left style="thin">
          <color indexed="64"/>
        </left>
      </border>
    </dxf>
    <dxf>
      <border>
        <right/>
      </border>
    </dxf>
    <dxf>
      <border>
        <right/>
      </border>
    </dxf>
    <dxf>
      <border>
        <right/>
      </border>
    </dxf>
    <dxf>
      <border>
        <right/>
      </border>
    </dxf>
    <dxf>
      <border>
        <right/>
      </border>
    </dxf>
    <dxf>
      <border>
        <bottom style="medium">
          <color indexed="8"/>
        </bottom>
      </border>
    </dxf>
    <dxf>
      <border>
        <bottom style="medium">
          <color indexed="8"/>
        </bottom>
      </border>
    </dxf>
    <dxf>
      <border>
        <bottom style="medium">
          <color indexed="8"/>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3" formatCode="0%"/>
    </dxf>
    <dxf>
      <numFmt numFmtId="13" formatCode="0%"/>
    </dxf>
    <dxf>
      <numFmt numFmtId="13" formatCode="0%"/>
    </dxf>
    <dxf>
      <numFmt numFmtId="166" formatCode="0.0%"/>
    </dxf>
    <dxf>
      <border>
        <bottom style="thin">
          <color indexed="64"/>
        </bottom>
      </border>
    </dxf>
    <dxf>
      <font>
        <b/>
      </font>
    </dxf>
    <dxf>
      <font>
        <b val="0"/>
      </font>
    </dxf>
    <dxf>
      <font>
        <b val="0"/>
      </font>
    </dxf>
    <dxf>
      <font>
        <b val="0"/>
      </font>
    </dxf>
    <dxf>
      <font>
        <b val="0"/>
      </font>
    </dxf>
    <dxf>
      <font>
        <b val="0"/>
      </font>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border>
        <left/>
      </border>
    </dxf>
    <dxf>
      <border>
        <left/>
      </border>
    </dxf>
    <dxf>
      <border>
        <right style="thin">
          <color indexed="64"/>
        </right>
      </border>
    </dxf>
    <dxf>
      <border>
        <top style="thin">
          <color indexed="64"/>
        </top>
      </border>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patternType="none">
          <bgColor auto="1"/>
        </patternFill>
      </fill>
    </dxf>
    <dxf>
      <font>
        <color auto="1"/>
      </font>
    </dxf>
    <dxf>
      <border>
        <left style="thin">
          <color indexed="64"/>
        </left>
      </border>
    </dxf>
    <dxf>
      <border>
        <left style="thin">
          <color indexed="64"/>
        </left>
      </border>
    </dxf>
    <dxf>
      <border>
        <left style="thin">
          <color indexed="64"/>
        </left>
      </border>
    </dxf>
    <dxf>
      <border>
        <right/>
      </border>
    </dxf>
    <dxf>
      <border>
        <right/>
      </border>
    </dxf>
    <dxf>
      <border>
        <right/>
      </border>
    </dxf>
    <dxf>
      <border>
        <right/>
      </border>
    </dxf>
    <dxf>
      <border>
        <right/>
      </border>
    </dxf>
    <dxf>
      <border>
        <bottom style="medium">
          <color indexed="8"/>
        </bottom>
      </border>
    </dxf>
    <dxf>
      <border>
        <bottom style="medium">
          <color indexed="8"/>
        </bottom>
      </border>
    </dxf>
    <dxf>
      <border>
        <bottom style="medium">
          <color indexed="8"/>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13" formatCode="0%"/>
    </dxf>
    <dxf>
      <numFmt numFmtId="13" formatCode="0%"/>
    </dxf>
    <dxf>
      <numFmt numFmtId="13" formatCode="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8"/>
        </top>
      </border>
    </dxf>
    <dxf>
      <font>
        <b/>
      </font>
    </dxf>
    <dxf>
      <border>
        <top style="thin">
          <color indexed="8"/>
        </top>
        <bottom/>
      </border>
    </dxf>
    <dxf>
      <font>
        <b val="0"/>
      </font>
    </dxf>
    <dxf>
      <font>
        <b val="0"/>
      </font>
    </dxf>
    <dxf>
      <fill>
        <patternFill patternType="solid">
          <bgColor indexed="47"/>
        </patternFill>
      </fill>
    </dxf>
    <dxf>
      <fill>
        <patternFill patternType="solid">
          <bgColor indexed="45"/>
        </patternFill>
      </fill>
    </dxf>
    <dxf>
      <fill>
        <patternFill patternType="solid">
          <bgColor indexed="51"/>
        </patternFill>
      </fill>
    </dxf>
    <dxf>
      <fill>
        <patternFill patternType="solid">
          <bgColor indexed="43"/>
        </patternFill>
      </fill>
    </dxf>
    <dxf>
      <border>
        <top/>
      </border>
    </dxf>
    <dxf>
      <border>
        <bottom style="thin">
          <color indexed="64"/>
        </bottom>
      </border>
    </dxf>
    <dxf>
      <border>
        <bottom style="thin">
          <color indexed="64"/>
        </bottom>
      </border>
    </dxf>
    <dxf>
      <border>
        <top style="thin">
          <color indexed="8"/>
        </top>
      </border>
    </dxf>
    <dxf>
      <border>
        <top style="thin">
          <color indexed="8"/>
        </top>
      </border>
    </dxf>
    <dxf>
      <border>
        <top style="thin">
          <color indexed="8"/>
        </top>
      </border>
    </dxf>
    <dxf>
      <border>
        <top style="thin">
          <color indexed="8"/>
        </top>
      </border>
    </dxf>
    <dxf>
      <border>
        <bottom style="thin">
          <color indexed="8"/>
        </bottom>
      </border>
    </dxf>
    <dxf>
      <border>
        <bottom style="thin">
          <color indexed="64"/>
        </bottom>
      </border>
    </dxf>
    <dxf>
      <border>
        <bottom style="thin">
          <color indexed="64"/>
        </bottom>
      </border>
    </dxf>
    <dxf>
      <border>
        <bottom style="thin">
          <color indexed="64"/>
        </bottom>
      </border>
    </dxf>
    <dxf>
      <fill>
        <patternFill patternType="none"/>
      </fill>
    </dxf>
    <dxf>
      <numFmt numFmtId="165" formatCode="_(* #,##0_);_(* \(#,##0\);_(* &quot;-&quot;??_);_(@_)"/>
    </dxf>
    <dxf>
      <font>
        <color indexed="53"/>
      </font>
    </dxf>
    <dxf>
      <font>
        <color indexed="53"/>
      </font>
    </dxf>
    <dxf>
      <font>
        <color indexed="53"/>
      </font>
    </dxf>
    <dxf>
      <font>
        <color indexed="17"/>
      </font>
    </dxf>
    <dxf>
      <font>
        <color indexed="17"/>
      </font>
    </dxf>
    <dxf>
      <font>
        <color indexed="61"/>
      </font>
    </dxf>
    <dxf>
      <font>
        <color indexed="61"/>
      </font>
    </dxf>
    <dxf>
      <font>
        <color indexed="61"/>
      </font>
    </dxf>
    <dxf>
      <font>
        <color indexed="23"/>
      </font>
    </dxf>
    <dxf>
      <font>
        <color indexed="23"/>
      </font>
    </dxf>
    <dxf>
      <font>
        <b/>
      </font>
    </dxf>
    <dxf>
      <font>
        <b/>
      </font>
    </dxf>
    <dxf>
      <font>
        <b/>
      </font>
    </dxf>
    <dxf>
      <font>
        <b/>
      </font>
    </dxf>
    <dxf>
      <font>
        <b/>
      </font>
    </dxf>
    <dxf>
      <font>
        <b/>
      </font>
    </dxf>
    <dxf>
      <font>
        <b/>
      </font>
    </dxf>
    <dxf>
      <font>
        <b/>
      </font>
    </dxf>
    <dxf>
      <font>
        <b/>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ill>
        <patternFill patternType="none">
          <bgColor auto="1"/>
        </patternFill>
      </fill>
    </dxf>
    <dxf>
      <font>
        <b val="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border>
    </dxf>
    <dxf>
      <border>
        <left/>
      </border>
    </dxf>
    <dxf>
      <border>
        <left/>
      </border>
    </dxf>
    <dxf>
      <border>
        <left/>
      </border>
    </dxf>
    <dxf>
      <border>
        <left/>
      </border>
    </dxf>
    <dxf>
      <border>
        <left/>
      </border>
    </dxf>
    <dxf>
      <border>
        <left/>
      </border>
    </dxf>
    <dxf>
      <border>
        <left/>
      </border>
    </dxf>
    <dxf>
      <border>
        <left/>
      </border>
    </dxf>
    <dxf>
      <fill>
        <patternFill patternType="none">
          <bgColor auto="1"/>
        </patternFill>
      </fill>
    </dxf>
    <dxf>
      <numFmt numFmtId="164" formatCode="0_)"/>
      <fill>
        <patternFill patternType="solid">
          <bgColor rgb="FFFF0000"/>
        </patternFill>
      </fill>
    </dxf>
    <dxf>
      <numFmt numFmtId="164" formatCode="0_)"/>
      <fill>
        <patternFill patternType="solid">
          <bgColor rgb="FFFF0000"/>
        </patternFill>
      </fill>
    </dxf>
    <dxf>
      <numFmt numFmtId="164" formatCode="0_)"/>
      <fill>
        <patternFill patternType="solid">
          <bgColor rgb="FFFF0000"/>
        </patternFill>
      </fill>
    </dxf>
    <dxf>
      <numFmt numFmtId="164" formatCode="0_)"/>
      <fill>
        <patternFill patternType="solid">
          <bgColor rgb="FFFF0000"/>
        </patternFill>
      </fill>
    </dxf>
    <dxf>
      <font>
        <condense val="0"/>
        <extend val="0"/>
        <color indexed="10"/>
      </font>
    </dxf>
    <dxf>
      <font>
        <condense val="0"/>
        <extend val="0"/>
        <color indexed="10"/>
      </font>
    </dxf>
    <dxf>
      <fill>
        <patternFill patternType="none">
          <bgColor auto="1"/>
        </patternFill>
      </fill>
    </dxf>
    <dxf>
      <border>
        <left/>
      </border>
    </dxf>
    <dxf>
      <border>
        <left/>
      </border>
    </dxf>
    <dxf>
      <border>
        <left/>
      </border>
    </dxf>
    <dxf>
      <border>
        <left/>
      </border>
    </dxf>
    <dxf>
      <border>
        <left/>
      </border>
    </dxf>
    <dxf>
      <border>
        <left/>
      </border>
    </dxf>
    <dxf>
      <border>
        <left/>
      </border>
    </dxf>
    <dxf>
      <border>
        <left/>
      </border>
    </dxf>
    <dxf>
      <border>
        <lef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border>
        <left/>
        <top/>
      </border>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val="0"/>
      </font>
    </dxf>
    <dxf>
      <fill>
        <patternFill patternType="none">
          <bgColor auto="1"/>
        </patternFill>
      </fill>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b/>
      </font>
    </dxf>
    <dxf>
      <font>
        <b/>
      </font>
    </dxf>
    <dxf>
      <font>
        <b/>
      </font>
    </dxf>
    <dxf>
      <font>
        <b/>
      </font>
    </dxf>
    <dxf>
      <font>
        <b/>
      </font>
    </dxf>
    <dxf>
      <font>
        <b/>
      </font>
    </dxf>
    <dxf>
      <font>
        <b/>
      </font>
    </dxf>
    <dxf>
      <font>
        <b/>
      </font>
    </dxf>
    <dxf>
      <font>
        <color indexed="23"/>
      </font>
    </dxf>
    <dxf>
      <font>
        <color indexed="23"/>
      </font>
    </dxf>
    <dxf>
      <font>
        <color indexed="61"/>
      </font>
    </dxf>
    <dxf>
      <font>
        <color indexed="61"/>
      </font>
    </dxf>
    <dxf>
      <font>
        <color indexed="61"/>
      </font>
    </dxf>
    <dxf>
      <font>
        <color indexed="17"/>
      </font>
    </dxf>
    <dxf>
      <font>
        <color indexed="17"/>
      </font>
    </dxf>
    <dxf>
      <font>
        <color indexed="53"/>
      </font>
    </dxf>
    <dxf>
      <font>
        <color indexed="53"/>
      </font>
    </dxf>
    <dxf>
      <font>
        <color indexed="53"/>
      </font>
    </dxf>
    <dxf>
      <numFmt numFmtId="165" formatCode="_(* #,##0_);_(* \(#,##0\);_(* &quot;-&quot;??_);_(@_)"/>
    </dxf>
    <dxf>
      <fill>
        <patternFill patternType="none"/>
      </fill>
    </dxf>
    <dxf>
      <border>
        <bottom style="thin">
          <color indexed="64"/>
        </bottom>
      </border>
    </dxf>
    <dxf>
      <border>
        <bottom style="thin">
          <color indexed="64"/>
        </bottom>
      </border>
    </dxf>
    <dxf>
      <border>
        <bottom style="thin">
          <color indexed="64"/>
        </bottom>
      </border>
    </dxf>
    <dxf>
      <border>
        <bottom style="thin">
          <color indexed="8"/>
        </bottom>
      </border>
    </dxf>
    <dxf>
      <border>
        <top style="thin">
          <color indexed="8"/>
        </top>
      </border>
    </dxf>
    <dxf>
      <border>
        <top style="thin">
          <color indexed="8"/>
        </top>
      </border>
    </dxf>
    <dxf>
      <border>
        <top style="thin">
          <color indexed="8"/>
        </top>
      </border>
    </dxf>
    <dxf>
      <border>
        <top style="thin">
          <color indexed="8"/>
        </top>
      </border>
    </dxf>
    <dxf>
      <border>
        <bottom style="thin">
          <color indexed="64"/>
        </bottom>
      </border>
    </dxf>
    <dxf>
      <border>
        <bottom style="thin">
          <color indexed="64"/>
        </bottom>
      </border>
    </dxf>
    <dxf>
      <border>
        <top/>
      </border>
    </dxf>
    <dxf>
      <fill>
        <patternFill patternType="solid">
          <bgColor indexed="43"/>
        </patternFill>
      </fill>
    </dxf>
    <dxf>
      <fill>
        <patternFill patternType="solid">
          <bgColor indexed="51"/>
        </patternFill>
      </fill>
    </dxf>
    <dxf>
      <fill>
        <patternFill patternType="solid">
          <bgColor indexed="45"/>
        </patternFill>
      </fill>
    </dxf>
    <dxf>
      <fill>
        <patternFill patternType="solid">
          <bgColor indexed="47"/>
        </patternFill>
      </fill>
    </dxf>
    <dxf>
      <font>
        <b val="0"/>
      </font>
    </dxf>
    <dxf>
      <font>
        <b val="0"/>
      </font>
    </dxf>
    <dxf>
      <border>
        <top style="thin">
          <color indexed="8"/>
        </top>
        <bottom/>
      </border>
    </dxf>
    <dxf>
      <font>
        <b/>
      </font>
    </dxf>
    <dxf>
      <border>
        <top style="thin">
          <color indexed="8"/>
        </top>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3" formatCode="0%"/>
    </dxf>
    <dxf>
      <numFmt numFmtId="13" formatCode="0%"/>
    </dxf>
    <dxf>
      <numFmt numFmtId="1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medium">
          <color indexed="8"/>
        </bottom>
      </border>
    </dxf>
    <dxf>
      <border>
        <bottom style="medium">
          <color indexed="8"/>
        </bottom>
      </border>
    </dxf>
    <dxf>
      <border>
        <bottom style="medium">
          <color indexed="8"/>
        </bottom>
      </border>
    </dxf>
    <dxf>
      <border>
        <right/>
      </border>
    </dxf>
    <dxf>
      <border>
        <right/>
      </border>
    </dxf>
    <dxf>
      <border>
        <right/>
      </border>
    </dxf>
    <dxf>
      <border>
        <right/>
      </border>
    </dxf>
    <dxf>
      <border>
        <right/>
      </border>
    </dxf>
    <dxf>
      <border>
        <left style="thin">
          <color indexed="64"/>
        </left>
      </border>
    </dxf>
    <dxf>
      <border>
        <left style="thin">
          <color indexed="64"/>
        </left>
      </border>
    </dxf>
    <dxf>
      <border>
        <left style="thin">
          <color indexed="64"/>
        </left>
      </border>
    </dxf>
    <dxf>
      <font>
        <color auto="1"/>
      </font>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font>
        <b/>
      </font>
      <numFmt numFmtId="0" formatCode="General"/>
    </dxf>
    <dxf>
      <border>
        <top style="thin">
          <color indexed="64"/>
        </top>
      </border>
    </dxf>
    <dxf>
      <border>
        <right style="thin">
          <color indexed="64"/>
        </right>
      </border>
    </dxf>
    <dxf>
      <border>
        <left/>
      </border>
    </dxf>
    <dxf>
      <border>
        <left/>
      </border>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numFmt numFmtId="167" formatCode="#,##0.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val="0"/>
      </font>
    </dxf>
    <dxf>
      <font>
        <b val="0"/>
      </font>
    </dxf>
    <dxf>
      <font>
        <b val="0"/>
      </font>
    </dxf>
    <dxf>
      <font>
        <b val="0"/>
      </font>
    </dxf>
    <dxf>
      <font>
        <b val="0"/>
      </font>
    </dxf>
    <dxf>
      <font>
        <b/>
      </font>
    </dxf>
    <dxf>
      <border>
        <bottom style="thin">
          <color indexed="64"/>
        </bottom>
      </border>
    </dxf>
    <dxf>
      <numFmt numFmtId="166" formatCode="0.0%"/>
    </dxf>
    <dxf>
      <numFmt numFmtId="13" formatCode="0%"/>
    </dxf>
    <dxf>
      <numFmt numFmtId="13" formatCode="0%"/>
    </dxf>
    <dxf>
      <numFmt numFmtId="13" formatCode="0%"/>
    </dxf>
  </dxfs>
  <tableStyles count="0" defaultTableStyle="TableStyleMedium9" defaultPivotStyle="PivotStyleLight16"/>
  <colors>
    <mruColors>
      <color rgb="FF006600"/>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ert Aycock" refreshedDate="45218.621577199076" createdVersion="8" refreshedVersion="8" minRefreshableVersion="3" recordCount="608" xr:uid="{EECA56DB-95E2-46C0-BEF8-D34C47D78A83}">
  <cacheSource type="worksheet">
    <worksheetSource ref="A6:AG614" sheet="05InstructionTypes"/>
  </cacheSource>
  <cacheFields count="74">
    <cacheField name="State" numFmtId="0">
      <sharedItems count="16">
        <s v="AL"/>
        <s v="AR"/>
        <s v="DE"/>
        <s v="FL"/>
        <s v="GA"/>
        <s v="KY"/>
        <s v="LA"/>
        <s v="MD"/>
        <s v="MS"/>
        <s v="NC"/>
        <s v="OK"/>
        <s v="SC"/>
        <s v="TN"/>
        <s v="TX"/>
        <s v="VA"/>
        <s v="WV"/>
      </sharedItems>
    </cacheField>
    <cacheField name="Institution" numFmtId="0">
      <sharedItems containsBlank="1"/>
    </cacheField>
    <cacheField name="Note" numFmtId="0">
      <sharedItems containsBlank="1"/>
    </cacheField>
    <cacheField name="ID" numFmtId="0">
      <sharedItems containsBlank="1" containsMixedTypes="1" containsNumber="1" containsInteger="1" minValue="100654" maxValue="870501"/>
    </cacheField>
    <cacheField name="type" numFmtId="0">
      <sharedItems containsString="0" containsBlank="1" containsNumber="1" containsInteger="1" minValue="1" maxValue="99" count="17">
        <n v="1"/>
        <n v="2"/>
        <n v="3"/>
        <n v="4"/>
        <n v="5"/>
        <n v="8"/>
        <n v="9"/>
        <n v="10"/>
        <n v="12"/>
        <n v="13"/>
        <n v="15"/>
        <n v="6"/>
        <n v="7"/>
        <m/>
        <n v="14"/>
        <n v="99" u="1"/>
        <n v="16" u="1"/>
      </sharedItems>
      <fieldGroup par="70"/>
    </cacheField>
    <cacheField name="OLD-Tot UG SCH Calc" numFmtId="38">
      <sharedItems containsSemiMixedTypes="0" containsString="0" containsNumber="1" minValue="0" maxValue="1412275"/>
    </cacheField>
    <cacheField name="NEW-Tot UG SCH Calc" numFmtId="38">
      <sharedItems containsSemiMixedTypes="0" containsString="0" containsNumber="1" minValue="0" maxValue="1427046"/>
    </cacheField>
    <cacheField name="Old-UG OnC Trad" numFmtId="0">
      <sharedItems containsString="0" containsBlank="1" containsNumber="1" minValue="0" maxValue="823823"/>
    </cacheField>
    <cacheField name="New-UG OnC Trad" numFmtId="0">
      <sharedItems containsString="0" containsBlank="1" containsNumber="1" minValue="0" maxValue="1202915"/>
    </cacheField>
    <cacheField name="Old-UG OffC Trad" numFmtId="0">
      <sharedItems containsString="0" containsBlank="1" containsNumber="1" minValue="0" maxValue="108807"/>
    </cacheField>
    <cacheField name="New-UG OffC Trad" numFmtId="0">
      <sharedItems containsString="0" containsBlank="1" containsNumber="1" minValue="0" maxValue="108523"/>
    </cacheField>
    <cacheField name="Old-UG EL Web" numFmtId="0">
      <sharedItems containsString="0" containsBlank="1" containsNumber="1" minValue="0" maxValue="839034"/>
    </cacheField>
    <cacheField name="Old-UG EL CV" numFmtId="0">
      <sharedItems containsString="0" containsBlank="1" containsNumber="1" minValue="0" maxValue="227752"/>
    </cacheField>
    <cacheField name="Old-UG EL O" numFmtId="0">
      <sharedItems containsString="0" containsBlank="1" containsNumber="1" containsInteger="1" minValue="0" maxValue="70348"/>
    </cacheField>
    <cacheField name="New-UG EL Web" numFmtId="0">
      <sharedItems containsString="0" containsBlank="1" containsNumber="1" minValue="0" maxValue="1109531"/>
    </cacheField>
    <cacheField name="New-UG EL CV" numFmtId="0">
      <sharedItems containsString="0" containsBlank="1" containsNumber="1" minValue="0" maxValue="523952"/>
    </cacheField>
    <cacheField name="New-UG EL O" numFmtId="0">
      <sharedItems containsString="0" containsBlank="1" containsNumber="1" containsInteger="1" minValue="0" maxValue="92484"/>
    </cacheField>
    <cacheField name="Old-UG Cor" numFmtId="0">
      <sharedItems containsString="0" containsBlank="1" containsNumber="1" containsInteger="1" minValue="0" maxValue="4350"/>
    </cacheField>
    <cacheField name="New-UG Cor" numFmtId="0">
      <sharedItems containsString="0" containsBlank="1" containsNumber="1" containsInteger="1" minValue="0" maxValue="3933"/>
    </cacheField>
    <cacheField name="Old-Tot G SCH Calc" numFmtId="38">
      <sharedItems containsSemiMixedTypes="0" containsString="0" containsNumber="1" minValue="0" maxValue="402738.5"/>
    </cacheField>
    <cacheField name="New-Tot G SCH Calc" numFmtId="38">
      <sharedItems containsSemiMixedTypes="0" containsString="0" containsNumber="1" minValue="0" maxValue="441715"/>
    </cacheField>
    <cacheField name="Old-G OnC Trad" numFmtId="0">
      <sharedItems containsString="0" containsBlank="1" containsNumber="1" minValue="0" maxValue="190625.5"/>
    </cacheField>
    <cacheField name="New-G OnC Trad" numFmtId="0">
      <sharedItems containsString="0" containsBlank="1" containsNumber="1" minValue="0" maxValue="226003.11"/>
    </cacheField>
    <cacheField name="Old-G OffC Trad" numFmtId="0">
      <sharedItems containsString="0" containsBlank="1" containsNumber="1" minValue="0" maxValue="52370.5"/>
    </cacheField>
    <cacheField name="New-G OffC Trad" numFmtId="0">
      <sharedItems containsString="0" containsBlank="1" containsNumber="1" minValue="0" maxValue="63358.5"/>
    </cacheField>
    <cacheField name="Old-G EL Web" numFmtId="0">
      <sharedItems containsString="0" containsBlank="1" containsNumber="1" minValue="0" maxValue="243333.5"/>
    </cacheField>
    <cacheField name="Old-G EL CV" numFmtId="0">
      <sharedItems containsString="0" containsBlank="1" containsNumber="1" minValue="0" maxValue="46571"/>
    </cacheField>
    <cacheField name="Old-G EL O" numFmtId="0">
      <sharedItems containsString="0" containsBlank="1" containsNumber="1" containsInteger="1" minValue="0" maxValue="12536"/>
    </cacheField>
    <cacheField name="New-G EL Web" numFmtId="0">
      <sharedItems containsString="0" containsBlank="1" containsNumber="1" minValue="0" maxValue="238342"/>
    </cacheField>
    <cacheField name="New-G EL CV" numFmtId="0">
      <sharedItems containsString="0" containsBlank="1" containsNumber="1" containsInteger="1" minValue="0" maxValue="58641"/>
    </cacheField>
    <cacheField name="New-G EL O" numFmtId="0">
      <sharedItems containsString="0" containsBlank="1" containsNumber="1" containsInteger="1" minValue="0" maxValue="11163"/>
    </cacheField>
    <cacheField name="Old-G Cor" numFmtId="0">
      <sharedItems containsString="0" containsBlank="1" containsNumber="1" containsInteger="1" minValue="0" maxValue="2899"/>
    </cacheField>
    <cacheField name="New-G Cor" numFmtId="0">
      <sharedItems containsString="0" containsBlank="1" containsNumber="1" containsInteger="1" minValue="0" maxValue="2917"/>
    </cacheField>
    <cacheField name="New %G OnC Trad" numFmtId="0" formula="IF('New-Tot G SCH Calc'&gt;0,'New-G OnC Trad'/'New-Tot G SCH Calc',)" databaseField="0"/>
    <cacheField name="New %G OffC Trad" numFmtId="0" formula="IF('New-Tot G SCH Calc'&gt;0,'New-G OffC Trad'/'New-Tot G SCH Calc',)" databaseField="0"/>
    <cacheField name="Old %UG EL Web" numFmtId="0" formula="IF('OLD-Tot UG SCH Calc'&gt;0,'Old-UG EL Web'/'OLD-Tot UG SCH Calc',)" databaseField="0"/>
    <cacheField name="New %UG EL Web" numFmtId="0" formula="IF('NEW-Tot UG SCH Calc'&gt;0,'New-UG EL Web'/'NEW-Tot UG SCH Calc',)" databaseField="0"/>
    <cacheField name="New %G EL Web" numFmtId="0" formula="IF('New-Tot G SCH Calc'&gt;0,'New-G EL Web'/'New-Tot G SCH Calc',)" databaseField="0"/>
    <cacheField name="Old %G EL Web" numFmtId="0" formula="IF('Old-Tot G SCH Calc'&gt;0,'Old-G EL Web'/'Old-Tot G SCH Calc',)" databaseField="0"/>
    <cacheField name="Old %G EL CV" numFmtId="0" formula="IF('Old-Tot G SCH Calc'&gt;0,'Old-G EL CV'/'Old-Tot G SCH Calc',)" databaseField="0"/>
    <cacheField name="New %G EL CV" numFmtId="0" formula="IF('New-Tot G SCH Calc'&gt;0,'New-G EL CV'/'New-Tot G SCH Calc',)" databaseField="0"/>
    <cacheField name="New %UG EL CV" numFmtId="0" formula="IF('NEW-Tot UG SCH Calc'&gt;0,'New-UG EL CV'/'NEW-Tot UG SCH Calc',)" databaseField="0"/>
    <cacheField name="Old %UG EL CV" numFmtId="0" formula="IF('OLD-Tot UG SCH Calc'&gt;0,'Old-UG EL CV'/'OLD-Tot UG SCH Calc',)" databaseField="0"/>
    <cacheField name="Old %UG EL O" numFmtId="0" formula="IF('OLD-Tot UG SCH Calc'&gt;0,'Old-UG EL O'/'OLD-Tot UG SCH Calc',)" databaseField="0"/>
    <cacheField name="New %UG EL O" numFmtId="0" formula="IF('NEW-Tot UG SCH Calc'&gt;0,'New-UG EL O'/'NEW-Tot UG SCH Calc',)" databaseField="0"/>
    <cacheField name="New %G EL O" numFmtId="0" formula="IF('New-Tot G SCH Calc'&gt;0,'New-G EL O'/'New-Tot G SCH Calc',)" databaseField="0"/>
    <cacheField name="Old %G EL O" numFmtId="0" formula="IF('Old-Tot G SCH Calc'&gt;0,'Old-G EL O'/'Old-Tot G SCH Calc',)" databaseField="0"/>
    <cacheField name="Old %G Cor" numFmtId="0" formula="IF('Old-Tot G SCH Calc'&gt;0,'Old-G Cor'/'Old-Tot G SCH Calc',)" databaseField="0"/>
    <cacheField name="New %G Cor" numFmtId="0" formula="IF('New-Tot G SCH Calc'&gt;0,'New-G Cor'/'New-Tot G SCH Calc',)" databaseField="0"/>
    <cacheField name="New %UG Cor" numFmtId="0" formula="IF('NEW-Tot UG SCH Calc'&gt;0,'New-UG Cor'/'NEW-Tot UG SCH Calc',)" databaseField="0"/>
    <cacheField name="Old %UG Cor" numFmtId="0" formula="IF('OLD-Tot UG SCH Calc'&gt;0,'Old-UG Cor'/'OLD-Tot UG SCH Calc',)" databaseField="0"/>
    <cacheField name="Change %UG OnC Trad" numFmtId="0" formula="IF('Old %UG OnC Trad'&gt;0,('New %UG OnC Trad'-'Old %UG OnC Trad'),)*100" databaseField="0"/>
    <cacheField name="Change %G OnC Trad" numFmtId="0" formula="IF('Old %G OnC Trad'&gt;0,('New %G OnC Trad'-'Old %G OnC Trad'),)*100" databaseField="0"/>
    <cacheField name="Change %G OffC Trad" numFmtId="0" formula="IF('Old %G OffC Trad'&gt;0,('New %G OffC Trad'-'Old %G OffC Trad'),)*100" databaseField="0"/>
    <cacheField name="Change %UG OffC Trad" numFmtId="0" formula="IF('Old %UG OffC Trad'&gt;0,('New %UG OffC Trad'-'Old %UG OffC Trad'),)*100" databaseField="0"/>
    <cacheField name="Change %UG EL Web" numFmtId="0" formula="IF('Old %UG EL Web'&gt;0,('New %UG EL Web'-'Old %UG EL Web'),)*100" databaseField="0"/>
    <cacheField name="Change %G EL Web" numFmtId="0" formula="IF('Old %G EL Web'&gt;0,('New %G EL Web'-'Old %G EL Web'),)*100" databaseField="0"/>
    <cacheField name="Change %G EL CV" numFmtId="0" formula="IF('Old %G EL CV'&gt;0,('New %G EL CV'-'Old %G EL CV'),)*100" databaseField="0"/>
    <cacheField name="Change %UG EL CV" numFmtId="0" formula="IF('Old %UG EL CV'&gt;0,('New %UG EL CV'-'Old %UG EL CV'),)*100" databaseField="0"/>
    <cacheField name="Change %UG EL O" numFmtId="0" formula="IF('Old %UG EL O'&gt;0,('New %UG EL O'-'Old %UG EL O'),)*100" databaseField="0"/>
    <cacheField name="Change %G EL O" numFmtId="0" formula="IF('Old %G EL O'&gt;0,('New %G EL O'-'Old %G EL O'),)*100" databaseField="0"/>
    <cacheField name="Change %G Cor" numFmtId="0" formula="IF('Old %G Cor'&gt;0,('New %G Cor'-'Old %G Cor'),)*100" databaseField="0"/>
    <cacheField name="Change %UG Cor" numFmtId="0" formula="IF('Old %UG Cor'&gt;0,('New %UG Cor'-'Old %UG Cor'),)*100" databaseField="0"/>
    <cacheField name="Old UG E-Learning" numFmtId="0" formula="'Old-UG EL Web'+'Old-UG EL CV'+'Old-UG EL O'" databaseField="0"/>
    <cacheField name="Old G E-Learning" numFmtId="0" formula="'Old-G EL Web'+'Old-G EL CV'+'Old-G EL O'" databaseField="0"/>
    <cacheField name="New UG E-Learning" numFmtId="0" formula="'New-UG EL Web'+'New-UG EL CV'+'New-UG EL O'" databaseField="0"/>
    <cacheField name="New G E-Learning" numFmtId="0" formula="'New-G EL Web'+'New-G EL CV'+'New-G EL O'" databaseField="0"/>
    <cacheField name="New %UG OffC Trad" numFmtId="0" formula="IF('NEW-Tot UG SCH Calc'&gt;0,'New-UG OffC Trad'/'NEW-Tot UG SCH Calc',)" databaseField="0"/>
    <cacheField name="New %UG OnC Trad" numFmtId="0" formula="IF('NEW-Tot UG SCH Calc'&gt;0,'New-UG OnC Trad'/'NEW-Tot UG SCH Calc',)" databaseField="0"/>
    <cacheField name="Old %UG OnC Trad" numFmtId="0" formula="IF('OLD-Tot UG SCH Calc'&gt;0,'Old-UG OnC Trad'/'OLD-Tot UG SCH Calc',)" databaseField="0"/>
    <cacheField name="type2" numFmtId="0" databaseField="0">
      <fieldGroup base="4">
        <discretePr count="17">
          <x v="3"/>
          <x v="3"/>
          <x v="3"/>
          <x v="3"/>
          <x v="3"/>
          <x v="4"/>
          <x v="4"/>
          <x v="4"/>
          <x v="5"/>
          <x v="5"/>
          <x v="3"/>
          <x v="3"/>
          <x v="4"/>
          <x v="6"/>
          <x v="1"/>
          <x v="0"/>
          <x v="2"/>
        </discretePr>
        <groupItems count="7">
          <n v="99"/>
          <n v="14"/>
          <n v="16"/>
          <s v="Group1"/>
          <s v="Group2"/>
          <s v="Group3"/>
          <m/>
        </groupItems>
      </fieldGroup>
    </cacheField>
    <cacheField name="Old %G OnC Trad" numFmtId="0" formula="IF('Old-Tot G SCH Calc'&gt;0,'Old-G OnC Trad'/'Old-Tot G SCH Calc',)" databaseField="0"/>
    <cacheField name="Old %G OffC Trad" numFmtId="0" formula="IF('Old-Tot G SCH Calc'&gt;0,'Old-G OffC Trad'/'Old-Tot G SCH Calc',)" databaseField="0"/>
    <cacheField name="Old %UG OffC Trad" numFmtId="0" formula="IF('OLD-Tot UG SCH Calc'&gt;0,'Old-UG OffC Trad'/'OLD-Tot UG SCH Calc',)"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ert Aycock" refreshedDate="45218.621583101849" createdVersion="8" refreshedVersion="8" minRefreshableVersion="3" recordCount="593" xr:uid="{96BAB3D9-DE13-4BDE-90B5-926D332B9914}">
  <cacheSource type="worksheet">
    <worksheetSource ref="A6:AG599" sheet="05InstructionTypes"/>
  </cacheSource>
  <cacheFields count="74">
    <cacheField name="State" numFmtId="0">
      <sharedItems count="16">
        <s v="AL"/>
        <s v="AR"/>
        <s v="DE"/>
        <s v="FL"/>
        <s v="GA"/>
        <s v="KY"/>
        <s v="LA"/>
        <s v="MD"/>
        <s v="MS"/>
        <s v="NC"/>
        <s v="OK"/>
        <s v="SC"/>
        <s v="TN"/>
        <s v="TX"/>
        <s v="VA"/>
        <s v="WV"/>
      </sharedItems>
    </cacheField>
    <cacheField name="Institution" numFmtId="0">
      <sharedItems containsBlank="1"/>
    </cacheField>
    <cacheField name="Note" numFmtId="0">
      <sharedItems containsBlank="1"/>
    </cacheField>
    <cacheField name="ID" numFmtId="0">
      <sharedItems containsBlank="1" containsMixedTypes="1" containsNumber="1" containsInteger="1" minValue="100654" maxValue="870501"/>
    </cacheField>
    <cacheField name="type" numFmtId="0">
      <sharedItems containsString="0" containsBlank="1" containsNumber="1" containsInteger="1" minValue="1" maxValue="99" count="17">
        <n v="1"/>
        <n v="2"/>
        <n v="3"/>
        <n v="4"/>
        <n v="5"/>
        <n v="8"/>
        <n v="9"/>
        <n v="10"/>
        <n v="12"/>
        <n v="13"/>
        <n v="15"/>
        <n v="6"/>
        <n v="7"/>
        <m/>
        <n v="14"/>
        <n v="99" u="1"/>
        <n v="16" u="1"/>
      </sharedItems>
      <fieldGroup par="70"/>
    </cacheField>
    <cacheField name="OLD-Tot UG SCH Calc" numFmtId="38">
      <sharedItems containsSemiMixedTypes="0" containsString="0" containsNumber="1" minValue="0" maxValue="1412275"/>
    </cacheField>
    <cacheField name="NEW-Tot UG SCH Calc" numFmtId="38">
      <sharedItems containsSemiMixedTypes="0" containsString="0" containsNumber="1" minValue="0" maxValue="1427046"/>
    </cacheField>
    <cacheField name="Old-UG OnC Trad" numFmtId="0">
      <sharedItems containsString="0" containsBlank="1" containsNumber="1" minValue="0" maxValue="823823"/>
    </cacheField>
    <cacheField name="New-UG OnC Trad" numFmtId="0">
      <sharedItems containsString="0" containsBlank="1" containsNumber="1" minValue="0" maxValue="1202915"/>
    </cacheField>
    <cacheField name="Old-UG OffC Trad" numFmtId="0">
      <sharedItems containsString="0" containsBlank="1" containsNumber="1" minValue="0" maxValue="108807"/>
    </cacheField>
    <cacheField name="New-UG OffC Trad" numFmtId="0">
      <sharedItems containsString="0" containsBlank="1" containsNumber="1" minValue="0" maxValue="108523"/>
    </cacheField>
    <cacheField name="Old-UG EL Web" numFmtId="0">
      <sharedItems containsString="0" containsBlank="1" containsNumber="1" minValue="0" maxValue="839034"/>
    </cacheField>
    <cacheField name="Old-UG EL CV" numFmtId="0">
      <sharedItems containsString="0" containsBlank="1" containsNumber="1" minValue="0" maxValue="227752"/>
    </cacheField>
    <cacheField name="Old-UG EL O" numFmtId="0">
      <sharedItems containsString="0" containsBlank="1" containsNumber="1" containsInteger="1" minValue="0" maxValue="70348"/>
    </cacheField>
    <cacheField name="New-UG EL Web" numFmtId="0">
      <sharedItems containsString="0" containsBlank="1" containsNumber="1" minValue="0" maxValue="1109531"/>
    </cacheField>
    <cacheField name="New-UG EL CV" numFmtId="0">
      <sharedItems containsString="0" containsBlank="1" containsNumber="1" minValue="0" maxValue="523952"/>
    </cacheField>
    <cacheField name="New-UG EL O" numFmtId="0">
      <sharedItems containsString="0" containsBlank="1" containsNumber="1" containsInteger="1" minValue="0" maxValue="92484"/>
    </cacheField>
    <cacheField name="Old-UG Cor" numFmtId="0">
      <sharedItems containsString="0" containsBlank="1" containsNumber="1" containsInteger="1" minValue="0" maxValue="4350"/>
    </cacheField>
    <cacheField name="New-UG Cor" numFmtId="0">
      <sharedItems containsString="0" containsBlank="1" containsNumber="1" containsInteger="1" minValue="0" maxValue="3933"/>
    </cacheField>
    <cacheField name="Old-Tot G SCH Calc" numFmtId="38">
      <sharedItems containsSemiMixedTypes="0" containsString="0" containsNumber="1" minValue="0" maxValue="402738.5"/>
    </cacheField>
    <cacheField name="New-Tot G SCH Calc" numFmtId="38">
      <sharedItems containsSemiMixedTypes="0" containsString="0" containsNumber="1" minValue="0" maxValue="441715"/>
    </cacheField>
    <cacheField name="Old-G OnC Trad" numFmtId="0">
      <sharedItems containsString="0" containsBlank="1" containsNumber="1" minValue="0" maxValue="190625.5"/>
    </cacheField>
    <cacheField name="New-G OnC Trad" numFmtId="0">
      <sharedItems containsString="0" containsBlank="1" containsNumber="1" minValue="0" maxValue="226003.11"/>
    </cacheField>
    <cacheField name="Old-G OffC Trad" numFmtId="0">
      <sharedItems containsString="0" containsBlank="1" containsNumber="1" minValue="0" maxValue="52370.5"/>
    </cacheField>
    <cacheField name="New-G OffC Trad" numFmtId="0">
      <sharedItems containsString="0" containsBlank="1" containsNumber="1" minValue="0" maxValue="63358.5"/>
    </cacheField>
    <cacheField name="Old-G EL Web" numFmtId="0">
      <sharedItems containsString="0" containsBlank="1" containsNumber="1" minValue="0" maxValue="243333.5"/>
    </cacheField>
    <cacheField name="Old-G EL CV" numFmtId="0">
      <sharedItems containsString="0" containsBlank="1" containsNumber="1" minValue="0" maxValue="46571"/>
    </cacheField>
    <cacheField name="Old-G EL O" numFmtId="0">
      <sharedItems containsString="0" containsBlank="1" containsNumber="1" containsInteger="1" minValue="0" maxValue="12536"/>
    </cacheField>
    <cacheField name="New-G EL Web" numFmtId="0">
      <sharedItems containsString="0" containsBlank="1" containsNumber="1" minValue="0" maxValue="238342"/>
    </cacheField>
    <cacheField name="New-G EL CV" numFmtId="0">
      <sharedItems containsString="0" containsBlank="1" containsNumber="1" containsInteger="1" minValue="0" maxValue="58641"/>
    </cacheField>
    <cacheField name="New-G EL O" numFmtId="0">
      <sharedItems containsString="0" containsBlank="1" containsNumber="1" containsInteger="1" minValue="0" maxValue="11163"/>
    </cacheField>
    <cacheField name="Old-G Cor" numFmtId="0">
      <sharedItems containsString="0" containsBlank="1" containsNumber="1" containsInteger="1" minValue="0" maxValue="2899"/>
    </cacheField>
    <cacheField name="New-G Cor" numFmtId="0">
      <sharedItems containsString="0" containsBlank="1" containsNumber="1" containsInteger="1" minValue="0" maxValue="2917"/>
    </cacheField>
    <cacheField name="New %G OnC Trad" numFmtId="0" formula="IF('New-Tot G SCH Calc'&gt;0,'New-G OnC Trad'/'New-Tot G SCH Calc',)" databaseField="0"/>
    <cacheField name="New %G OffC Trad" numFmtId="0" formula="IF('New-Tot G SCH Calc'&gt;0,'New-G OffC Trad'/'New-Tot G SCH Calc',)" databaseField="0"/>
    <cacheField name="Old %UG EL Web" numFmtId="0" formula="IF('OLD-Tot UG SCH Calc'&gt;0,'Old-UG EL Web'/'OLD-Tot UG SCH Calc',)" databaseField="0"/>
    <cacheField name="New %UG EL Web" numFmtId="0" formula="IF('NEW-Tot UG SCH Calc'&gt;0,'New-UG EL Web'/'NEW-Tot UG SCH Calc',)" databaseField="0"/>
    <cacheField name="New %G EL Web" numFmtId="0" formula="IF('New-Tot G SCH Calc'&gt;0,'New-G EL Web'/'New-Tot G SCH Calc',)" databaseField="0"/>
    <cacheField name="Old %G EL Web" numFmtId="0" formula="IF('Old-Tot G SCH Calc'&gt;0,'Old-G EL Web'/'Old-Tot G SCH Calc',)" databaseField="0"/>
    <cacheField name="Old %G EL CV" numFmtId="0" formula="IF('Old-Tot G SCH Calc'&gt;0,'Old-G EL CV'/'Old-Tot G SCH Calc',)" databaseField="0"/>
    <cacheField name="New %G EL CV" numFmtId="0" formula="IF('New-Tot G SCH Calc'&gt;0,'New-G EL CV'/'New-Tot G SCH Calc',)" databaseField="0"/>
    <cacheField name="New %UG EL CV" numFmtId="0" formula="IF('NEW-Tot UG SCH Calc'&gt;0,'New-UG EL CV'/'NEW-Tot UG SCH Calc',)" databaseField="0"/>
    <cacheField name="Old %UG EL CV" numFmtId="0" formula="IF('OLD-Tot UG SCH Calc'&gt;0,'Old-UG EL CV'/'OLD-Tot UG SCH Calc',)" databaseField="0"/>
    <cacheField name="Old %UG EL O" numFmtId="0" formula="IF('OLD-Tot UG SCH Calc'&gt;0,'Old-UG EL O'/'OLD-Tot UG SCH Calc',)" databaseField="0"/>
    <cacheField name="New %UG EL O" numFmtId="0" formula="IF('NEW-Tot UG SCH Calc'&gt;0,'New-UG EL O'/'NEW-Tot UG SCH Calc',)" databaseField="0"/>
    <cacheField name="New %G EL O" numFmtId="0" formula="IF('New-Tot G SCH Calc'&gt;0,'New-G EL O'/'New-Tot G SCH Calc',)" databaseField="0"/>
    <cacheField name="Old %G EL O" numFmtId="0" formula="IF('Old-Tot G SCH Calc'&gt;0,'Old-G EL O'/'Old-Tot G SCH Calc',)" databaseField="0"/>
    <cacheField name="Old %G Cor" numFmtId="0" formula="IF('Old-Tot G SCH Calc'&gt;0,'Old-G Cor'/'Old-Tot G SCH Calc',)" databaseField="0"/>
    <cacheField name="New %G Cor" numFmtId="0" formula="IF('New-Tot G SCH Calc'&gt;0,'New-G Cor'/'New-Tot G SCH Calc',)" databaseField="0"/>
    <cacheField name="New %UG Cor" numFmtId="0" formula="IF('NEW-Tot UG SCH Calc'&gt;0,'New-UG Cor'/'NEW-Tot UG SCH Calc',)" databaseField="0"/>
    <cacheField name="Old %UG Cor" numFmtId="0" formula="IF('OLD-Tot UG SCH Calc'&gt;0,'Old-UG Cor'/'OLD-Tot UG SCH Calc',)" databaseField="0"/>
    <cacheField name="Change %UG OnC Trad" numFmtId="0" formula="IF('Old %UG OnC Trad'&gt;0,('New %UG OnC Trad'-'Old %UG OnC Trad'),)*100" databaseField="0"/>
    <cacheField name="Change %G OnC Trad" numFmtId="0" formula="IF('Old %G OnC Trad'&gt;0,('New %G OnC Trad'-'Old %G OnC Trad'),)*100" databaseField="0"/>
    <cacheField name="Change %G OffC Trad" numFmtId="0" formula="IF('Old %G OffC Trad'&gt;0,('New %G OffC Trad'-'Old %G OffC Trad'),)*100" databaseField="0"/>
    <cacheField name="Change %UG OffC Trad" numFmtId="0" formula="IF('Old %UG OffC Trad'&gt;0,('New %UG OffC Trad'-'Old %UG OffC Trad'),)*100" databaseField="0"/>
    <cacheField name="Change %UG EL Web" numFmtId="0" formula="IF('Old %UG EL Web'&gt;0,('New %UG EL Web'-'Old %UG EL Web'),)*100" databaseField="0"/>
    <cacheField name="Change %G EL Web" numFmtId="0" formula="IF('Old %G EL Web'&gt;0,('New %G EL Web'-'Old %G EL Web'),)*100" databaseField="0"/>
    <cacheField name="Change %G EL CV" numFmtId="0" formula="IF('Old %G EL CV'&gt;0,('New %G EL CV'-'Old %G EL CV'),)*100" databaseField="0"/>
    <cacheField name="Change %UG EL CV" numFmtId="0" formula="IF('Old %UG EL CV'&gt;0,('New %UG EL CV'-'Old %UG EL CV'),)*100" databaseField="0"/>
    <cacheField name="Change %UG EL O" numFmtId="0" formula="IF('Old %UG EL O'&gt;0,('New %UG EL O'-'Old %UG EL O'),)*100" databaseField="0"/>
    <cacheField name="Change %G EL O" numFmtId="0" formula="IF('Old %G EL O'&gt;0,('New %G EL O'-'Old %G EL O'),)*100" databaseField="0"/>
    <cacheField name="Change %G Cor" numFmtId="0" formula="IF('Old %G Cor'&gt;0,('New %G Cor'-'Old %G Cor'),)*100" databaseField="0"/>
    <cacheField name="Change %UG Cor" numFmtId="0" formula="IF('Old %UG Cor'&gt;0,('New %UG Cor'-'Old %UG Cor'),)*100" databaseField="0"/>
    <cacheField name="Old UG E-Learning" numFmtId="0" formula="'Old-UG EL Web'+'Old-UG EL CV'+'Old-UG EL O'" databaseField="0"/>
    <cacheField name="Old G E-Learning" numFmtId="0" formula="'Old-G EL Web'+'Old-G EL CV'+'Old-G EL O'" databaseField="0"/>
    <cacheField name="New UG E-Learning" numFmtId="0" formula="'New-UG EL Web'+'New-UG EL CV'+'New-UG EL O'" databaseField="0"/>
    <cacheField name="New G E-Learning" numFmtId="0" formula="'New-G EL Web'+'New-G EL CV'+'New-G EL O'" databaseField="0"/>
    <cacheField name="New %UG OffC Trad" numFmtId="0" formula="IF('NEW-Tot UG SCH Calc'&gt;0,'New-UG OffC Trad'/'NEW-Tot UG SCH Calc',)" databaseField="0"/>
    <cacheField name="New %UG OnC Trad" numFmtId="0" formula="IF('NEW-Tot UG SCH Calc'&gt;0,'New-UG OnC Trad'/'NEW-Tot UG SCH Calc',)" databaseField="0"/>
    <cacheField name="Old %UG OnC Trad" numFmtId="0" formula="IF('OLD-Tot UG SCH Calc'&gt;0,'Old-UG OnC Trad'/'OLD-Tot UG SCH Calc',)" databaseField="0"/>
    <cacheField name="type2" numFmtId="0" databaseField="0">
      <fieldGroup base="4">
        <discretePr count="17">
          <x v="3"/>
          <x v="3"/>
          <x v="3"/>
          <x v="3"/>
          <x v="3"/>
          <x v="4"/>
          <x v="4"/>
          <x v="4"/>
          <x v="5"/>
          <x v="5"/>
          <x v="3"/>
          <x v="3"/>
          <x v="4"/>
          <x v="6"/>
          <x v="1"/>
          <x v="0"/>
          <x v="2"/>
        </discretePr>
        <groupItems count="7">
          <n v="99"/>
          <n v="14"/>
          <n v="16"/>
          <s v="Group1"/>
          <s v="Group2"/>
          <s v="Group3"/>
          <m/>
        </groupItems>
      </fieldGroup>
    </cacheField>
    <cacheField name="Old %G OnC Trad" numFmtId="0" formula="IF('Old-Tot G SCH Calc'&gt;0,'Old-G OnC Trad'/'Old-Tot G SCH Calc',)" databaseField="0"/>
    <cacheField name="Old %G OffC Trad" numFmtId="0" formula="IF('Old-Tot G SCH Calc'&gt;0,'Old-G OffC Trad'/'Old-Tot G SCH Calc',)" databaseField="0"/>
    <cacheField name="Old %UG OffC Trad" numFmtId="0" formula="IF('OLD-Tot UG SCH Calc'&gt;0,'Old-UG OffC Trad'/'OLD-Tot UG SCH Calc',)"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8">
  <r>
    <x v="0"/>
    <s v="Auburn University"/>
    <m/>
    <n v="100858"/>
    <x v="0"/>
    <n v="739203"/>
    <n v="728575"/>
    <n v="648751"/>
    <n v="539905"/>
    <m/>
    <m/>
    <n v="90452"/>
    <m/>
    <m/>
    <n v="188670"/>
    <m/>
    <m/>
    <m/>
    <m/>
    <n v="113362"/>
    <n v="140816"/>
    <n v="84915"/>
    <n v="99879"/>
    <n v="2562"/>
    <n v="2291"/>
    <n v="25885"/>
    <m/>
    <m/>
    <n v="38646"/>
    <m/>
    <m/>
    <m/>
    <m/>
  </r>
  <r>
    <x v="0"/>
    <s v="University of Alabama "/>
    <m/>
    <n v="100751"/>
    <x v="0"/>
    <n v="888610"/>
    <n v="852132"/>
    <n v="544088"/>
    <n v="591056"/>
    <n v="15638"/>
    <n v="14700"/>
    <n v="219966"/>
    <n v="108918"/>
    <m/>
    <n v="128179"/>
    <n v="118197"/>
    <m/>
    <m/>
    <m/>
    <n v="104483"/>
    <n v="114696"/>
    <n v="58333"/>
    <n v="65279"/>
    <n v="8735"/>
    <n v="9554"/>
    <n v="30844"/>
    <n v="6571"/>
    <m/>
    <n v="30603"/>
    <n v="9260"/>
    <m/>
    <m/>
    <m/>
  </r>
  <r>
    <x v="0"/>
    <s v="University of Alabama at Birmingham"/>
    <m/>
    <n v="100663"/>
    <x v="0"/>
    <n v="321593"/>
    <n v="313734"/>
    <n v="203878"/>
    <n v="184801"/>
    <n v="83"/>
    <n v="135"/>
    <n v="117620"/>
    <n v="12"/>
    <m/>
    <n v="128765"/>
    <n v="33"/>
    <m/>
    <m/>
    <m/>
    <n v="55924"/>
    <n v="60668"/>
    <n v="28200"/>
    <n v="26565"/>
    <m/>
    <n v="14"/>
    <n v="27697"/>
    <n v="27"/>
    <m/>
    <n v="34035"/>
    <n v="54"/>
    <m/>
    <m/>
    <m/>
  </r>
  <r>
    <x v="0"/>
    <s v="University of Alabama in Huntsville"/>
    <m/>
    <n v="100706"/>
    <x v="1"/>
    <n v="220554"/>
    <n v="212025"/>
    <n v="116460"/>
    <n v="97210"/>
    <m/>
    <m/>
    <n v="104094"/>
    <m/>
    <m/>
    <n v="114815"/>
    <m/>
    <m/>
    <m/>
    <m/>
    <n v="30156"/>
    <n v="31793"/>
    <n v="13992"/>
    <n v="13181"/>
    <m/>
    <m/>
    <n v="16164"/>
    <m/>
    <m/>
    <n v="18612"/>
    <m/>
    <m/>
    <m/>
    <m/>
  </r>
  <r>
    <x v="0"/>
    <s v="University of South Alabama"/>
    <m/>
    <n v="102094"/>
    <x v="1"/>
    <n v="231181"/>
    <n v="216947"/>
    <n v="182430"/>
    <n v="165599"/>
    <n v="246"/>
    <n v="20"/>
    <n v="48505"/>
    <m/>
    <m/>
    <n v="51328"/>
    <m/>
    <m/>
    <m/>
    <m/>
    <n v="19964"/>
    <n v="20935"/>
    <n v="12602"/>
    <n v="13270"/>
    <m/>
    <n v="0"/>
    <n v="7362"/>
    <m/>
    <m/>
    <n v="7665"/>
    <m/>
    <m/>
    <m/>
    <m/>
  </r>
  <r>
    <x v="0"/>
    <s v="Alabama Agricultural &amp; Mechanical University"/>
    <m/>
    <n v="100654"/>
    <x v="2"/>
    <n v="150414"/>
    <n v="133316"/>
    <n v="88756"/>
    <n v="64202"/>
    <n v="89"/>
    <n v="88"/>
    <n v="61569"/>
    <m/>
    <m/>
    <n v="69026"/>
    <m/>
    <m/>
    <m/>
    <m/>
    <n v="17926"/>
    <n v="16399"/>
    <n v="6967"/>
    <n v="5366"/>
    <n v="1393"/>
    <n v="593"/>
    <n v="9566"/>
    <m/>
    <m/>
    <n v="10440"/>
    <m/>
    <m/>
    <m/>
    <m/>
  </r>
  <r>
    <x v="0"/>
    <s v="Jacksonville State University "/>
    <m/>
    <n v="101480"/>
    <x v="2"/>
    <n v="205277"/>
    <n v="205725"/>
    <n v="62503"/>
    <n v="71243"/>
    <n v="2397"/>
    <n v="2946"/>
    <n v="140377"/>
    <m/>
    <m/>
    <n v="131536"/>
    <m/>
    <m/>
    <m/>
    <m/>
    <n v="24869"/>
    <n v="25896"/>
    <n v="1821"/>
    <n v="2772"/>
    <n v="0"/>
    <n v="0"/>
    <n v="23048"/>
    <m/>
    <m/>
    <n v="23124"/>
    <m/>
    <m/>
    <m/>
    <m/>
  </r>
  <r>
    <x v="0"/>
    <s v="Troy University"/>
    <m/>
    <n v="102368"/>
    <x v="2"/>
    <n v="313997"/>
    <n v="284057"/>
    <n v="156059"/>
    <n v="133930"/>
    <n v="2"/>
    <n v="0"/>
    <n v="149098"/>
    <n v="0"/>
    <n v="8838"/>
    <n v="141746"/>
    <n v="0"/>
    <n v="8381"/>
    <m/>
    <n v="0"/>
    <n v="53405"/>
    <n v="54116"/>
    <n v="11016"/>
    <n v="7493"/>
    <n v="0"/>
    <n v="0"/>
    <n v="41300"/>
    <n v="0"/>
    <n v="1089"/>
    <n v="45171"/>
    <n v="0"/>
    <n v="1452"/>
    <n v="0"/>
    <n v="0"/>
  </r>
  <r>
    <x v="0"/>
    <s v="University of North Alabama"/>
    <m/>
    <n v="101879"/>
    <x v="2"/>
    <n v="160804"/>
    <n v="155013"/>
    <n v="98108"/>
    <n v="85150"/>
    <m/>
    <n v="1777"/>
    <n v="62696"/>
    <m/>
    <m/>
    <n v="68086"/>
    <m/>
    <m/>
    <m/>
    <m/>
    <n v="30344"/>
    <n v="38830"/>
    <n v="3118"/>
    <n v="3999"/>
    <m/>
    <m/>
    <n v="27226"/>
    <m/>
    <m/>
    <n v="34831"/>
    <m/>
    <m/>
    <m/>
    <m/>
  </r>
  <r>
    <x v="0"/>
    <s v="Alabama State University "/>
    <m/>
    <n v="100724"/>
    <x v="3"/>
    <n v="109486"/>
    <n v="102268"/>
    <n v="53196"/>
    <n v="40538"/>
    <m/>
    <m/>
    <n v="56290"/>
    <m/>
    <m/>
    <n v="61730"/>
    <m/>
    <m/>
    <m/>
    <m/>
    <n v="12084"/>
    <n v="12685"/>
    <n v="6031"/>
    <n v="6291"/>
    <m/>
    <m/>
    <n v="6053"/>
    <m/>
    <m/>
    <n v="6394"/>
    <m/>
    <m/>
    <m/>
    <m/>
  </r>
  <r>
    <x v="0"/>
    <s v="Auburn University at Montgomery"/>
    <m/>
    <n v="100830"/>
    <x v="2"/>
    <n v="114790"/>
    <n v="103768"/>
    <n v="78377"/>
    <n v="65381"/>
    <n v="312"/>
    <n v="326"/>
    <n v="36101"/>
    <m/>
    <m/>
    <n v="38061"/>
    <m/>
    <m/>
    <m/>
    <m/>
    <n v="13696"/>
    <n v="15670"/>
    <n v="4822"/>
    <n v="5431"/>
    <n v="0"/>
    <n v="0"/>
    <n v="8874"/>
    <m/>
    <m/>
    <n v="10239"/>
    <m/>
    <m/>
    <m/>
    <m/>
  </r>
  <r>
    <x v="0"/>
    <s v="University of Montevallo"/>
    <m/>
    <n v="101709"/>
    <x v="4"/>
    <n v="62260"/>
    <n v="61185"/>
    <n v="42965"/>
    <n v="43725"/>
    <n v="6"/>
    <n v="12"/>
    <n v="19289"/>
    <m/>
    <m/>
    <n v="17448"/>
    <m/>
    <m/>
    <m/>
    <m/>
    <n v="6659"/>
    <n v="7643"/>
    <n v="3873"/>
    <n v="4609"/>
    <n v="0"/>
    <n v="159"/>
    <n v="2786"/>
    <m/>
    <m/>
    <n v="2875"/>
    <m/>
    <m/>
    <m/>
    <m/>
  </r>
  <r>
    <x v="0"/>
    <s v="University of West Alabama"/>
    <m/>
    <n v="101587"/>
    <x v="3"/>
    <n v="63964"/>
    <n v="63685"/>
    <n v="34485"/>
    <n v="28565"/>
    <n v="210"/>
    <n v="174"/>
    <n v="29269"/>
    <m/>
    <m/>
    <n v="34946"/>
    <m/>
    <m/>
    <m/>
    <m/>
    <n v="68129"/>
    <n v="67160"/>
    <n v="722"/>
    <n v="671"/>
    <m/>
    <n v="99"/>
    <n v="67407"/>
    <m/>
    <m/>
    <n v="66390"/>
    <m/>
    <m/>
    <m/>
    <m/>
  </r>
  <r>
    <x v="0"/>
    <s v="Athens State University"/>
    <s v="Reclassified: Met the criteria for Four-Year 5 in 2019-20 and 2020-21, and 2021-22"/>
    <n v="100812"/>
    <x v="4"/>
    <n v="65049"/>
    <n v="61616"/>
    <n v="7390"/>
    <n v="5566"/>
    <n v="1051"/>
    <n v="1034"/>
    <n v="56608"/>
    <m/>
    <m/>
    <n v="55016"/>
    <m/>
    <m/>
    <m/>
    <m/>
    <n v="2982"/>
    <n v="3729"/>
    <n v="63"/>
    <n v="36"/>
    <m/>
    <m/>
    <n v="2919"/>
    <m/>
    <m/>
    <n v="3693"/>
    <m/>
    <m/>
    <m/>
    <m/>
  </r>
  <r>
    <x v="0"/>
    <s v="Jefferson State Community College"/>
    <m/>
    <n v="101505"/>
    <x v="5"/>
    <n v="161295"/>
    <n v="158618"/>
    <n v="54889"/>
    <n v="45846"/>
    <m/>
    <n v="0"/>
    <n v="105724"/>
    <m/>
    <n v="682"/>
    <n v="112772"/>
    <m/>
    <m/>
    <m/>
    <m/>
    <n v="0"/>
    <n v="0"/>
    <m/>
    <m/>
    <m/>
    <m/>
    <m/>
    <m/>
    <m/>
    <m/>
    <m/>
    <m/>
    <m/>
    <m/>
  </r>
  <r>
    <x v="0"/>
    <s v="John C. Calhoun Community College "/>
    <m/>
    <n v="101514"/>
    <x v="5"/>
    <n v="176934"/>
    <n v="168202"/>
    <n v="79956"/>
    <n v="57971"/>
    <m/>
    <n v="0"/>
    <n v="96978"/>
    <m/>
    <m/>
    <n v="110231"/>
    <m/>
    <m/>
    <m/>
    <m/>
    <n v="0"/>
    <n v="0"/>
    <m/>
    <m/>
    <m/>
    <m/>
    <m/>
    <m/>
    <m/>
    <m/>
    <m/>
    <m/>
    <m/>
    <m/>
  </r>
  <r>
    <x v="0"/>
    <s v="Bevill State Community College"/>
    <s v="Met the criteria for Two-Year 3 in 2020-21, and 2021-22"/>
    <n v="102429"/>
    <x v="6"/>
    <n v="70747"/>
    <n v="65693"/>
    <n v="33898"/>
    <n v="41411"/>
    <n v="2868"/>
    <n v="0"/>
    <n v="31891"/>
    <n v="2090"/>
    <m/>
    <n v="22019"/>
    <n v="2263"/>
    <m/>
    <m/>
    <m/>
    <n v="0"/>
    <n v="0"/>
    <m/>
    <m/>
    <m/>
    <m/>
    <m/>
    <m/>
    <m/>
    <m/>
    <m/>
    <m/>
    <m/>
    <m/>
  </r>
  <r>
    <x v="0"/>
    <s v="Bishop State Community College"/>
    <s v="Met the criteria for Two-Year 3 in 2020-21 and 2021,22"/>
    <n v="102030"/>
    <x v="6"/>
    <n v="54962"/>
    <n v="49598"/>
    <n v="30222"/>
    <n v="30894"/>
    <n v="30"/>
    <n v="174"/>
    <n v="20271"/>
    <m/>
    <n v="4439"/>
    <n v="18529"/>
    <m/>
    <m/>
    <m/>
    <n v="1"/>
    <n v="0"/>
    <n v="0"/>
    <m/>
    <m/>
    <m/>
    <m/>
    <m/>
    <m/>
    <m/>
    <m/>
    <m/>
    <m/>
    <m/>
    <m/>
  </r>
  <r>
    <x v="0"/>
    <s v="Coastal Alabama Community College"/>
    <s v="Met the criteria for Two-Year 2 in 2021-22"/>
    <s v="101161"/>
    <x v="5"/>
    <n v="155707"/>
    <n v="148053"/>
    <n v="62239"/>
    <n v="83315"/>
    <n v="20558"/>
    <n v="0"/>
    <n v="72910"/>
    <m/>
    <m/>
    <n v="64738"/>
    <m/>
    <m/>
    <m/>
    <m/>
    <n v="0"/>
    <n v="0"/>
    <m/>
    <m/>
    <m/>
    <m/>
    <m/>
    <m/>
    <m/>
    <m/>
    <m/>
    <m/>
    <m/>
    <m/>
  </r>
  <r>
    <x v="0"/>
    <s v="Gadsden State Community College"/>
    <m/>
    <n v="101240"/>
    <x v="6"/>
    <n v="97135"/>
    <n v="95762"/>
    <n v="52282"/>
    <n v="48380"/>
    <m/>
    <n v="0"/>
    <n v="44853"/>
    <m/>
    <m/>
    <n v="47382"/>
    <m/>
    <m/>
    <m/>
    <m/>
    <n v="0"/>
    <n v="0"/>
    <m/>
    <m/>
    <m/>
    <m/>
    <m/>
    <m/>
    <m/>
    <m/>
    <m/>
    <m/>
    <m/>
    <m/>
  </r>
  <r>
    <x v="0"/>
    <s v="George C. Wallace Community College-Dothan"/>
    <m/>
    <n v="101286"/>
    <x v="6"/>
    <n v="86139"/>
    <n v="79389"/>
    <n v="48117"/>
    <n v="49243"/>
    <n v="3045"/>
    <n v="1358"/>
    <n v="34977"/>
    <m/>
    <m/>
    <n v="28788"/>
    <m/>
    <m/>
    <m/>
    <m/>
    <n v="0"/>
    <n v="0"/>
    <m/>
    <m/>
    <m/>
    <m/>
    <m/>
    <m/>
    <m/>
    <m/>
    <m/>
    <m/>
    <m/>
    <m/>
  </r>
  <r>
    <x v="0"/>
    <s v="George C. Wallace State Community College-Hanceville"/>
    <m/>
    <n v="101295"/>
    <x v="6"/>
    <n v="119234"/>
    <n v="112994"/>
    <n v="80964"/>
    <n v="65521"/>
    <m/>
    <n v="0"/>
    <n v="38270"/>
    <m/>
    <m/>
    <n v="47473"/>
    <m/>
    <m/>
    <m/>
    <m/>
    <n v="0"/>
    <n v="0"/>
    <m/>
    <m/>
    <m/>
    <m/>
    <m/>
    <m/>
    <m/>
    <m/>
    <m/>
    <m/>
    <m/>
    <m/>
  </r>
  <r>
    <x v="0"/>
    <s v="Lawson State Community College "/>
    <m/>
    <n v="101569"/>
    <x v="6"/>
    <n v="68517"/>
    <n v="66086"/>
    <n v="30307"/>
    <n v="21052"/>
    <n v="740"/>
    <n v="522"/>
    <n v="37470"/>
    <m/>
    <m/>
    <n v="44126"/>
    <m/>
    <n v="386"/>
    <m/>
    <m/>
    <n v="0"/>
    <n v="0"/>
    <m/>
    <m/>
    <m/>
    <m/>
    <m/>
    <m/>
    <m/>
    <m/>
    <m/>
    <m/>
    <m/>
    <m/>
  </r>
  <r>
    <x v="0"/>
    <s v="Northwest-Shoals Community College"/>
    <s v="Met the criteria for Two-Year 3 in 2021-22"/>
    <n v="101736"/>
    <x v="6"/>
    <n v="62327"/>
    <n v="58998"/>
    <n v="45059"/>
    <n v="38528"/>
    <m/>
    <n v="0"/>
    <n v="17268"/>
    <m/>
    <m/>
    <n v="20470"/>
    <m/>
    <m/>
    <m/>
    <m/>
    <n v="0"/>
    <n v="0"/>
    <m/>
    <m/>
    <m/>
    <m/>
    <m/>
    <m/>
    <m/>
    <m/>
    <m/>
    <m/>
    <m/>
    <m/>
  </r>
  <r>
    <x v="0"/>
    <s v="Shelton State Community College"/>
    <m/>
    <n v="102067"/>
    <x v="6"/>
    <n v="91902"/>
    <n v="88841"/>
    <n v="41063"/>
    <n v="40778"/>
    <m/>
    <n v="0"/>
    <n v="50839"/>
    <m/>
    <m/>
    <n v="48063"/>
    <m/>
    <m/>
    <m/>
    <m/>
    <n v="0"/>
    <n v="0"/>
    <m/>
    <m/>
    <m/>
    <m/>
    <m/>
    <m/>
    <m/>
    <m/>
    <m/>
    <m/>
    <m/>
    <m/>
  </r>
  <r>
    <x v="0"/>
    <s v="Southern Union State Community College"/>
    <m/>
    <n v="251260"/>
    <x v="6"/>
    <n v="104065"/>
    <n v="96103"/>
    <n v="13957"/>
    <n v="37781"/>
    <n v="41628"/>
    <n v="16457"/>
    <n v="47918"/>
    <n v="63"/>
    <m/>
    <n v="41081"/>
    <n v="9"/>
    <n v="0"/>
    <n v="499"/>
    <n v="775"/>
    <n v="0"/>
    <n v="0"/>
    <m/>
    <m/>
    <m/>
    <m/>
    <m/>
    <m/>
    <m/>
    <m/>
    <m/>
    <m/>
    <m/>
    <m/>
  </r>
  <r>
    <x v="0"/>
    <s v="Central Alabama Community College"/>
    <m/>
    <n v="100760"/>
    <x v="7"/>
    <n v="32016"/>
    <n v="29197"/>
    <n v="11305"/>
    <n v="10216"/>
    <m/>
    <n v="0"/>
    <n v="20711"/>
    <m/>
    <m/>
    <n v="18981"/>
    <m/>
    <m/>
    <m/>
    <m/>
    <n v="0"/>
    <n v="0"/>
    <m/>
    <m/>
    <m/>
    <m/>
    <m/>
    <m/>
    <m/>
    <m/>
    <m/>
    <m/>
    <m/>
    <m/>
  </r>
  <r>
    <x v="0"/>
    <s v="Chattahoochee Valley Community College"/>
    <m/>
    <n v="101028"/>
    <x v="7"/>
    <n v="34657"/>
    <n v="29478"/>
    <n v="12781"/>
    <n v="12130"/>
    <n v="4192"/>
    <n v="5446"/>
    <n v="17607"/>
    <m/>
    <m/>
    <n v="11768"/>
    <n v="0"/>
    <n v="65"/>
    <n v="77"/>
    <n v="69"/>
    <n v="0"/>
    <n v="0"/>
    <m/>
    <m/>
    <m/>
    <m/>
    <m/>
    <m/>
    <m/>
    <m/>
    <m/>
    <m/>
    <m/>
    <m/>
  </r>
  <r>
    <x v="0"/>
    <s v="Enterprise State Community College"/>
    <m/>
    <n v="101143"/>
    <x v="7"/>
    <n v="41035"/>
    <n v="42949"/>
    <n v="22170"/>
    <n v="23093"/>
    <n v="77"/>
    <n v="0"/>
    <n v="18727"/>
    <m/>
    <n v="61"/>
    <n v="19856"/>
    <m/>
    <m/>
    <m/>
    <m/>
    <n v="0"/>
    <n v="0"/>
    <m/>
    <m/>
    <m/>
    <m/>
    <m/>
    <m/>
    <m/>
    <m/>
    <m/>
    <m/>
    <m/>
    <m/>
  </r>
  <r>
    <x v="0"/>
    <s v="George Corley Wallace State Community College - Selma"/>
    <m/>
    <n v="101301"/>
    <x v="7"/>
    <n v="31509"/>
    <n v="30959"/>
    <n v="14061"/>
    <n v="14416"/>
    <m/>
    <n v="0"/>
    <n v="17448"/>
    <m/>
    <m/>
    <n v="16543"/>
    <m/>
    <m/>
    <m/>
    <m/>
    <n v="0"/>
    <n v="0"/>
    <m/>
    <m/>
    <m/>
    <m/>
    <m/>
    <m/>
    <m/>
    <m/>
    <m/>
    <m/>
    <m/>
    <m/>
  </r>
  <r>
    <x v="0"/>
    <s v="Lurleen B. Wallace Community College "/>
    <m/>
    <n v="101602"/>
    <x v="7"/>
    <n v="37853"/>
    <n v="38610"/>
    <n v="18618"/>
    <n v="21127"/>
    <n v="963"/>
    <n v="486"/>
    <n v="18272"/>
    <m/>
    <m/>
    <n v="16997"/>
    <m/>
    <m/>
    <m/>
    <m/>
    <n v="0"/>
    <n v="0"/>
    <m/>
    <m/>
    <m/>
    <m/>
    <m/>
    <m/>
    <m/>
    <m/>
    <m/>
    <m/>
    <m/>
    <m/>
  </r>
  <r>
    <x v="0"/>
    <s v="Northeast Alabama Community College"/>
    <m/>
    <n v="101897"/>
    <x v="7"/>
    <n v="56491"/>
    <n v="49137"/>
    <n v="21613"/>
    <n v="21832"/>
    <n v="2459"/>
    <n v="212"/>
    <n v="32419"/>
    <m/>
    <m/>
    <n v="27093"/>
    <m/>
    <m/>
    <m/>
    <m/>
    <n v="0"/>
    <n v="0"/>
    <m/>
    <m/>
    <m/>
    <m/>
    <m/>
    <m/>
    <m/>
    <m/>
    <m/>
    <m/>
    <m/>
    <m/>
  </r>
  <r>
    <x v="0"/>
    <s v="Snead State Community College "/>
    <m/>
    <n v="102076"/>
    <x v="7"/>
    <n v="56582"/>
    <n v="54059"/>
    <n v="18360"/>
    <n v="15106"/>
    <m/>
    <n v="0"/>
    <n v="38222"/>
    <m/>
    <m/>
    <n v="38953"/>
    <m/>
    <m/>
    <m/>
    <m/>
    <n v="0"/>
    <n v="0"/>
    <m/>
    <m/>
    <m/>
    <m/>
    <m/>
    <m/>
    <m/>
    <m/>
    <m/>
    <m/>
    <m/>
    <m/>
  </r>
  <r>
    <x v="0"/>
    <s v="H. Councill Trenholm State Community College"/>
    <m/>
    <n v="102313"/>
    <x v="8"/>
    <n v="40736"/>
    <n v="39698"/>
    <n v="17420"/>
    <n v="16648"/>
    <n v="1148"/>
    <n v="1376"/>
    <n v="22168"/>
    <m/>
    <m/>
    <n v="21674"/>
    <m/>
    <m/>
    <m/>
    <m/>
    <n v="0"/>
    <n v="0"/>
    <m/>
    <m/>
    <m/>
    <m/>
    <m/>
    <m/>
    <m/>
    <m/>
    <m/>
    <m/>
    <m/>
    <m/>
  </r>
  <r>
    <x v="0"/>
    <s v="J.F. Drake State Community and Technical College"/>
    <m/>
    <n v="101462"/>
    <x v="9"/>
    <n v="16483"/>
    <n v="16838"/>
    <n v="11136"/>
    <n v="9718"/>
    <m/>
    <n v="0"/>
    <n v="5347"/>
    <m/>
    <m/>
    <n v="7120"/>
    <m/>
    <m/>
    <m/>
    <m/>
    <n v="0"/>
    <n v="0"/>
    <m/>
    <m/>
    <m/>
    <m/>
    <m/>
    <m/>
    <m/>
    <m/>
    <m/>
    <m/>
    <m/>
    <m/>
  </r>
  <r>
    <x v="0"/>
    <s v="J.F. Ingram State Technical College "/>
    <m/>
    <n v="101471"/>
    <x v="9"/>
    <n v="11298"/>
    <n v="12753"/>
    <n v="5978"/>
    <n v="83"/>
    <n v="5320"/>
    <n v="12670"/>
    <m/>
    <m/>
    <m/>
    <n v="0"/>
    <m/>
    <m/>
    <m/>
    <m/>
    <n v="0"/>
    <n v="0"/>
    <m/>
    <m/>
    <m/>
    <m/>
    <m/>
    <m/>
    <m/>
    <m/>
    <m/>
    <m/>
    <m/>
    <m/>
  </r>
  <r>
    <x v="0"/>
    <s v="Reid State Technical College "/>
    <m/>
    <n v="101994"/>
    <x v="9"/>
    <n v="9397"/>
    <n v="8607"/>
    <n v="6922"/>
    <n v="7238"/>
    <n v="2078"/>
    <n v="0"/>
    <n v="397"/>
    <m/>
    <m/>
    <n v="1369"/>
    <m/>
    <m/>
    <m/>
    <m/>
    <n v="0"/>
    <n v="0"/>
    <m/>
    <m/>
    <m/>
    <m/>
    <m/>
    <m/>
    <m/>
    <m/>
    <m/>
    <m/>
    <m/>
    <m/>
  </r>
  <r>
    <x v="0"/>
    <s v="Marion Military Institute"/>
    <m/>
    <n v="101648"/>
    <x v="10"/>
    <n v="12708"/>
    <n v="10955"/>
    <n v="11896"/>
    <n v="10112"/>
    <m/>
    <n v="0"/>
    <n v="812"/>
    <m/>
    <m/>
    <n v="843"/>
    <m/>
    <m/>
    <m/>
    <m/>
    <n v="0"/>
    <n v="0"/>
    <m/>
    <m/>
    <m/>
    <m/>
    <m/>
    <m/>
    <m/>
    <m/>
    <m/>
    <m/>
    <m/>
    <m/>
  </r>
  <r>
    <x v="1"/>
    <s v="Arkansas State University"/>
    <m/>
    <n v="106458"/>
    <x v="2"/>
    <n v="245199"/>
    <n v="230485"/>
    <n v="153757"/>
    <n v="93910"/>
    <n v="10865"/>
    <n v="8558"/>
    <n v="79604"/>
    <n v="973"/>
    <m/>
    <n v="126350"/>
    <n v="1667"/>
    <m/>
    <m/>
    <m/>
    <n v="105992"/>
    <n v="108538"/>
    <n v="19766"/>
    <n v="14463"/>
    <m/>
    <n v="3"/>
    <n v="86226"/>
    <m/>
    <m/>
    <n v="94072"/>
    <m/>
    <m/>
    <m/>
    <m/>
  </r>
  <r>
    <x v="1"/>
    <s v="Arkansas Tech University"/>
    <m/>
    <n v="106467"/>
    <x v="2"/>
    <n v="240477"/>
    <n v="220615"/>
    <n v="149549"/>
    <n v="54508"/>
    <n v="18540"/>
    <n v="16689"/>
    <n v="69674"/>
    <m/>
    <n v="2714"/>
    <n v="139608"/>
    <m/>
    <n v="9810"/>
    <m/>
    <m/>
    <n v="11892"/>
    <n v="10691"/>
    <n v="2481"/>
    <n v="954"/>
    <n v="27"/>
    <m/>
    <n v="8895"/>
    <m/>
    <n v="489"/>
    <n v="8684"/>
    <m/>
    <n v="1053"/>
    <m/>
    <m/>
  </r>
  <r>
    <x v="1"/>
    <s v="Henderson State University"/>
    <m/>
    <n v="107071"/>
    <x v="3"/>
    <n v="91190"/>
    <n v="75260"/>
    <n v="48999"/>
    <n v="12997"/>
    <n v="5733"/>
    <n v="509"/>
    <n v="36458"/>
    <m/>
    <m/>
    <n v="61754"/>
    <m/>
    <m/>
    <m/>
    <m/>
    <n v="9789"/>
    <n v="9006"/>
    <n v="1086"/>
    <n v="402"/>
    <m/>
    <m/>
    <n v="8703"/>
    <m/>
    <m/>
    <n v="8604"/>
    <m/>
    <m/>
    <m/>
    <m/>
  </r>
  <r>
    <x v="1"/>
    <s v="Southern Arkansas University"/>
    <m/>
    <n v="107983"/>
    <x v="3"/>
    <n v="98593"/>
    <n v="95156"/>
    <n v="71515"/>
    <n v="26336"/>
    <n v="1579"/>
    <n v="1315"/>
    <n v="25499"/>
    <m/>
    <m/>
    <n v="67505"/>
    <m/>
    <m/>
    <m/>
    <m/>
    <n v="15069"/>
    <n v="17235"/>
    <n v="1269"/>
    <n v="318"/>
    <m/>
    <m/>
    <n v="13800"/>
    <m/>
    <m/>
    <n v="16917"/>
    <m/>
    <m/>
    <m/>
    <m/>
  </r>
  <r>
    <x v="1"/>
    <s v="University of Arkansas, Fayetteville"/>
    <m/>
    <n v="106397"/>
    <x v="0"/>
    <n v="657386"/>
    <n v="651379"/>
    <n v="564996"/>
    <n v="161331"/>
    <n v="4940"/>
    <n v="1826"/>
    <n v="84847"/>
    <n v="352"/>
    <m/>
    <n v="486061"/>
    <n v="280"/>
    <m/>
    <n v="2251"/>
    <n v="1881"/>
    <n v="79052"/>
    <n v="86525"/>
    <n v="47068"/>
    <n v="31943"/>
    <n v="363"/>
    <n v="484"/>
    <n v="31537"/>
    <n v="81"/>
    <n v="3"/>
    <n v="54026"/>
    <n v="72"/>
    <m/>
    <m/>
    <m/>
  </r>
  <r>
    <x v="1"/>
    <s v="University of Arkansas at Fort Smith"/>
    <m/>
    <n v="108092"/>
    <x v="11"/>
    <n v="148021"/>
    <n v="136161"/>
    <n v="85154"/>
    <n v="10455"/>
    <n v="15778"/>
    <n v="13213"/>
    <n v="47077"/>
    <n v="12"/>
    <m/>
    <n v="112493"/>
    <m/>
    <m/>
    <m/>
    <m/>
    <n v="582"/>
    <n v="852"/>
    <n v="0"/>
    <m/>
    <m/>
    <m/>
    <n v="582"/>
    <m/>
    <m/>
    <n v="852"/>
    <m/>
    <m/>
    <m/>
    <m/>
  </r>
  <r>
    <x v="1"/>
    <s v="University of Arkansas at Little Rock"/>
    <m/>
    <n v="106245"/>
    <x v="1"/>
    <n v="170986"/>
    <n v="157112"/>
    <n v="80394"/>
    <n v="8288"/>
    <n v="13149"/>
    <n v="8933"/>
    <n v="77443"/>
    <m/>
    <m/>
    <n v="139891"/>
    <m/>
    <m/>
    <m/>
    <m/>
    <n v="36529"/>
    <n v="36628"/>
    <n v="12170"/>
    <n v="4788"/>
    <n v="12187"/>
    <n v="12954"/>
    <n v="12172"/>
    <m/>
    <m/>
    <n v="18886"/>
    <m/>
    <m/>
    <m/>
    <m/>
  </r>
  <r>
    <x v="1"/>
    <s v="University of Arkansas at Monticello"/>
    <m/>
    <n v="106485"/>
    <x v="3"/>
    <n v="64047"/>
    <n v="62115"/>
    <n v="31890"/>
    <n v="27066"/>
    <n v="13431"/>
    <n v="13235"/>
    <n v="18726"/>
    <m/>
    <m/>
    <n v="21814"/>
    <m/>
    <m/>
    <m/>
    <m/>
    <n v="6913"/>
    <n v="7062"/>
    <n v="605"/>
    <n v="883"/>
    <n v="1497"/>
    <n v="1464"/>
    <n v="4811"/>
    <m/>
    <m/>
    <n v="4715"/>
    <m/>
    <m/>
    <m/>
    <m/>
  </r>
  <r>
    <x v="1"/>
    <s v="University of Arkansas for Medical Sciences"/>
    <m/>
    <n v="106263"/>
    <x v="10"/>
    <n v="19701"/>
    <n v="24170"/>
    <n v="11762"/>
    <n v="3589"/>
    <n v="236"/>
    <n v="292"/>
    <n v="4710"/>
    <n v="2993"/>
    <m/>
    <n v="15969"/>
    <n v="4320"/>
    <m/>
    <m/>
    <m/>
    <n v="63129"/>
    <n v="61434"/>
    <n v="43626"/>
    <n v="34121"/>
    <n v="3973"/>
    <n v="2888"/>
    <n v="9040"/>
    <n v="6490"/>
    <m/>
    <n v="22210"/>
    <n v="2215"/>
    <m/>
    <m/>
    <m/>
  </r>
  <r>
    <x v="1"/>
    <s v="University of Arkansas at Pine Bluff"/>
    <s v="Met the criteria for Four-Year 4 in 2020-21 and 2021-22"/>
    <n v="106412"/>
    <x v="11"/>
    <n v="66358"/>
    <n v="66530"/>
    <n v="50958"/>
    <n v="11030"/>
    <n v="107"/>
    <n v="0"/>
    <n v="15293"/>
    <m/>
    <m/>
    <n v="31231"/>
    <m/>
    <n v="24269"/>
    <m/>
    <m/>
    <n v="2010"/>
    <n v="2663"/>
    <n v="1158"/>
    <n v="520"/>
    <m/>
    <m/>
    <n v="852"/>
    <m/>
    <m/>
    <n v="1380"/>
    <m/>
    <n v="763"/>
    <m/>
    <m/>
  </r>
  <r>
    <x v="1"/>
    <s v="University of Central Arkansas "/>
    <m/>
    <n v="106704"/>
    <x v="2"/>
    <n v="252347"/>
    <n v="237704"/>
    <n v="196194"/>
    <n v="78707"/>
    <n v="4136"/>
    <n v="3117"/>
    <n v="47906"/>
    <n v="1105"/>
    <n v="3006"/>
    <n v="150992"/>
    <n v="2000"/>
    <n v="2888"/>
    <m/>
    <m/>
    <n v="36739"/>
    <n v="36411"/>
    <n v="16029"/>
    <n v="9200"/>
    <n v="15"/>
    <m/>
    <n v="17514"/>
    <n v="2019"/>
    <n v="1162"/>
    <n v="22452"/>
    <n v="2847"/>
    <n v="1912"/>
    <m/>
    <m/>
  </r>
  <r>
    <x v="1"/>
    <s v="Arkansas Northeastern College"/>
    <m/>
    <n v="107327"/>
    <x v="7"/>
    <n v="27031"/>
    <n v="24802"/>
    <n v="15595"/>
    <n v="4171"/>
    <n v="63"/>
    <n v="63"/>
    <n v="11373"/>
    <m/>
    <m/>
    <n v="20568"/>
    <m/>
    <m/>
    <m/>
    <m/>
    <n v="0"/>
    <n v="0"/>
    <m/>
    <m/>
    <m/>
    <m/>
    <m/>
    <m/>
    <m/>
    <m/>
    <m/>
    <m/>
    <m/>
    <m/>
  </r>
  <r>
    <x v="1"/>
    <s v="Arkansas State University-Beebe"/>
    <m/>
    <n v="106449"/>
    <x v="6"/>
    <n v="72387"/>
    <n v="64429"/>
    <n v="37125"/>
    <n v="15344"/>
    <n v="7470"/>
    <n v="5474"/>
    <n v="27686"/>
    <n v="106"/>
    <m/>
    <n v="43533"/>
    <n v="78"/>
    <m/>
    <m/>
    <m/>
    <n v="0"/>
    <n v="0"/>
    <m/>
    <m/>
    <m/>
    <m/>
    <m/>
    <m/>
    <m/>
    <m/>
    <m/>
    <m/>
    <m/>
    <m/>
  </r>
  <r>
    <x v="1"/>
    <s v="Arkansas State University Mountain Home"/>
    <m/>
    <n v="420538"/>
    <x v="7"/>
    <n v="27281"/>
    <n v="25209"/>
    <n v="14495"/>
    <n v="10241"/>
    <n v="641"/>
    <n v="471"/>
    <n v="11653"/>
    <n v="255"/>
    <n v="237"/>
    <n v="14407"/>
    <n v="90"/>
    <m/>
    <m/>
    <m/>
    <n v="0"/>
    <n v="0"/>
    <m/>
    <m/>
    <m/>
    <m/>
    <m/>
    <m/>
    <m/>
    <m/>
    <m/>
    <m/>
    <m/>
    <m/>
  </r>
  <r>
    <x v="1"/>
    <s v="Arkansas State University Mid-South"/>
    <m/>
    <n v="107318"/>
    <x v="7"/>
    <n v="22753"/>
    <n v="21068"/>
    <n v="15113"/>
    <n v="9332"/>
    <n v="6"/>
    <n v="6"/>
    <n v="7588"/>
    <n v="30"/>
    <n v="16"/>
    <n v="11730"/>
    <m/>
    <m/>
    <m/>
    <m/>
    <n v="0"/>
    <n v="0"/>
    <m/>
    <m/>
    <m/>
    <m/>
    <m/>
    <m/>
    <m/>
    <m/>
    <m/>
    <m/>
    <m/>
    <m/>
  </r>
  <r>
    <x v="1"/>
    <s v="Arkansas State University-Newport"/>
    <m/>
    <n v="440402"/>
    <x v="7"/>
    <n v="54706"/>
    <n v="48782"/>
    <n v="24324"/>
    <n v="19137"/>
    <n v="5623"/>
    <n v="4335"/>
    <n v="24759"/>
    <m/>
    <m/>
    <n v="25310"/>
    <m/>
    <m/>
    <m/>
    <m/>
    <n v="0"/>
    <n v="0"/>
    <m/>
    <m/>
    <m/>
    <m/>
    <m/>
    <m/>
    <m/>
    <m/>
    <m/>
    <m/>
    <m/>
    <m/>
  </r>
  <r>
    <x v="1"/>
    <s v="Arkansas State University Three Rivers"/>
    <s v="2019-20: Institution joined one of our university systems"/>
    <n v="107521"/>
    <x v="7"/>
    <n v="20316"/>
    <n v="20285"/>
    <n v="13450"/>
    <n v="8940"/>
    <n v="2778"/>
    <n v="6853"/>
    <n v="4088"/>
    <m/>
    <m/>
    <n v="4492"/>
    <m/>
    <m/>
    <m/>
    <m/>
    <n v="0"/>
    <n v="0"/>
    <m/>
    <m/>
    <m/>
    <m/>
    <m/>
    <m/>
    <m/>
    <m/>
    <m/>
    <m/>
    <m/>
    <m/>
  </r>
  <r>
    <x v="1"/>
    <s v="Black River Technical College"/>
    <m/>
    <n v="106625"/>
    <x v="7"/>
    <n v="33908"/>
    <n v="32688"/>
    <n v="17865"/>
    <n v="16134"/>
    <n v="2040"/>
    <n v="1257"/>
    <n v="13084"/>
    <n v="919"/>
    <m/>
    <n v="13858"/>
    <n v="1439"/>
    <m/>
    <m/>
    <m/>
    <n v="0"/>
    <n v="0"/>
    <m/>
    <m/>
    <m/>
    <m/>
    <m/>
    <m/>
    <m/>
    <m/>
    <m/>
    <m/>
    <m/>
    <m/>
  </r>
  <r>
    <x v="1"/>
    <s v="Cossatot Community College of the University of Arkansas"/>
    <m/>
    <n v="106795"/>
    <x v="7"/>
    <n v="28978"/>
    <n v="26791"/>
    <n v="11081"/>
    <n v="13349"/>
    <n v="5628"/>
    <n v="423"/>
    <n v="10115"/>
    <n v="1980"/>
    <n v="174"/>
    <n v="11248"/>
    <n v="1527"/>
    <n v="244"/>
    <m/>
    <m/>
    <n v="0"/>
    <n v="0"/>
    <m/>
    <m/>
    <m/>
    <m/>
    <m/>
    <m/>
    <m/>
    <m/>
    <m/>
    <m/>
    <m/>
    <m/>
  </r>
  <r>
    <x v="1"/>
    <s v="East Arkansas Community College "/>
    <m/>
    <n v="106883"/>
    <x v="7"/>
    <n v="26274"/>
    <n v="21139"/>
    <n v="11032"/>
    <n v="6484"/>
    <n v="4861"/>
    <n v="1886"/>
    <n v="10381"/>
    <m/>
    <m/>
    <n v="12769"/>
    <m/>
    <m/>
    <m/>
    <m/>
    <n v="0"/>
    <n v="0"/>
    <m/>
    <m/>
    <m/>
    <m/>
    <m/>
    <m/>
    <m/>
    <m/>
    <m/>
    <m/>
    <m/>
    <m/>
  </r>
  <r>
    <x v="1"/>
    <s v="North Arkansas College"/>
    <m/>
    <n v="107460"/>
    <x v="7"/>
    <n v="37304"/>
    <n v="34445"/>
    <n v="21052"/>
    <n v="8345"/>
    <n v="2149"/>
    <n v="1483"/>
    <n v="13753"/>
    <n v="350"/>
    <m/>
    <n v="14220"/>
    <n v="10397"/>
    <m/>
    <m/>
    <m/>
    <n v="0"/>
    <n v="0"/>
    <m/>
    <m/>
    <m/>
    <m/>
    <m/>
    <m/>
    <m/>
    <m/>
    <m/>
    <m/>
    <m/>
    <m/>
  </r>
  <r>
    <x v="1"/>
    <s v="National Park College"/>
    <m/>
    <n v="106980"/>
    <x v="7"/>
    <n v="55410"/>
    <n v="48645"/>
    <n v="29839"/>
    <n v="17931"/>
    <n v="4523"/>
    <n v="2865"/>
    <n v="21048"/>
    <m/>
    <m/>
    <n v="27849"/>
    <m/>
    <m/>
    <m/>
    <m/>
    <n v="0"/>
    <n v="0"/>
    <m/>
    <m/>
    <m/>
    <m/>
    <m/>
    <m/>
    <m/>
    <m/>
    <m/>
    <m/>
    <m/>
    <m/>
  </r>
  <r>
    <x v="1"/>
    <s v="Northwest Arkansas Community College "/>
    <s v="Met the criteria for Two-Year 2 in 2020-21 and 2021-22"/>
    <n v="367459"/>
    <x v="5"/>
    <n v="151510"/>
    <n v="131465"/>
    <n v="79893"/>
    <n v="9850"/>
    <n v="18095"/>
    <n v="9449"/>
    <n v="53522"/>
    <m/>
    <m/>
    <n v="68804"/>
    <n v="43362"/>
    <m/>
    <m/>
    <m/>
    <n v="0"/>
    <n v="0"/>
    <m/>
    <m/>
    <m/>
    <m/>
    <m/>
    <m/>
    <m/>
    <m/>
    <m/>
    <m/>
    <m/>
    <m/>
  </r>
  <r>
    <x v="1"/>
    <s v="Ozarka College "/>
    <m/>
    <n v="107549"/>
    <x v="7"/>
    <n v="23894"/>
    <n v="21826"/>
    <n v="9910"/>
    <n v="9134"/>
    <n v="1710"/>
    <n v="1231"/>
    <n v="12274"/>
    <m/>
    <m/>
    <n v="11461"/>
    <m/>
    <m/>
    <m/>
    <m/>
    <n v="0"/>
    <n v="0"/>
    <m/>
    <m/>
    <m/>
    <m/>
    <m/>
    <m/>
    <m/>
    <m/>
    <m/>
    <m/>
    <m/>
    <m/>
  </r>
  <r>
    <x v="1"/>
    <s v="Phillips Community College of the Univ of Arkansas"/>
    <m/>
    <n v="107619"/>
    <x v="7"/>
    <n v="27365"/>
    <n v="21349"/>
    <n v="14217"/>
    <n v="9511"/>
    <n v="5104"/>
    <n v="2920"/>
    <n v="5585"/>
    <n v="2459"/>
    <m/>
    <n v="6797"/>
    <n v="2121"/>
    <m/>
    <m/>
    <m/>
    <n v="0"/>
    <n v="0"/>
    <m/>
    <m/>
    <m/>
    <m/>
    <m/>
    <m/>
    <m/>
    <m/>
    <m/>
    <m/>
    <m/>
    <m/>
  </r>
  <r>
    <x v="1"/>
    <s v="South Arkansas Community College"/>
    <m/>
    <n v="107974"/>
    <x v="7"/>
    <n v="30273"/>
    <n v="26309"/>
    <n v="14621"/>
    <n v="9750"/>
    <n v="5561"/>
    <n v="4586"/>
    <n v="10091"/>
    <m/>
    <m/>
    <n v="11973"/>
    <m/>
    <m/>
    <m/>
    <m/>
    <n v="0"/>
    <n v="0"/>
    <m/>
    <m/>
    <m/>
    <m/>
    <m/>
    <m/>
    <m/>
    <m/>
    <m/>
    <m/>
    <m/>
    <m/>
  </r>
  <r>
    <x v="1"/>
    <s v="Southern Arkansas University Tech"/>
    <m/>
    <n v="107992"/>
    <x v="7"/>
    <n v="25409"/>
    <n v="24619"/>
    <n v="14991"/>
    <n v="13792"/>
    <n v="3486"/>
    <n v="2843"/>
    <n v="6932"/>
    <m/>
    <m/>
    <n v="7984"/>
    <m/>
    <m/>
    <m/>
    <m/>
    <n v="0"/>
    <n v="0"/>
    <m/>
    <m/>
    <m/>
    <m/>
    <m/>
    <m/>
    <m/>
    <m/>
    <m/>
    <m/>
    <m/>
    <m/>
  </r>
  <r>
    <x v="1"/>
    <s v="Southeast Arkansas College"/>
    <m/>
    <n v="107637"/>
    <x v="7"/>
    <n v="26630"/>
    <n v="22772"/>
    <n v="16767"/>
    <n v="10789"/>
    <n v="1071"/>
    <n v="1366"/>
    <n v="8792"/>
    <m/>
    <m/>
    <n v="10617"/>
    <m/>
    <m/>
    <m/>
    <m/>
    <n v="0"/>
    <n v="0"/>
    <m/>
    <m/>
    <m/>
    <m/>
    <m/>
    <m/>
    <m/>
    <m/>
    <m/>
    <m/>
    <m/>
    <m/>
  </r>
  <r>
    <x v="1"/>
    <s v="University of Arkansas Community College at Batesville"/>
    <m/>
    <n v="106999"/>
    <x v="7"/>
    <n v="29463"/>
    <n v="24532"/>
    <n v="19464"/>
    <n v="14788"/>
    <n v="1028"/>
    <n v="1128"/>
    <n v="8971"/>
    <m/>
    <m/>
    <n v="8616"/>
    <m/>
    <m/>
    <m/>
    <m/>
    <n v="0"/>
    <n v="0"/>
    <m/>
    <m/>
    <m/>
    <m/>
    <m/>
    <m/>
    <m/>
    <m/>
    <m/>
    <m/>
    <m/>
    <m/>
  </r>
  <r>
    <x v="1"/>
    <s v="University of Arkansas Community College at Hope-Texarkana"/>
    <m/>
    <n v="107725"/>
    <x v="7"/>
    <n v="28130"/>
    <n v="23947"/>
    <n v="14636"/>
    <n v="10515"/>
    <n v="5508"/>
    <n v="3514"/>
    <n v="5880"/>
    <n v="2106"/>
    <m/>
    <n v="8264"/>
    <n v="1654"/>
    <m/>
    <m/>
    <m/>
    <n v="0"/>
    <n v="0"/>
    <m/>
    <m/>
    <m/>
    <m/>
    <m/>
    <m/>
    <m/>
    <m/>
    <m/>
    <m/>
    <m/>
    <m/>
  </r>
  <r>
    <x v="1"/>
    <s v="University of Arkansas Community College at Morrilton"/>
    <m/>
    <n v="107585"/>
    <x v="7"/>
    <n v="40997"/>
    <n v="40716"/>
    <n v="31755"/>
    <n v="27999"/>
    <n v="0"/>
    <n v="16"/>
    <n v="9242"/>
    <m/>
    <m/>
    <n v="12701"/>
    <m/>
    <m/>
    <m/>
    <m/>
    <n v="0"/>
    <n v="0"/>
    <m/>
    <m/>
    <m/>
    <m/>
    <m/>
    <m/>
    <m/>
    <m/>
    <m/>
    <m/>
    <m/>
    <m/>
  </r>
  <r>
    <x v="1"/>
    <s v="University of Arkansas Community College Rich Mountain"/>
    <m/>
    <n v="107743"/>
    <x v="7"/>
    <n v="16918"/>
    <n v="17152"/>
    <n v="9900"/>
    <n v="9510"/>
    <n v="2018"/>
    <n v="1700"/>
    <n v="4673"/>
    <n v="327"/>
    <m/>
    <n v="5661"/>
    <n v="281"/>
    <m/>
    <m/>
    <m/>
    <n v="0"/>
    <n v="0"/>
    <m/>
    <m/>
    <m/>
    <m/>
    <m/>
    <m/>
    <m/>
    <m/>
    <m/>
    <m/>
    <m/>
    <m/>
  </r>
  <r>
    <x v="1"/>
    <s v="University of Arkansas - Pulaski Technical College"/>
    <m/>
    <n v="107664"/>
    <x v="6"/>
    <n v="117967"/>
    <n v="106029"/>
    <n v="72440"/>
    <n v="46215"/>
    <n v="2470"/>
    <n v="1922"/>
    <n v="43057"/>
    <m/>
    <m/>
    <n v="57892"/>
    <m/>
    <m/>
    <m/>
    <m/>
    <n v="0"/>
    <n v="0"/>
    <m/>
    <m/>
    <m/>
    <m/>
    <m/>
    <m/>
    <m/>
    <m/>
    <m/>
    <m/>
    <m/>
    <m/>
  </r>
  <r>
    <x v="2"/>
    <s v="University of Delaware"/>
    <m/>
    <n v="130943"/>
    <x v="0"/>
    <n v="600612"/>
    <n v="595830"/>
    <n v="294779"/>
    <n v="237675"/>
    <m/>
    <m/>
    <n v="305833"/>
    <n v="0"/>
    <n v="0"/>
    <n v="358155"/>
    <n v="0"/>
    <n v="0"/>
    <m/>
    <m/>
    <n v="74608"/>
    <n v="65968"/>
    <n v="37072"/>
    <n v="28865"/>
    <m/>
    <m/>
    <n v="37536"/>
    <n v="0"/>
    <n v="0"/>
    <n v="37103"/>
    <n v="0"/>
    <n v="0"/>
    <m/>
    <m/>
  </r>
  <r>
    <x v="2"/>
    <s v="Delaware State University"/>
    <m/>
    <n v="130934"/>
    <x v="2"/>
    <n v="131706"/>
    <n v="128986"/>
    <n v="104438"/>
    <n v="92736"/>
    <m/>
    <m/>
    <n v="27268"/>
    <n v="0"/>
    <n v="0"/>
    <n v="36250"/>
    <n v="0"/>
    <n v="0"/>
    <m/>
    <m/>
    <n v="9354"/>
    <n v="14581"/>
    <n v="5072"/>
    <n v="6096"/>
    <m/>
    <m/>
    <n v="4282"/>
    <n v="0"/>
    <n v="0"/>
    <n v="8485"/>
    <n v="0"/>
    <n v="0"/>
    <m/>
    <m/>
  </r>
  <r>
    <x v="2"/>
    <s v="Delaware Technical and Community College--Terry"/>
    <s v="Reclassifed Met the criteria for Two-Year with Bachelor's in 2019-20, 2020-21 and 2021-22"/>
    <n v="130907"/>
    <x v="12"/>
    <n v="240081"/>
    <n v="228100"/>
    <n v="178034"/>
    <n v="17501"/>
    <m/>
    <m/>
    <n v="59421"/>
    <n v="979"/>
    <n v="1647"/>
    <n v="172753"/>
    <n v="0"/>
    <n v="37846"/>
    <m/>
    <m/>
    <n v="0"/>
    <n v="0"/>
    <m/>
    <m/>
    <m/>
    <m/>
    <m/>
    <m/>
    <m/>
    <m/>
    <m/>
    <m/>
    <m/>
    <m/>
  </r>
  <r>
    <x v="3"/>
    <m/>
    <m/>
    <m/>
    <x v="13"/>
    <n v="0"/>
    <n v="0"/>
    <m/>
    <m/>
    <m/>
    <m/>
    <m/>
    <m/>
    <m/>
    <m/>
    <m/>
    <m/>
    <m/>
    <m/>
    <n v="0"/>
    <n v="0"/>
    <m/>
    <m/>
    <m/>
    <m/>
    <m/>
    <m/>
    <m/>
    <m/>
    <m/>
    <m/>
    <m/>
    <m/>
  </r>
  <r>
    <x v="3"/>
    <s v="Eastern Florida State College"/>
    <s v="Met the criteria for Two-Year 1 in 2020-21 and 2021-22"/>
    <n v="132693"/>
    <x v="12"/>
    <n v="305122"/>
    <n v="267529"/>
    <n v="103335"/>
    <n v="87515"/>
    <n v="4102"/>
    <n v="5461"/>
    <n v="154828"/>
    <n v="42857"/>
    <n v="0"/>
    <n v="168136"/>
    <n v="6417"/>
    <n v="0"/>
    <n v="0"/>
    <n v="0"/>
    <n v="0"/>
    <n v="0"/>
    <m/>
    <m/>
    <m/>
    <m/>
    <m/>
    <m/>
    <m/>
    <m/>
    <m/>
    <m/>
    <m/>
    <m/>
  </r>
  <r>
    <x v="3"/>
    <s v="Broward College "/>
    <s v="Met the criteria for Two-Year 21in 2020-21 and 2021-22"/>
    <n v="132709"/>
    <x v="12"/>
    <n v="761067"/>
    <n v="681316"/>
    <n v="316089"/>
    <n v="262970"/>
    <n v="22265"/>
    <n v="25172"/>
    <n v="194781"/>
    <n v="227752"/>
    <n v="0"/>
    <n v="204069"/>
    <n v="189057"/>
    <n v="0"/>
    <n v="180"/>
    <n v="48"/>
    <n v="0"/>
    <n v="0"/>
    <m/>
    <m/>
    <m/>
    <m/>
    <m/>
    <m/>
    <m/>
    <m/>
    <m/>
    <m/>
    <m/>
    <m/>
  </r>
  <r>
    <x v="3"/>
    <s v="College of Central Florida"/>
    <s v="Met the criteria for Two-Year 2 in 2020-21 and 2021-22"/>
    <n v="132851"/>
    <x v="12"/>
    <n v="139303"/>
    <n v="121421"/>
    <n v="47353"/>
    <n v="38160"/>
    <n v="0"/>
    <n v="0"/>
    <n v="90808"/>
    <n v="0"/>
    <n v="1142"/>
    <n v="83261"/>
    <n v="0"/>
    <n v="0"/>
    <n v="0"/>
    <n v="0"/>
    <n v="0"/>
    <n v="0"/>
    <m/>
    <m/>
    <m/>
    <m/>
    <m/>
    <m/>
    <m/>
    <m/>
    <m/>
    <m/>
    <m/>
    <m/>
  </r>
  <r>
    <x v="3"/>
    <s v="Chipola College "/>
    <s v="Met the criteria for Two-Year 3 in 2020-21 and 2021-22"/>
    <n v="133021"/>
    <x v="12"/>
    <n v="37404"/>
    <n v="34470"/>
    <n v="18026"/>
    <n v="15921"/>
    <n v="3381"/>
    <n v="4068"/>
    <n v="15997"/>
    <n v="0"/>
    <n v="0"/>
    <n v="14481"/>
    <n v="0"/>
    <n v="0"/>
    <n v="0"/>
    <n v="0"/>
    <n v="0"/>
    <n v="0"/>
    <m/>
    <m/>
    <m/>
    <m/>
    <m/>
    <m/>
    <m/>
    <m/>
    <m/>
    <m/>
    <m/>
    <m/>
  </r>
  <r>
    <x v="3"/>
    <s v="Daytona State College "/>
    <s v="Met the criteria for Two-Year 1 in 2020-21 and 2021-22"/>
    <n v="133386"/>
    <x v="12"/>
    <n v="278713"/>
    <n v="251371"/>
    <n v="94226"/>
    <n v="78725"/>
    <n v="7172"/>
    <n v="7101"/>
    <n v="177315"/>
    <n v="0"/>
    <n v="0"/>
    <n v="165545"/>
    <n v="0"/>
    <n v="0"/>
    <n v="0"/>
    <n v="0"/>
    <n v="0"/>
    <n v="0"/>
    <m/>
    <m/>
    <m/>
    <m/>
    <m/>
    <m/>
    <m/>
    <m/>
    <m/>
    <m/>
    <m/>
    <m/>
  </r>
  <r>
    <x v="3"/>
    <s v="Florida SouthWestern State College"/>
    <s v="Met the criteria for Two-Year 1 in 2020-21 and 2021-22"/>
    <n v="133508"/>
    <x v="12"/>
    <n v="310635"/>
    <n v="290122"/>
    <n v="152877"/>
    <n v="123495"/>
    <n v="14254"/>
    <n v="12745"/>
    <n v="142434"/>
    <n v="0"/>
    <n v="0"/>
    <n v="152797"/>
    <n v="0"/>
    <n v="0"/>
    <n v="1070"/>
    <n v="1085"/>
    <n v="0"/>
    <n v="0"/>
    <m/>
    <m/>
    <m/>
    <m/>
    <m/>
    <m/>
    <m/>
    <m/>
    <m/>
    <m/>
    <m/>
    <m/>
  </r>
  <r>
    <x v="3"/>
    <s v="Florida State College at Jacksonville"/>
    <s v="Met the criteria for Two-Year 1 in 2020-21 and 2021-22"/>
    <n v="133702"/>
    <x v="12"/>
    <n v="460902"/>
    <n v="411842"/>
    <n v="104697"/>
    <n v="75053"/>
    <n v="17274"/>
    <n v="18896"/>
    <n v="212963"/>
    <n v="125968"/>
    <n v="0"/>
    <n v="176963"/>
    <n v="140930"/>
    <n v="0"/>
    <n v="0"/>
    <n v="0"/>
    <n v="0"/>
    <n v="0"/>
    <m/>
    <m/>
    <m/>
    <m/>
    <m/>
    <m/>
    <m/>
    <m/>
    <m/>
    <m/>
    <m/>
    <m/>
  </r>
  <r>
    <x v="3"/>
    <s v="The College of the Florida Keys"/>
    <m/>
    <n v="133960"/>
    <x v="7"/>
    <n v="20810"/>
    <n v="21291"/>
    <n v="7889"/>
    <n v="7744"/>
    <n v="975"/>
    <n v="1479"/>
    <n v="11946"/>
    <n v="0"/>
    <n v="0"/>
    <n v="12068"/>
    <n v="0"/>
    <n v="0"/>
    <n v="0"/>
    <n v="0"/>
    <n v="0"/>
    <n v="0"/>
    <m/>
    <m/>
    <m/>
    <m/>
    <m/>
    <m/>
    <m/>
    <m/>
    <m/>
    <m/>
    <m/>
    <m/>
  </r>
  <r>
    <x v="3"/>
    <s v="Gulf Coast State College "/>
    <s v="Met the criteria for Two-Year 2 in 2020-21 and 2021-22"/>
    <n v="134343"/>
    <x v="12"/>
    <n v="90169"/>
    <n v="85334"/>
    <n v="46130"/>
    <n v="40430"/>
    <n v="9098"/>
    <n v="8652"/>
    <n v="34941"/>
    <n v="0"/>
    <n v="0"/>
    <n v="36252"/>
    <n v="0"/>
    <n v="0"/>
    <n v="0"/>
    <n v="0"/>
    <n v="0"/>
    <n v="0"/>
    <m/>
    <m/>
    <m/>
    <m/>
    <m/>
    <m/>
    <m/>
    <m/>
    <m/>
    <m/>
    <m/>
    <m/>
  </r>
  <r>
    <x v="3"/>
    <s v="Hillsborough Community College "/>
    <m/>
    <n v="134495"/>
    <x v="5"/>
    <n v="566562"/>
    <n v="528202"/>
    <n v="177410"/>
    <n v="115944"/>
    <n v="25820"/>
    <n v="27050"/>
    <n v="363332"/>
    <n v="0"/>
    <n v="0"/>
    <n v="385208"/>
    <n v="0"/>
    <n v="0"/>
    <n v="0"/>
    <n v="0"/>
    <n v="0"/>
    <n v="0"/>
    <m/>
    <m/>
    <m/>
    <m/>
    <m/>
    <m/>
    <m/>
    <m/>
    <m/>
    <m/>
    <m/>
    <m/>
  </r>
  <r>
    <x v="3"/>
    <s v="Indian River State College "/>
    <s v="Met the criteria for Two-Year 1 in 2020-21 and 2021-22"/>
    <n v="134608"/>
    <x v="12"/>
    <n v="301288"/>
    <n v="276508"/>
    <n v="106134"/>
    <n v="82528"/>
    <n v="5981"/>
    <n v="7430"/>
    <n v="173434"/>
    <n v="15739"/>
    <n v="0"/>
    <n v="173467"/>
    <n v="13083"/>
    <n v="0"/>
    <n v="0"/>
    <n v="0"/>
    <n v="0"/>
    <n v="0"/>
    <m/>
    <m/>
    <m/>
    <m/>
    <m/>
    <m/>
    <m/>
    <m/>
    <m/>
    <m/>
    <m/>
    <m/>
  </r>
  <r>
    <x v="3"/>
    <s v="Florida Gateway College"/>
    <s v="Met the criteria for Two-Year 2 in 2020-21 and 2021-22"/>
    <n v="135160"/>
    <x v="12"/>
    <n v="60416"/>
    <n v="54311"/>
    <n v="18529"/>
    <n v="15937"/>
    <n v="3055"/>
    <n v="2788"/>
    <n v="38832"/>
    <n v="0"/>
    <n v="0"/>
    <n v="35586"/>
    <n v="0"/>
    <n v="0"/>
    <n v="0"/>
    <n v="0"/>
    <n v="0"/>
    <n v="0"/>
    <m/>
    <m/>
    <m/>
    <m/>
    <m/>
    <m/>
    <m/>
    <m/>
    <m/>
    <m/>
    <m/>
    <m/>
  </r>
  <r>
    <x v="3"/>
    <s v="Lake-Sumter State College "/>
    <s v="Met the criteria for Two-Year 2 in 2020-21 and 2021-22"/>
    <n v="135188"/>
    <x v="12"/>
    <n v="97706"/>
    <n v="88726"/>
    <n v="31829"/>
    <n v="21153"/>
    <n v="0"/>
    <n v="0"/>
    <n v="65877"/>
    <n v="0"/>
    <n v="0"/>
    <n v="67573"/>
    <n v="0"/>
    <n v="0"/>
    <n v="0"/>
    <n v="0"/>
    <n v="0"/>
    <n v="0"/>
    <m/>
    <m/>
    <m/>
    <m/>
    <m/>
    <m/>
    <m/>
    <m/>
    <m/>
    <m/>
    <m/>
    <m/>
  </r>
  <r>
    <x v="3"/>
    <s v="State College of Florida, Manatee-Sarasota"/>
    <s v="Met the criteria for Two-Year 1 in 2020-21 and 2021-22"/>
    <n v="135391"/>
    <x v="12"/>
    <n v="197418"/>
    <n v="181116"/>
    <n v="69428"/>
    <n v="61659"/>
    <n v="0"/>
    <n v="0"/>
    <n v="115010"/>
    <n v="12980"/>
    <n v="0"/>
    <n v="108133"/>
    <n v="11324"/>
    <n v="0"/>
    <n v="0"/>
    <n v="0"/>
    <n v="0"/>
    <n v="0"/>
    <m/>
    <m/>
    <m/>
    <m/>
    <m/>
    <m/>
    <m/>
    <m/>
    <m/>
    <m/>
    <m/>
    <m/>
  </r>
  <r>
    <x v="3"/>
    <s v="Miami Dade College "/>
    <s v="Met the criteria for Two-Year 1 in 2020-21 and 2021-22"/>
    <n v="135717"/>
    <x v="12"/>
    <n v="1238787"/>
    <n v="1198547"/>
    <n v="633556"/>
    <n v="346215"/>
    <n v="17779"/>
    <n v="21299"/>
    <n v="424660"/>
    <n v="160784"/>
    <n v="0"/>
    <n v="304119"/>
    <n v="523952"/>
    <n v="0"/>
    <n v="2008"/>
    <n v="2962"/>
    <n v="0"/>
    <n v="0"/>
    <m/>
    <m/>
    <m/>
    <m/>
    <m/>
    <m/>
    <m/>
    <m/>
    <m/>
    <m/>
    <m/>
    <m/>
  </r>
  <r>
    <x v="3"/>
    <s v="North Florida College "/>
    <m/>
    <n v="136145"/>
    <x v="7"/>
    <n v="21932"/>
    <n v="22439"/>
    <n v="8942"/>
    <n v="7691"/>
    <n v="588"/>
    <n v="974"/>
    <n v="12170"/>
    <n v="232"/>
    <n v="0"/>
    <n v="13440"/>
    <n v="334"/>
    <n v="0"/>
    <n v="0"/>
    <n v="0"/>
    <n v="0"/>
    <n v="0"/>
    <m/>
    <m/>
    <m/>
    <m/>
    <m/>
    <m/>
    <m/>
    <m/>
    <m/>
    <m/>
    <m/>
    <m/>
  </r>
  <r>
    <x v="3"/>
    <s v="Northwest Florida State College"/>
    <s v="Met the criteria for Two-Year 2 in 2020-21 and 2021-22"/>
    <n v="136233"/>
    <x v="12"/>
    <n v="105506"/>
    <n v="91964"/>
    <n v="38892"/>
    <n v="33088"/>
    <n v="3220"/>
    <n v="2349"/>
    <n v="63394"/>
    <n v="0"/>
    <n v="0"/>
    <n v="56527"/>
    <n v="0"/>
    <n v="0"/>
    <n v="0"/>
    <n v="0"/>
    <n v="0"/>
    <n v="0"/>
    <m/>
    <m/>
    <m/>
    <m/>
    <m/>
    <m/>
    <m/>
    <m/>
    <m/>
    <m/>
    <m/>
    <m/>
  </r>
  <r>
    <x v="3"/>
    <s v="Palm Beach State College "/>
    <s v="Met the criteria for Two-Year 1 in 2020-21 and 2021-22"/>
    <n v="136358"/>
    <x v="12"/>
    <n v="559943"/>
    <n v="482962"/>
    <n v="174095"/>
    <n v="77912"/>
    <n v="5399"/>
    <n v="1091"/>
    <n v="162739"/>
    <n v="216194"/>
    <n v="1516"/>
    <n v="165191"/>
    <n v="238768"/>
    <n v="0"/>
    <n v="0"/>
    <n v="0"/>
    <n v="0"/>
    <n v="0"/>
    <m/>
    <m/>
    <m/>
    <m/>
    <m/>
    <m/>
    <m/>
    <m/>
    <m/>
    <m/>
    <m/>
    <m/>
  </r>
  <r>
    <x v="3"/>
    <s v="Pasco-Hernando State College "/>
    <s v="Met the criteria for Two-Year 1 in 2020-21 and 2021-22"/>
    <n v="136400"/>
    <x v="12"/>
    <n v="212428"/>
    <n v="186595"/>
    <n v="64511"/>
    <n v="26932"/>
    <n v="5644"/>
    <n v="10265"/>
    <n v="107436"/>
    <n v="34837"/>
    <n v="0"/>
    <n v="108215"/>
    <n v="41183"/>
    <n v="0"/>
    <n v="0"/>
    <n v="0"/>
    <n v="0"/>
    <n v="0"/>
    <m/>
    <m/>
    <m/>
    <m/>
    <m/>
    <m/>
    <m/>
    <m/>
    <m/>
    <m/>
    <m/>
    <m/>
  </r>
  <r>
    <x v="3"/>
    <s v="Pensacola State College "/>
    <s v="Met the criteria for Two-Year 1 in 2020-21 and 2021-22"/>
    <n v="136473"/>
    <x v="12"/>
    <n v="186929"/>
    <n v="170960"/>
    <n v="58110"/>
    <n v="53886"/>
    <n v="19179"/>
    <n v="14507"/>
    <n v="67170"/>
    <n v="42470"/>
    <n v="0"/>
    <n v="71373"/>
    <n v="31194"/>
    <n v="0"/>
    <n v="0"/>
    <n v="0"/>
    <n v="0"/>
    <n v="0"/>
    <m/>
    <m/>
    <m/>
    <m/>
    <m/>
    <m/>
    <m/>
    <m/>
    <m/>
    <m/>
    <m/>
    <m/>
  </r>
  <r>
    <x v="3"/>
    <s v="Polk State College "/>
    <s v="Met the criteria for Two-Year 1 in 2020-21 and 2021-22"/>
    <n v="136516"/>
    <x v="12"/>
    <n v="190278"/>
    <n v="166144"/>
    <n v="48040"/>
    <n v="28375"/>
    <n v="13318"/>
    <n v="9441"/>
    <n v="128920"/>
    <n v="0"/>
    <n v="0"/>
    <n v="128328"/>
    <n v="0"/>
    <n v="0"/>
    <n v="0"/>
    <n v="0"/>
    <n v="0"/>
    <n v="0"/>
    <m/>
    <m/>
    <m/>
    <m/>
    <m/>
    <m/>
    <m/>
    <m/>
    <m/>
    <m/>
    <m/>
    <m/>
  </r>
  <r>
    <x v="3"/>
    <s v="St. Johns River State College "/>
    <s v="Met the criteria for Two-Year 2 in 2020-21 and 2021-22"/>
    <n v="137281"/>
    <x v="12"/>
    <n v="133424"/>
    <n v="120501"/>
    <n v="33154"/>
    <n v="31233"/>
    <n v="13450"/>
    <n v="12324"/>
    <n v="86763"/>
    <n v="0"/>
    <n v="57"/>
    <n v="76944"/>
    <n v="0"/>
    <n v="0"/>
    <n v="0"/>
    <n v="0"/>
    <n v="0"/>
    <n v="0"/>
    <m/>
    <m/>
    <m/>
    <m/>
    <m/>
    <m/>
    <m/>
    <m/>
    <m/>
    <m/>
    <m/>
    <m/>
  </r>
  <r>
    <x v="3"/>
    <s v="St. Petersburg College "/>
    <s v="Met the criteria for Two-Year 1 in 2020-21 and 2021-22"/>
    <n v="137078"/>
    <x v="12"/>
    <n v="522921"/>
    <n v="470025"/>
    <n v="150275"/>
    <n v="110500"/>
    <n v="0"/>
    <n v="0"/>
    <n v="308566"/>
    <n v="64080"/>
    <n v="0"/>
    <n v="282721"/>
    <n v="76804"/>
    <n v="0"/>
    <n v="0"/>
    <n v="0"/>
    <n v="0"/>
    <n v="0"/>
    <m/>
    <m/>
    <m/>
    <m/>
    <m/>
    <m/>
    <m/>
    <m/>
    <m/>
    <m/>
    <m/>
    <m/>
  </r>
  <r>
    <x v="3"/>
    <s v="Santa Fe College "/>
    <s v="Met the criteria for Two-Year 1 in 2020-21 and 2021-22"/>
    <n v="137096"/>
    <x v="12"/>
    <n v="289536"/>
    <n v="265258"/>
    <n v="158373"/>
    <n v="135923"/>
    <n v="3127"/>
    <n v="3059"/>
    <n v="128036"/>
    <n v="0"/>
    <n v="0"/>
    <n v="126276"/>
    <n v="0"/>
    <n v="0"/>
    <n v="0"/>
    <n v="0"/>
    <n v="0"/>
    <n v="0"/>
    <m/>
    <m/>
    <m/>
    <m/>
    <m/>
    <m/>
    <m/>
    <m/>
    <m/>
    <m/>
    <m/>
    <m/>
  </r>
  <r>
    <x v="3"/>
    <s v="Seminole State College of Florida"/>
    <s v="Met the criteria for Two-Year 1 in 2020-21 and 2021-22"/>
    <n v="137209"/>
    <x v="12"/>
    <n v="332564"/>
    <n v="303949"/>
    <n v="115318"/>
    <n v="88258"/>
    <n v="0"/>
    <n v="0"/>
    <n v="182866"/>
    <n v="34380"/>
    <n v="0"/>
    <n v="182228"/>
    <n v="33463"/>
    <n v="0"/>
    <n v="0"/>
    <n v="0"/>
    <n v="0"/>
    <n v="0"/>
    <m/>
    <m/>
    <m/>
    <m/>
    <m/>
    <m/>
    <m/>
    <m/>
    <m/>
    <m/>
    <m/>
    <m/>
  </r>
  <r>
    <x v="3"/>
    <s v="South Florida State College "/>
    <s v="Met the criteria for Two-Year 2 in 2020-21 and 2021-22"/>
    <n v="137315"/>
    <x v="12"/>
    <n v="48170"/>
    <n v="49014"/>
    <n v="14983"/>
    <n v="12977"/>
    <n v="5571"/>
    <n v="4571"/>
    <n v="26529"/>
    <n v="1059"/>
    <n v="28"/>
    <n v="29743"/>
    <n v="1691"/>
    <n v="32"/>
    <n v="0"/>
    <n v="0"/>
    <n v="0"/>
    <n v="0"/>
    <m/>
    <m/>
    <m/>
    <m/>
    <m/>
    <m/>
    <m/>
    <m/>
    <m/>
    <m/>
    <m/>
    <m/>
  </r>
  <r>
    <x v="3"/>
    <s v="Tallahassee Community College "/>
    <m/>
    <n v="137759"/>
    <x v="5"/>
    <n v="252748"/>
    <n v="260222"/>
    <n v="78172"/>
    <n v="54591"/>
    <n v="16564"/>
    <n v="10303"/>
    <n v="158012"/>
    <n v="0"/>
    <n v="0"/>
    <n v="195328"/>
    <n v="0"/>
    <n v="0"/>
    <n v="0"/>
    <n v="0"/>
    <n v="0"/>
    <n v="0"/>
    <m/>
    <m/>
    <m/>
    <m/>
    <m/>
    <m/>
    <m/>
    <m/>
    <m/>
    <m/>
    <m/>
    <m/>
  </r>
  <r>
    <x v="3"/>
    <s v="Valencia College "/>
    <s v="Met the criteria for Two-Year 1 in 2020-21 and 2021-22"/>
    <n v="138187"/>
    <x v="12"/>
    <n v="1027692"/>
    <n v="946125"/>
    <n v="258155"/>
    <n v="133914"/>
    <n v="23268"/>
    <n v="9513"/>
    <n v="746269"/>
    <n v="0"/>
    <n v="0"/>
    <n v="802698"/>
    <n v="0"/>
    <n v="0"/>
    <n v="0"/>
    <n v="0"/>
    <n v="0"/>
    <n v="0"/>
    <m/>
    <m/>
    <m/>
    <m/>
    <m/>
    <m/>
    <m/>
    <m/>
    <m/>
    <m/>
    <m/>
    <m/>
  </r>
  <r>
    <x v="4"/>
    <s v="Georgia State University "/>
    <m/>
    <n v="139940"/>
    <x v="0"/>
    <n v="1166305"/>
    <n v="1081312"/>
    <n v="488342"/>
    <n v="376226.5"/>
    <n v="5817"/>
    <n v="2116"/>
    <n v="672146"/>
    <n v="0"/>
    <n v="0"/>
    <n v="702969.5"/>
    <n v="0"/>
    <n v="0"/>
    <n v="0"/>
    <n v="0"/>
    <n v="221637"/>
    <n v="212768"/>
    <n v="73237.5"/>
    <n v="69488"/>
    <n v="52370.5"/>
    <n v="63358.5"/>
    <n v="96029"/>
    <n v="0"/>
    <n v="0"/>
    <n v="79921.5"/>
    <n v="0"/>
    <n v="0"/>
    <n v="0"/>
    <n v="0"/>
  </r>
  <r>
    <x v="4"/>
    <s v="University of Georgia"/>
    <m/>
    <n v="139959"/>
    <x v="0"/>
    <n v="869860.5"/>
    <n v="861940.5"/>
    <n v="671996.5"/>
    <n v="681018.5"/>
    <n v="12729"/>
    <n v="13127"/>
    <n v="185135"/>
    <n v="0"/>
    <n v="0"/>
    <n v="167795"/>
    <n v="0"/>
    <n v="0"/>
    <n v="0"/>
    <n v="0"/>
    <n v="288941.90000000002"/>
    <n v="304596.70999999996"/>
    <n v="190625.5"/>
    <n v="226003.11"/>
    <n v="31078.7"/>
    <n v="38863.1"/>
    <n v="67237.7"/>
    <n v="0"/>
    <n v="0"/>
    <n v="39730.5"/>
    <n v="0"/>
    <n v="0"/>
    <n v="0"/>
    <n v="0"/>
  </r>
  <r>
    <x v="4"/>
    <s v="Georgia Institute of Technology"/>
    <m/>
    <n v="139755"/>
    <x v="1"/>
    <n v="481969.97"/>
    <n v="479302"/>
    <n v="203891.97"/>
    <n v="198150"/>
    <n v="3590"/>
    <n v="4778"/>
    <n v="274488"/>
    <n v="0"/>
    <n v="0"/>
    <n v="276374"/>
    <n v="0"/>
    <n v="0"/>
    <n v="0"/>
    <n v="0"/>
    <n v="402738.5"/>
    <n v="441715"/>
    <n v="156332"/>
    <n v="199616"/>
    <n v="3073"/>
    <n v="3757"/>
    <n v="243333.5"/>
    <n v="0"/>
    <n v="0"/>
    <n v="238342"/>
    <n v="0"/>
    <n v="0"/>
    <n v="0"/>
    <n v="0"/>
  </r>
  <r>
    <x v="4"/>
    <s v="Georgia Southern University"/>
    <m/>
    <n v="139931"/>
    <x v="2"/>
    <n v="648421"/>
    <n v="647959"/>
    <n v="410871"/>
    <n v="406982"/>
    <n v="2423"/>
    <n v="3576"/>
    <n v="235048"/>
    <n v="0"/>
    <n v="79"/>
    <n v="237269"/>
    <n v="0"/>
    <n v="132"/>
    <n v="0"/>
    <n v="0"/>
    <n v="65013"/>
    <n v="67301"/>
    <n v="19852"/>
    <n v="21499"/>
    <n v="422"/>
    <n v="212"/>
    <n v="44739"/>
    <n v="0"/>
    <n v="0"/>
    <n v="45587"/>
    <n v="0"/>
    <n v="3"/>
    <n v="0"/>
    <n v="0"/>
  </r>
  <r>
    <x v="4"/>
    <s v="Kennesaw State University"/>
    <m/>
    <n v="486840"/>
    <x v="2"/>
    <n v="967518"/>
    <n v="1001472"/>
    <n v="385574"/>
    <n v="446841"/>
    <n v="84"/>
    <n v="87"/>
    <n v="581860"/>
    <n v="0"/>
    <n v="0"/>
    <n v="554544"/>
    <n v="0"/>
    <n v="0"/>
    <n v="0"/>
    <n v="0"/>
    <n v="61855"/>
    <n v="70290"/>
    <n v="13647"/>
    <n v="16253"/>
    <n v="6"/>
    <n v="75"/>
    <n v="48202"/>
    <n v="0"/>
    <n v="0"/>
    <n v="53962"/>
    <n v="0"/>
    <n v="0"/>
    <n v="0"/>
    <n v="0"/>
  </r>
  <r>
    <x v="4"/>
    <s v="University of West Georgia"/>
    <m/>
    <n v="141334"/>
    <x v="2"/>
    <n v="280293"/>
    <n v="258039"/>
    <n v="127921"/>
    <n v="104246"/>
    <n v="11674"/>
    <n v="12161"/>
    <n v="140698"/>
    <n v="0"/>
    <n v="0"/>
    <n v="141632"/>
    <n v="0"/>
    <n v="0"/>
    <n v="0"/>
    <n v="0"/>
    <n v="52589"/>
    <n v="55183"/>
    <n v="4643"/>
    <n v="5278"/>
    <n v="417"/>
    <n v="348"/>
    <n v="47529"/>
    <n v="0"/>
    <n v="0"/>
    <n v="49557"/>
    <n v="0"/>
    <n v="0"/>
    <n v="0"/>
    <n v="0"/>
  </r>
  <r>
    <x v="4"/>
    <s v="Valdosta State University "/>
    <m/>
    <n v="141264"/>
    <x v="2"/>
    <n v="241920"/>
    <n v="240166"/>
    <n v="148717"/>
    <n v="144332"/>
    <n v="942"/>
    <n v="1228"/>
    <n v="91992"/>
    <n v="269"/>
    <n v="0"/>
    <n v="94018"/>
    <n v="588"/>
    <n v="0"/>
    <n v="0"/>
    <n v="0"/>
    <n v="48457"/>
    <n v="49743"/>
    <n v="8263"/>
    <n v="8752"/>
    <n v="389"/>
    <n v="315"/>
    <n v="39760"/>
    <n v="45"/>
    <n v="0"/>
    <n v="40610"/>
    <n v="42"/>
    <n v="24"/>
    <n v="0"/>
    <n v="0"/>
  </r>
  <r>
    <x v="4"/>
    <s v="Albany State University "/>
    <m/>
    <n v="138716"/>
    <x v="3"/>
    <n v="154957"/>
    <n v="146339"/>
    <n v="92255"/>
    <n v="75267"/>
    <n v="1819"/>
    <n v="1348"/>
    <n v="58301"/>
    <n v="2106"/>
    <n v="476"/>
    <n v="64423"/>
    <n v="4473"/>
    <n v="828"/>
    <n v="0"/>
    <n v="0"/>
    <n v="7033"/>
    <n v="8657"/>
    <n v="1297"/>
    <n v="815"/>
    <n v="60"/>
    <n v="0"/>
    <n v="5661"/>
    <n v="15"/>
    <n v="0"/>
    <n v="7842"/>
    <n v="0"/>
    <n v="0"/>
    <n v="0"/>
    <n v="0"/>
  </r>
  <r>
    <x v="4"/>
    <s v="Augusta University"/>
    <m/>
    <n v="482149"/>
    <x v="3"/>
    <n v="154709"/>
    <n v="148914"/>
    <n v="96932"/>
    <n v="84477"/>
    <n v="846"/>
    <n v="1194"/>
    <n v="56486"/>
    <n v="0"/>
    <n v="445"/>
    <n v="63155"/>
    <n v="0"/>
    <n v="88"/>
    <n v="0"/>
    <n v="0"/>
    <n v="208817"/>
    <n v="227833"/>
    <n v="151717"/>
    <n v="168422"/>
    <n v="12150"/>
    <n v="14083"/>
    <n v="44950"/>
    <n v="0"/>
    <n v="0"/>
    <n v="45328"/>
    <n v="0"/>
    <n v="0"/>
    <n v="0"/>
    <n v="0"/>
  </r>
  <r>
    <x v="4"/>
    <s v="Clayton State University"/>
    <m/>
    <n v="139311"/>
    <x v="3"/>
    <n v="156238"/>
    <n v="145785"/>
    <n v="46487"/>
    <n v="35232"/>
    <n v="179"/>
    <n v="405"/>
    <n v="109572"/>
    <n v="0"/>
    <n v="0"/>
    <n v="110148"/>
    <n v="0"/>
    <n v="0"/>
    <n v="0"/>
    <n v="0"/>
    <n v="11396"/>
    <n v="12901"/>
    <n v="1542"/>
    <n v="1082"/>
    <n v="76"/>
    <n v="61"/>
    <n v="9778"/>
    <n v="0"/>
    <n v="0"/>
    <n v="11758"/>
    <n v="0"/>
    <n v="0"/>
    <n v="0"/>
    <n v="0"/>
  </r>
  <r>
    <x v="4"/>
    <s v="Columbus State University"/>
    <s v="Meet the Criteria for Four-Year 3 in 2021-22"/>
    <n v="139366"/>
    <x v="3"/>
    <n v="174302"/>
    <n v="166138"/>
    <n v="92901"/>
    <n v="88307"/>
    <n v="6329"/>
    <n v="5913"/>
    <n v="75072"/>
    <n v="0"/>
    <n v="0"/>
    <n v="71918"/>
    <n v="0"/>
    <n v="0"/>
    <n v="0"/>
    <n v="0"/>
    <n v="24626"/>
    <n v="25322"/>
    <n v="5969"/>
    <n v="6346"/>
    <n v="157"/>
    <n v="178"/>
    <n v="18500"/>
    <n v="0"/>
    <n v="0"/>
    <n v="18798"/>
    <n v="0"/>
    <n v="0"/>
    <n v="0"/>
    <n v="0"/>
  </r>
  <r>
    <x v="4"/>
    <s v="Fort Valley State University"/>
    <m/>
    <n v="139719"/>
    <x v="4"/>
    <n v="69838"/>
    <n v="70086"/>
    <n v="48955"/>
    <n v="45869"/>
    <n v="195"/>
    <n v="18"/>
    <n v="19532"/>
    <n v="0"/>
    <n v="1156"/>
    <n v="23070"/>
    <n v="0"/>
    <n v="1129"/>
    <n v="0"/>
    <n v="0"/>
    <n v="5183"/>
    <n v="4708"/>
    <n v="2104"/>
    <n v="1759"/>
    <n v="0"/>
    <n v="0"/>
    <n v="3048"/>
    <n v="0"/>
    <n v="31"/>
    <n v="2751"/>
    <n v="0"/>
    <n v="198"/>
    <n v="0"/>
    <n v="0"/>
  </r>
  <r>
    <x v="4"/>
    <s v="Georgia College and State University"/>
    <m/>
    <n v="139861"/>
    <x v="3"/>
    <n v="169162"/>
    <n v="161532.5"/>
    <n v="132573"/>
    <n v="127544.5"/>
    <n v="1604"/>
    <n v="410"/>
    <n v="34985"/>
    <n v="0"/>
    <n v="0"/>
    <n v="33578"/>
    <n v="0"/>
    <n v="0"/>
    <n v="0"/>
    <n v="0"/>
    <n v="25707"/>
    <n v="25528"/>
    <n v="2838"/>
    <n v="2835"/>
    <n v="158"/>
    <n v="89"/>
    <n v="22711"/>
    <n v="0"/>
    <n v="0"/>
    <n v="22604"/>
    <n v="0"/>
    <n v="0"/>
    <n v="0"/>
    <n v="0"/>
  </r>
  <r>
    <x v="4"/>
    <s v="Georgia Southwestern State University"/>
    <m/>
    <n v="139764"/>
    <x v="3"/>
    <n v="63318"/>
    <n v="60636"/>
    <n v="34388"/>
    <n v="32055"/>
    <n v="1620"/>
    <n v="1650"/>
    <n v="27310"/>
    <n v="0"/>
    <n v="0"/>
    <n v="26931"/>
    <n v="0"/>
    <n v="0"/>
    <n v="0"/>
    <n v="0"/>
    <n v="11513"/>
    <n v="14744"/>
    <n v="2651"/>
    <n v="3304"/>
    <n v="0"/>
    <n v="204"/>
    <n v="8862"/>
    <n v="0"/>
    <n v="0"/>
    <n v="11236"/>
    <n v="0"/>
    <n v="0"/>
    <n v="0"/>
    <n v="0"/>
  </r>
  <r>
    <x v="4"/>
    <s v="University of North Georgia"/>
    <m/>
    <n v="482680"/>
    <x v="3"/>
    <n v="466916"/>
    <n v="439851"/>
    <n v="299935"/>
    <n v="272686"/>
    <n v="4923"/>
    <n v="3690"/>
    <n v="162058"/>
    <n v="0"/>
    <n v="0"/>
    <n v="163475"/>
    <n v="0"/>
    <n v="0"/>
    <n v="0"/>
    <n v="0"/>
    <n v="15946"/>
    <n v="16941"/>
    <n v="5744"/>
    <n v="6816"/>
    <n v="545"/>
    <n v="130"/>
    <n v="9657"/>
    <n v="0"/>
    <n v="0"/>
    <n v="9995"/>
    <n v="0"/>
    <n v="0"/>
    <n v="0"/>
    <n v="0"/>
  </r>
  <r>
    <x v="4"/>
    <s v="Savannah State University"/>
    <m/>
    <n v="140960"/>
    <x v="4"/>
    <n v="93227"/>
    <n v="83487"/>
    <n v="57189"/>
    <n v="49311"/>
    <n v="297"/>
    <n v="60"/>
    <n v="35741"/>
    <n v="0"/>
    <n v="0"/>
    <n v="34116"/>
    <n v="0"/>
    <n v="0"/>
    <n v="0"/>
    <n v="0"/>
    <n v="4540"/>
    <n v="4815"/>
    <n v="1720"/>
    <n v="2052"/>
    <n v="1632"/>
    <n v="1041"/>
    <n v="1188"/>
    <n v="0"/>
    <n v="0"/>
    <n v="1722"/>
    <n v="0"/>
    <n v="0"/>
    <n v="0"/>
    <n v="0"/>
  </r>
  <r>
    <x v="4"/>
    <s v="Abraham Baldwin Agricultural College "/>
    <m/>
    <n v="138558"/>
    <x v="11"/>
    <n v="93270"/>
    <n v="92019"/>
    <n v="55600"/>
    <n v="58589"/>
    <n v="4287"/>
    <n v="4967"/>
    <n v="33383"/>
    <n v="0"/>
    <n v="0"/>
    <n v="28463"/>
    <n v="0"/>
    <n v="0"/>
    <n v="0"/>
    <n v="0"/>
    <n v="0"/>
    <n v="0"/>
    <m/>
    <m/>
    <m/>
    <m/>
    <m/>
    <m/>
    <m/>
    <m/>
    <m/>
    <m/>
    <m/>
    <m/>
  </r>
  <r>
    <x v="4"/>
    <s v="College of Coastal Georgia "/>
    <m/>
    <n v="139250"/>
    <x v="11"/>
    <n v="81564"/>
    <n v="74744"/>
    <n v="35795"/>
    <n v="40492"/>
    <n v="194"/>
    <n v="279"/>
    <n v="45575"/>
    <n v="0"/>
    <n v="0"/>
    <n v="33973"/>
    <n v="0"/>
    <n v="0"/>
    <n v="0"/>
    <n v="0"/>
    <n v="0"/>
    <n v="0"/>
    <m/>
    <m/>
    <m/>
    <m/>
    <m/>
    <m/>
    <m/>
    <m/>
    <m/>
    <m/>
    <m/>
    <m/>
  </r>
  <r>
    <x v="4"/>
    <s v="Dalton State College "/>
    <m/>
    <n v="139463"/>
    <x v="11"/>
    <n v="114613"/>
    <n v="107388"/>
    <n v="76526"/>
    <n v="74829"/>
    <n v="3399"/>
    <n v="3205"/>
    <n v="34688"/>
    <n v="0"/>
    <n v="0"/>
    <n v="29354"/>
    <n v="0"/>
    <n v="0"/>
    <n v="0"/>
    <n v="0"/>
    <n v="0"/>
    <n v="0"/>
    <m/>
    <m/>
    <m/>
    <m/>
    <m/>
    <m/>
    <m/>
    <m/>
    <m/>
    <m/>
    <m/>
    <m/>
  </r>
  <r>
    <x v="4"/>
    <s v="Georgia Gwinnett College"/>
    <m/>
    <n v="447689"/>
    <x v="11"/>
    <n v="304852"/>
    <n v="276221"/>
    <n v="202618"/>
    <n v="161612"/>
    <n v="601"/>
    <n v="1050"/>
    <n v="101633"/>
    <n v="0"/>
    <n v="0"/>
    <n v="113559"/>
    <n v="0"/>
    <n v="0"/>
    <n v="0"/>
    <n v="0"/>
    <n v="0"/>
    <n v="0"/>
    <m/>
    <m/>
    <m/>
    <m/>
    <m/>
    <m/>
    <m/>
    <m/>
    <m/>
    <m/>
    <m/>
    <m/>
  </r>
  <r>
    <x v="4"/>
    <s v="Gordon State College "/>
    <m/>
    <n v="139968"/>
    <x v="11"/>
    <n v="77635"/>
    <n v="69544"/>
    <n v="39797"/>
    <n v="25454"/>
    <n v="3807"/>
    <n v="2042"/>
    <n v="34031"/>
    <n v="0"/>
    <n v="0"/>
    <n v="42048"/>
    <n v="0"/>
    <n v="0"/>
    <n v="0"/>
    <n v="0"/>
    <n v="0"/>
    <n v="0"/>
    <m/>
    <m/>
    <m/>
    <m/>
    <m/>
    <m/>
    <m/>
    <m/>
    <m/>
    <m/>
    <m/>
    <m/>
  </r>
  <r>
    <x v="4"/>
    <s v="Middle Georgia State College"/>
    <s v=" Met the Criteria for Four-Year 4 in 2021-22"/>
    <n v="482158"/>
    <x v="4"/>
    <n v="195133"/>
    <n v="185098"/>
    <n v="82704"/>
    <n v="74873"/>
    <n v="1060"/>
    <n v="971"/>
    <n v="110635"/>
    <n v="734"/>
    <n v="0"/>
    <n v="109029"/>
    <n v="225"/>
    <n v="0"/>
    <n v="0"/>
    <n v="0"/>
    <n v="6440"/>
    <n v="7549"/>
    <n v="0"/>
    <n v="0"/>
    <n v="0"/>
    <n v="0"/>
    <n v="6440"/>
    <n v="0"/>
    <n v="0"/>
    <n v="7549"/>
    <n v="0"/>
    <n v="0"/>
    <n v="0"/>
    <n v="0"/>
  </r>
  <r>
    <x v="4"/>
    <s v="Atlanta Metropolitan State College"/>
    <m/>
    <n v="138901"/>
    <x v="12"/>
    <n v="38213"/>
    <n v="36143"/>
    <n v="17716"/>
    <n v="13411"/>
    <n v="1231"/>
    <n v="0"/>
    <n v="19266"/>
    <n v="0"/>
    <n v="0"/>
    <n v="22732"/>
    <n v="0"/>
    <n v="0"/>
    <n v="0"/>
    <n v="0"/>
    <n v="0"/>
    <n v="0"/>
    <m/>
    <m/>
    <m/>
    <m/>
    <m/>
    <m/>
    <m/>
    <m/>
    <m/>
    <m/>
    <m/>
    <m/>
  </r>
  <r>
    <x v="4"/>
    <s v="East Georgia State College"/>
    <m/>
    <n v="139621"/>
    <x v="12"/>
    <n v="57702"/>
    <n v="46058"/>
    <n v="25476"/>
    <n v="15384"/>
    <n v="5442"/>
    <n v="4071"/>
    <n v="26784"/>
    <n v="0"/>
    <n v="0"/>
    <n v="26603"/>
    <n v="0"/>
    <n v="0"/>
    <n v="0"/>
    <n v="0"/>
    <n v="0"/>
    <n v="0"/>
    <m/>
    <m/>
    <m/>
    <m/>
    <m/>
    <m/>
    <m/>
    <m/>
    <m/>
    <m/>
    <m/>
    <m/>
  </r>
  <r>
    <x v="4"/>
    <s v="Georgia Highlands College"/>
    <m/>
    <n v="139700"/>
    <x v="12"/>
    <n v="126890"/>
    <n v="111821"/>
    <n v="43460"/>
    <n v="33255"/>
    <n v="13014"/>
    <n v="6106"/>
    <n v="70416"/>
    <n v="0"/>
    <n v="0"/>
    <n v="72460"/>
    <n v="0"/>
    <n v="0"/>
    <n v="0"/>
    <n v="0"/>
    <n v="0"/>
    <n v="0"/>
    <m/>
    <m/>
    <m/>
    <m/>
    <m/>
    <m/>
    <m/>
    <m/>
    <m/>
    <m/>
    <m/>
    <m/>
  </r>
  <r>
    <x v="4"/>
    <s v="South Georgia State College"/>
    <m/>
    <n v="482699"/>
    <x v="12"/>
    <n v="54128"/>
    <n v="43706"/>
    <n v="14937"/>
    <n v="10617"/>
    <n v="11023"/>
    <n v="7790"/>
    <n v="28168"/>
    <n v="0"/>
    <n v="0"/>
    <n v="25299"/>
    <n v="0"/>
    <n v="0"/>
    <n v="0"/>
    <n v="0"/>
    <n v="0"/>
    <n v="0"/>
    <m/>
    <m/>
    <m/>
    <m/>
    <m/>
    <m/>
    <m/>
    <m/>
    <m/>
    <m/>
    <m/>
    <m/>
  </r>
  <r>
    <x v="4"/>
    <s v="Albany Technical College"/>
    <m/>
    <n v="138682"/>
    <x v="8"/>
    <n v="70764"/>
    <n v="61682"/>
    <n v="15721"/>
    <n v="13555"/>
    <m/>
    <m/>
    <n v="55043"/>
    <n v="0"/>
    <n v="0"/>
    <n v="48127"/>
    <n v="0"/>
    <n v="0"/>
    <m/>
    <m/>
    <n v="0"/>
    <n v="0"/>
    <m/>
    <m/>
    <m/>
    <m/>
    <m/>
    <m/>
    <m/>
    <m/>
    <m/>
    <m/>
    <m/>
    <m/>
  </r>
  <r>
    <x v="4"/>
    <s v="Athens Technical College"/>
    <m/>
    <n v="246813"/>
    <x v="8"/>
    <n v="79083"/>
    <n v="69274"/>
    <n v="49830"/>
    <n v="46004"/>
    <m/>
    <m/>
    <n v="29157"/>
    <n v="96"/>
    <n v="0"/>
    <n v="23258"/>
    <n v="12"/>
    <n v="0"/>
    <m/>
    <m/>
    <n v="0"/>
    <n v="0"/>
    <m/>
    <m/>
    <m/>
    <m/>
    <m/>
    <m/>
    <m/>
    <m/>
    <m/>
    <m/>
    <m/>
    <m/>
  </r>
  <r>
    <x v="4"/>
    <s v="Atlanta Technical College"/>
    <m/>
    <n v="138840"/>
    <x v="8"/>
    <n v="79903"/>
    <n v="75530"/>
    <n v="23300"/>
    <n v="10590"/>
    <m/>
    <m/>
    <n v="56603"/>
    <n v="0"/>
    <n v="0"/>
    <n v="64940"/>
    <n v="0"/>
    <n v="0"/>
    <m/>
    <m/>
    <n v="0"/>
    <n v="0"/>
    <m/>
    <m/>
    <m/>
    <m/>
    <m/>
    <m/>
    <m/>
    <m/>
    <m/>
    <m/>
    <m/>
    <m/>
  </r>
  <r>
    <x v="4"/>
    <s v="Augusta Technical College"/>
    <m/>
    <n v="138956"/>
    <x v="8"/>
    <n v="88306"/>
    <n v="77860"/>
    <n v="52601"/>
    <n v="43113"/>
    <m/>
    <m/>
    <n v="35705"/>
    <n v="0"/>
    <n v="0"/>
    <n v="34719"/>
    <n v="28"/>
    <n v="0"/>
    <m/>
    <m/>
    <n v="0"/>
    <n v="0"/>
    <m/>
    <m/>
    <m/>
    <m/>
    <m/>
    <m/>
    <m/>
    <m/>
    <m/>
    <m/>
    <m/>
    <m/>
  </r>
  <r>
    <x v="4"/>
    <s v="Central Georgia Technical College"/>
    <m/>
    <n v="483045"/>
    <x v="8"/>
    <n v="154039"/>
    <n v="155425"/>
    <n v="58626"/>
    <n v="68457"/>
    <m/>
    <m/>
    <n v="89435"/>
    <n v="5978"/>
    <n v="0"/>
    <n v="81926"/>
    <n v="5042"/>
    <n v="0"/>
    <m/>
    <m/>
    <n v="0"/>
    <n v="0"/>
    <m/>
    <m/>
    <m/>
    <m/>
    <m/>
    <m/>
    <m/>
    <m/>
    <m/>
    <m/>
    <m/>
    <m/>
  </r>
  <r>
    <x v="4"/>
    <s v="Chattahoochee Technical College"/>
    <m/>
    <n v="140331"/>
    <x v="8"/>
    <n v="190974"/>
    <n v="173190"/>
    <n v="78547"/>
    <n v="50975"/>
    <m/>
    <m/>
    <n v="112427"/>
    <n v="0"/>
    <n v="0"/>
    <n v="122215"/>
    <n v="0"/>
    <n v="0"/>
    <m/>
    <m/>
    <n v="0"/>
    <n v="0"/>
    <m/>
    <m/>
    <m/>
    <m/>
    <m/>
    <m/>
    <m/>
    <m/>
    <m/>
    <m/>
    <m/>
    <m/>
  </r>
  <r>
    <x v="4"/>
    <s v="Coastal Pines Technical College"/>
    <m/>
    <n v="485458"/>
    <x v="8"/>
    <n v="68682"/>
    <n v="67978"/>
    <n v="42827"/>
    <n v="40796"/>
    <m/>
    <m/>
    <n v="25855"/>
    <n v="0"/>
    <n v="0"/>
    <n v="27182"/>
    <n v="0"/>
    <n v="0"/>
    <m/>
    <m/>
    <n v="0"/>
    <n v="0"/>
    <m/>
    <m/>
    <m/>
    <m/>
    <m/>
    <m/>
    <m/>
    <m/>
    <m/>
    <m/>
    <m/>
    <m/>
  </r>
  <r>
    <x v="4"/>
    <s v="Columbus Technical College"/>
    <m/>
    <n v="139357"/>
    <x v="8"/>
    <n v="68493"/>
    <n v="63076"/>
    <n v="29965"/>
    <n v="24341"/>
    <m/>
    <m/>
    <n v="38528"/>
    <n v="0"/>
    <n v="0"/>
    <n v="38735"/>
    <n v="0"/>
    <n v="0"/>
    <m/>
    <m/>
    <n v="0"/>
    <n v="0"/>
    <m/>
    <m/>
    <m/>
    <m/>
    <m/>
    <m/>
    <m/>
    <m/>
    <m/>
    <m/>
    <m/>
    <m/>
  </r>
  <r>
    <x v="4"/>
    <s v="Georgia Northwestern Technical College"/>
    <m/>
    <n v="139384"/>
    <x v="8"/>
    <n v="127340"/>
    <n v="120090"/>
    <n v="54615"/>
    <n v="48444"/>
    <m/>
    <m/>
    <n v="72725"/>
    <n v="0"/>
    <n v="0"/>
    <n v="71646"/>
    <n v="0"/>
    <n v="0"/>
    <m/>
    <m/>
    <n v="0"/>
    <n v="0"/>
    <m/>
    <m/>
    <m/>
    <m/>
    <m/>
    <m/>
    <m/>
    <m/>
    <m/>
    <m/>
    <m/>
    <m/>
  </r>
  <r>
    <x v="4"/>
    <s v="Georgia Piedmont Technical College"/>
    <m/>
    <n v="244446"/>
    <x v="8"/>
    <n v="60917.5"/>
    <n v="49686.5"/>
    <n v="13811.5"/>
    <n v="10051.5"/>
    <m/>
    <m/>
    <n v="47106"/>
    <n v="0"/>
    <n v="0"/>
    <n v="39635"/>
    <n v="0"/>
    <n v="0"/>
    <m/>
    <m/>
    <n v="0"/>
    <n v="0"/>
    <m/>
    <m/>
    <m/>
    <m/>
    <m/>
    <m/>
    <m/>
    <m/>
    <m/>
    <m/>
    <m/>
    <m/>
  </r>
  <r>
    <x v="4"/>
    <s v="Gwinnett Technical College"/>
    <m/>
    <n v="140012"/>
    <x v="8"/>
    <n v="166649"/>
    <n v="150788"/>
    <n v="60654"/>
    <n v="44847"/>
    <m/>
    <m/>
    <n v="105995"/>
    <n v="0"/>
    <n v="0"/>
    <n v="105941"/>
    <n v="0"/>
    <n v="0"/>
    <m/>
    <m/>
    <n v="0"/>
    <n v="0"/>
    <m/>
    <m/>
    <m/>
    <m/>
    <m/>
    <m/>
    <m/>
    <m/>
    <m/>
    <m/>
    <m/>
    <m/>
  </r>
  <r>
    <x v="4"/>
    <s v="Lanier Technical College"/>
    <m/>
    <n v="140243"/>
    <x v="8"/>
    <n v="93162"/>
    <n v="93233"/>
    <n v="45623"/>
    <n v="40706"/>
    <m/>
    <m/>
    <n v="35035"/>
    <n v="12504"/>
    <n v="0"/>
    <n v="29125"/>
    <n v="23402"/>
    <n v="0"/>
    <m/>
    <m/>
    <n v="0"/>
    <n v="0"/>
    <m/>
    <m/>
    <m/>
    <m/>
    <m/>
    <m/>
    <m/>
    <m/>
    <m/>
    <m/>
    <m/>
    <m/>
  </r>
  <r>
    <x v="4"/>
    <s v="North Georgia Technical College"/>
    <m/>
    <n v="140678"/>
    <x v="8"/>
    <n v="54981"/>
    <n v="51443"/>
    <n v="26241"/>
    <n v="21455"/>
    <m/>
    <m/>
    <n v="28740"/>
    <n v="0"/>
    <n v="0"/>
    <n v="28750"/>
    <n v="1238"/>
    <n v="0"/>
    <m/>
    <m/>
    <n v="0"/>
    <n v="0"/>
    <m/>
    <m/>
    <m/>
    <m/>
    <m/>
    <m/>
    <m/>
    <m/>
    <m/>
    <m/>
    <m/>
    <m/>
  </r>
  <r>
    <x v="4"/>
    <s v="Oconee Fall Line Technical College"/>
    <m/>
    <n v="420431"/>
    <x v="8"/>
    <n v="35860"/>
    <n v="32336"/>
    <n v="16873"/>
    <n v="16889"/>
    <m/>
    <m/>
    <n v="18987"/>
    <n v="0"/>
    <n v="0"/>
    <n v="15447"/>
    <n v="0"/>
    <n v="0"/>
    <m/>
    <m/>
    <n v="0"/>
    <n v="0"/>
    <m/>
    <m/>
    <m/>
    <m/>
    <m/>
    <m/>
    <m/>
    <m/>
    <m/>
    <m/>
    <m/>
    <m/>
  </r>
  <r>
    <x v="4"/>
    <s v="Ogeechee Technical College"/>
    <m/>
    <n v="366465"/>
    <x v="8"/>
    <n v="49479"/>
    <n v="48878"/>
    <n v="24546"/>
    <n v="22021"/>
    <m/>
    <m/>
    <n v="24933"/>
    <n v="0"/>
    <n v="0"/>
    <n v="26857"/>
    <n v="0"/>
    <n v="0"/>
    <m/>
    <m/>
    <n v="0"/>
    <n v="0"/>
    <m/>
    <m/>
    <m/>
    <m/>
    <m/>
    <m/>
    <m/>
    <m/>
    <m/>
    <m/>
    <m/>
    <m/>
  </r>
  <r>
    <x v="4"/>
    <s v="Savannah Technical College"/>
    <m/>
    <n v="140942"/>
    <x v="8"/>
    <n v="84927"/>
    <n v="79164"/>
    <n v="40608"/>
    <n v="35125"/>
    <m/>
    <m/>
    <n v="44319"/>
    <n v="0"/>
    <n v="0"/>
    <n v="44039"/>
    <n v="0"/>
    <n v="0"/>
    <m/>
    <m/>
    <n v="0"/>
    <n v="0"/>
    <m/>
    <m/>
    <m/>
    <m/>
    <m/>
    <m/>
    <m/>
    <m/>
    <m/>
    <m/>
    <m/>
    <m/>
  </r>
  <r>
    <x v="4"/>
    <s v="South Georgia Technical College"/>
    <m/>
    <n v="141006"/>
    <x v="8"/>
    <n v="45944"/>
    <n v="39713"/>
    <n v="28498"/>
    <n v="24152"/>
    <m/>
    <m/>
    <n v="17446"/>
    <n v="0"/>
    <n v="0"/>
    <n v="15561"/>
    <n v="0"/>
    <n v="0"/>
    <m/>
    <m/>
    <n v="0"/>
    <n v="0"/>
    <m/>
    <m/>
    <m/>
    <m/>
    <m/>
    <m/>
    <m/>
    <m/>
    <m/>
    <m/>
    <m/>
    <m/>
  </r>
  <r>
    <x v="4"/>
    <s v="Southeastern Technical College"/>
    <s v="Met the crtiera for Technical College 2 in 2021-22"/>
    <n v="368911"/>
    <x v="8"/>
    <n v="32375"/>
    <n v="29721"/>
    <n v="15426"/>
    <n v="15315"/>
    <m/>
    <m/>
    <n v="16949"/>
    <n v="0"/>
    <n v="0"/>
    <n v="14406"/>
    <n v="0"/>
    <n v="0"/>
    <m/>
    <m/>
    <n v="0"/>
    <n v="0"/>
    <m/>
    <m/>
    <m/>
    <m/>
    <m/>
    <m/>
    <m/>
    <m/>
    <m/>
    <m/>
    <m/>
    <m/>
  </r>
  <r>
    <x v="4"/>
    <s v="Southern Crescent Technical College"/>
    <m/>
    <n v="139986"/>
    <x v="8"/>
    <n v="107717"/>
    <n v="102335"/>
    <n v="48237"/>
    <n v="22020"/>
    <m/>
    <m/>
    <n v="59351"/>
    <n v="129"/>
    <n v="0"/>
    <n v="80315"/>
    <n v="0"/>
    <n v="0"/>
    <m/>
    <m/>
    <n v="0"/>
    <n v="0"/>
    <m/>
    <m/>
    <m/>
    <m/>
    <m/>
    <m/>
    <m/>
    <m/>
    <m/>
    <m/>
    <m/>
    <m/>
  </r>
  <r>
    <x v="4"/>
    <s v="Southern Regional Technical College"/>
    <m/>
    <n v="487162"/>
    <x v="8"/>
    <n v="94284"/>
    <n v="86092"/>
    <n v="47517"/>
    <n v="45601"/>
    <m/>
    <m/>
    <n v="46767"/>
    <n v="0"/>
    <n v="0"/>
    <n v="40491"/>
    <n v="0"/>
    <n v="0"/>
    <m/>
    <m/>
    <n v="0"/>
    <n v="0"/>
    <m/>
    <m/>
    <m/>
    <m/>
    <m/>
    <m/>
    <m/>
    <m/>
    <m/>
    <m/>
    <m/>
    <m/>
  </r>
  <r>
    <x v="4"/>
    <s v="West Georgia Technical College"/>
    <m/>
    <n v="139278"/>
    <x v="8"/>
    <n v="127899"/>
    <n v="117256"/>
    <n v="47860"/>
    <n v="47359"/>
    <m/>
    <m/>
    <n v="80039"/>
    <n v="0"/>
    <n v="0"/>
    <n v="69897"/>
    <n v="0"/>
    <n v="0"/>
    <m/>
    <m/>
    <n v="0"/>
    <n v="0"/>
    <m/>
    <m/>
    <m/>
    <m/>
    <m/>
    <m/>
    <m/>
    <m/>
    <m/>
    <m/>
    <m/>
    <m/>
  </r>
  <r>
    <x v="4"/>
    <s v="Wiregrass Georgia Technical College"/>
    <m/>
    <n v="141255"/>
    <x v="8"/>
    <n v="74592"/>
    <n v="66803"/>
    <n v="44087"/>
    <n v="35721"/>
    <m/>
    <m/>
    <n v="30505"/>
    <n v="0"/>
    <n v="0"/>
    <n v="31082"/>
    <n v="0"/>
    <n v="0"/>
    <m/>
    <m/>
    <n v="0"/>
    <n v="0"/>
    <m/>
    <m/>
    <m/>
    <m/>
    <m/>
    <m/>
    <m/>
    <m/>
    <m/>
    <m/>
    <m/>
    <m/>
  </r>
  <r>
    <x v="5"/>
    <s v="University of Kentucky"/>
    <m/>
    <n v="157085"/>
    <x v="0"/>
    <n v="605707"/>
    <n v="591199"/>
    <n v="358834"/>
    <n v="332205"/>
    <n v="5601"/>
    <n v="4038"/>
    <n v="240091"/>
    <n v="594"/>
    <n v="587"/>
    <n v="254695"/>
    <m/>
    <n v="261"/>
    <m/>
    <m/>
    <n v="84573"/>
    <n v="99918"/>
    <n v="42374"/>
    <n v="41125"/>
    <n v="186"/>
    <n v="108"/>
    <n v="41528"/>
    <m/>
    <n v="485"/>
    <n v="58526"/>
    <m/>
    <n v="159"/>
    <m/>
    <m/>
  </r>
  <r>
    <x v="5"/>
    <s v="University of Louisville"/>
    <m/>
    <n v="157289"/>
    <x v="0"/>
    <n v="390671"/>
    <n v="378696"/>
    <n v="227237"/>
    <n v="170417"/>
    <n v="13963"/>
    <n v="13267"/>
    <n v="149471"/>
    <m/>
    <m/>
    <n v="195012"/>
    <m/>
    <m/>
    <m/>
    <m/>
    <n v="84945"/>
    <n v="94910"/>
    <n v="36331"/>
    <n v="38507"/>
    <n v="2726"/>
    <n v="2720"/>
    <n v="45888"/>
    <m/>
    <m/>
    <n v="53683"/>
    <m/>
    <m/>
    <m/>
    <m/>
  </r>
  <r>
    <x v="5"/>
    <s v="Eastern Kentucky University "/>
    <m/>
    <n v="156620"/>
    <x v="2"/>
    <n v="341191"/>
    <n v="322835"/>
    <n v="227868"/>
    <n v="162882"/>
    <n v="9944"/>
    <n v="8474"/>
    <n v="98885"/>
    <n v="4494"/>
    <m/>
    <n v="148196"/>
    <n v="3283"/>
    <m/>
    <m/>
    <m/>
    <n v="40419"/>
    <n v="39574"/>
    <n v="12124"/>
    <n v="12188.5"/>
    <n v="1714"/>
    <n v="2157"/>
    <n v="26581"/>
    <m/>
    <m/>
    <n v="25018.5"/>
    <n v="210"/>
    <m/>
    <m/>
    <m/>
  </r>
  <r>
    <x v="5"/>
    <s v="Morehead State University "/>
    <m/>
    <n v="157386"/>
    <x v="2"/>
    <n v="186501"/>
    <n v="174484"/>
    <n v="88171"/>
    <n v="70128"/>
    <n v="26137"/>
    <n v="25394"/>
    <n v="67873"/>
    <n v="4320"/>
    <m/>
    <n v="74655"/>
    <n v="4307"/>
    <m/>
    <m/>
    <m/>
    <n v="11018"/>
    <n v="11229"/>
    <n v="1071"/>
    <n v="734"/>
    <n v="221"/>
    <n v="391"/>
    <n v="9726"/>
    <m/>
    <m/>
    <n v="10104"/>
    <m/>
    <m/>
    <m/>
    <m/>
  </r>
  <r>
    <x v="5"/>
    <s v="Murray State University "/>
    <m/>
    <n v="157401"/>
    <x v="2"/>
    <n v="205124"/>
    <n v="196335"/>
    <n v="130953"/>
    <n v="120094"/>
    <n v="28030"/>
    <n v="27281"/>
    <n v="41460"/>
    <n v="4681"/>
    <m/>
    <n v="46090"/>
    <n v="2870"/>
    <m/>
    <m/>
    <m/>
    <n v="23083"/>
    <n v="25094"/>
    <n v="7647"/>
    <n v="5625"/>
    <n v="3799"/>
    <n v="5373"/>
    <n v="11517"/>
    <n v="120"/>
    <m/>
    <n v="14024"/>
    <n v="72"/>
    <m/>
    <m/>
    <m/>
  </r>
  <r>
    <x v="5"/>
    <s v="Northern Kentucky University "/>
    <m/>
    <n v="157447"/>
    <x v="2"/>
    <n v="314526"/>
    <n v="292733"/>
    <n v="146001"/>
    <n v="121224"/>
    <n v="15980"/>
    <n v="16814"/>
    <n v="152515"/>
    <n v="30"/>
    <m/>
    <n v="154527"/>
    <n v="168"/>
    <m/>
    <m/>
    <m/>
    <n v="76260"/>
    <n v="84396.5"/>
    <n v="14149"/>
    <n v="11690"/>
    <n v="111"/>
    <n v="1627"/>
    <n v="62000"/>
    <m/>
    <m/>
    <n v="71079.5"/>
    <m/>
    <m/>
    <m/>
    <m/>
  </r>
  <r>
    <x v="5"/>
    <s v="Western Kentucky University "/>
    <m/>
    <n v="157951"/>
    <x v="2"/>
    <n v="381158"/>
    <n v="373851"/>
    <n v="224066"/>
    <n v="210430"/>
    <n v="14394"/>
    <n v="11792"/>
    <n v="140832"/>
    <n v="1767"/>
    <n v="99"/>
    <n v="151377"/>
    <n v="198"/>
    <n v="54"/>
    <m/>
    <m/>
    <n v="34584"/>
    <n v="33275.5"/>
    <n v="9762"/>
    <n v="9288"/>
    <n v="888"/>
    <n v="318"/>
    <n v="23901"/>
    <n v="30"/>
    <n v="3"/>
    <n v="23669.5"/>
    <m/>
    <m/>
    <m/>
    <m/>
  </r>
  <r>
    <x v="5"/>
    <s v="Kentucky State University "/>
    <s v="Met the criteria for Four-Year 6 in 2020-21 and 2021-22"/>
    <n v="157058"/>
    <x v="3"/>
    <n v="51840"/>
    <n v="50944"/>
    <n v="32989"/>
    <n v="17038"/>
    <n v="60"/>
    <n v="33"/>
    <n v="18791"/>
    <m/>
    <m/>
    <n v="33873"/>
    <m/>
    <m/>
    <m/>
    <m/>
    <n v="1914"/>
    <n v="1977"/>
    <n v="1095"/>
    <n v="639"/>
    <m/>
    <m/>
    <n v="819"/>
    <m/>
    <m/>
    <n v="1338"/>
    <m/>
    <m/>
    <m/>
    <m/>
  </r>
  <r>
    <x v="5"/>
    <s v="Bluegrass Community and Technical College"/>
    <s v="Changed # from 157173 to 156392"/>
    <n v="156392"/>
    <x v="5"/>
    <n v="201997"/>
    <n v="122084"/>
    <n v="94108"/>
    <n v="44170"/>
    <n v="7729"/>
    <n v="8683"/>
    <n v="100160"/>
    <m/>
    <m/>
    <n v="69231"/>
    <m/>
    <m/>
    <m/>
    <m/>
    <n v="0"/>
    <n v="0"/>
    <m/>
    <m/>
    <m/>
    <m/>
    <m/>
    <m/>
    <m/>
    <m/>
    <m/>
    <m/>
    <m/>
    <m/>
  </r>
  <r>
    <x v="5"/>
    <s v="Jefferson Community and Technical College "/>
    <m/>
    <n v="156921"/>
    <x v="5"/>
    <n v="188787"/>
    <n v="162573"/>
    <n v="88013"/>
    <n v="63777"/>
    <n v="18555"/>
    <n v="48898"/>
    <n v="82219"/>
    <m/>
    <m/>
    <n v="49898"/>
    <m/>
    <m/>
    <m/>
    <m/>
    <n v="0"/>
    <n v="0"/>
    <m/>
    <m/>
    <m/>
    <m/>
    <m/>
    <m/>
    <m/>
    <m/>
    <m/>
    <m/>
    <m/>
    <m/>
  </r>
  <r>
    <x v="5"/>
    <s v="Big Sandy Community and Technical College "/>
    <s v="Reclassifed Met the criteria for Two-Year 3 in 2019-20 and 2020-21, and 2022"/>
    <n v="157553"/>
    <x v="7"/>
    <n v="53472"/>
    <n v="29920"/>
    <n v="20351"/>
    <n v="11520"/>
    <n v="234"/>
    <n v="288"/>
    <n v="32887"/>
    <m/>
    <m/>
    <n v="18112"/>
    <m/>
    <m/>
    <m/>
    <m/>
    <n v="0"/>
    <n v="0"/>
    <m/>
    <m/>
    <m/>
    <m/>
    <m/>
    <m/>
    <m/>
    <m/>
    <m/>
    <m/>
    <m/>
    <m/>
  </r>
  <r>
    <x v="5"/>
    <s v="Elizabethtown Community and Technical College "/>
    <m/>
    <n v="156648"/>
    <x v="6"/>
    <n v="101427"/>
    <n v="69786"/>
    <n v="33338"/>
    <n v="25385"/>
    <n v="7853"/>
    <n v="9112"/>
    <n v="60236"/>
    <m/>
    <m/>
    <n v="35289"/>
    <m/>
    <m/>
    <m/>
    <m/>
    <n v="0"/>
    <n v="0"/>
    <m/>
    <m/>
    <m/>
    <m/>
    <m/>
    <m/>
    <m/>
    <m/>
    <m/>
    <m/>
    <m/>
    <m/>
  </r>
  <r>
    <x v="5"/>
    <s v="Maysville Community and Technical College "/>
    <s v="Met the criteria for Two-Year 3 in  2021-22"/>
    <n v="157331"/>
    <x v="6"/>
    <n v="61990"/>
    <n v="40109"/>
    <n v="21952"/>
    <n v="15305"/>
    <n v="5764"/>
    <n v="5715"/>
    <n v="34274"/>
    <m/>
    <m/>
    <n v="19089"/>
    <m/>
    <m/>
    <m/>
    <m/>
    <n v="0"/>
    <n v="0"/>
    <m/>
    <m/>
    <m/>
    <m/>
    <m/>
    <m/>
    <m/>
    <m/>
    <m/>
    <m/>
    <m/>
    <m/>
  </r>
  <r>
    <x v="5"/>
    <s v="Owensboro Community and Technical College "/>
    <m/>
    <n v="247940"/>
    <x v="6"/>
    <n v="69801"/>
    <n v="53205"/>
    <n v="38653"/>
    <n v="29977"/>
    <n v="5337"/>
    <n v="5611"/>
    <n v="25811"/>
    <m/>
    <m/>
    <n v="17617"/>
    <m/>
    <m/>
    <m/>
    <m/>
    <n v="0"/>
    <n v="0"/>
    <m/>
    <m/>
    <m/>
    <m/>
    <m/>
    <m/>
    <m/>
    <m/>
    <m/>
    <m/>
    <m/>
    <m/>
  </r>
  <r>
    <x v="5"/>
    <s v="Somerset Community and Technical College "/>
    <m/>
    <n v="157711"/>
    <x v="6"/>
    <n v="93347"/>
    <n v="64418"/>
    <n v="31662"/>
    <n v="26515"/>
    <n v="3716"/>
    <n v="5800"/>
    <n v="57969"/>
    <m/>
    <m/>
    <n v="32103"/>
    <m/>
    <m/>
    <m/>
    <m/>
    <n v="0"/>
    <n v="0"/>
    <m/>
    <m/>
    <m/>
    <m/>
    <m/>
    <m/>
    <m/>
    <m/>
    <m/>
    <m/>
    <m/>
    <m/>
  </r>
  <r>
    <x v="5"/>
    <s v="West Kentucky Community and Technical College"/>
    <m/>
    <n v="157483"/>
    <x v="6"/>
    <n v="85823"/>
    <n v="58658"/>
    <n v="39408"/>
    <n v="31720"/>
    <n v="6221"/>
    <n v="5597"/>
    <n v="40194"/>
    <m/>
    <m/>
    <n v="21341"/>
    <m/>
    <m/>
    <m/>
    <m/>
    <n v="0"/>
    <n v="0"/>
    <m/>
    <m/>
    <m/>
    <m/>
    <m/>
    <m/>
    <m/>
    <m/>
    <m/>
    <m/>
    <m/>
    <m/>
  </r>
  <r>
    <x v="5"/>
    <s v="Ashland Community and Technical College"/>
    <m/>
    <n v="156231"/>
    <x v="7"/>
    <n v="53177"/>
    <n v="38558"/>
    <n v="26653"/>
    <n v="20961"/>
    <n v="2324"/>
    <n v="2992"/>
    <n v="24200"/>
    <m/>
    <m/>
    <n v="14605"/>
    <m/>
    <m/>
    <m/>
    <m/>
    <n v="0"/>
    <n v="0"/>
    <m/>
    <m/>
    <m/>
    <m/>
    <m/>
    <m/>
    <m/>
    <m/>
    <m/>
    <m/>
    <m/>
    <m/>
  </r>
  <r>
    <x v="5"/>
    <s v="Hazard Community and Technical College"/>
    <m/>
    <n v="156790"/>
    <x v="7"/>
    <n v="51470"/>
    <n v="36729"/>
    <n v="14846"/>
    <n v="12961"/>
    <n v="3371"/>
    <n v="3514"/>
    <n v="33253"/>
    <m/>
    <m/>
    <n v="20254"/>
    <m/>
    <m/>
    <m/>
    <m/>
    <n v="0"/>
    <n v="0"/>
    <m/>
    <m/>
    <m/>
    <m/>
    <m/>
    <m/>
    <m/>
    <m/>
    <m/>
    <m/>
    <m/>
    <m/>
  </r>
  <r>
    <x v="5"/>
    <s v="Henderson Community College "/>
    <m/>
    <n v="156851"/>
    <x v="7"/>
    <n v="23278"/>
    <n v="15653"/>
    <n v="8879"/>
    <n v="6703"/>
    <n v="2276"/>
    <n v="2554"/>
    <n v="12123"/>
    <m/>
    <m/>
    <n v="6396"/>
    <m/>
    <m/>
    <m/>
    <m/>
    <n v="0"/>
    <n v="0"/>
    <m/>
    <m/>
    <m/>
    <m/>
    <m/>
    <m/>
    <m/>
    <m/>
    <m/>
    <m/>
    <m/>
    <m/>
  </r>
  <r>
    <x v="5"/>
    <s v="Hopkinsville Community College "/>
    <m/>
    <n v="156860"/>
    <x v="7"/>
    <n v="41109"/>
    <n v="25798"/>
    <n v="18385"/>
    <n v="12744"/>
    <n v="1000"/>
    <n v="949"/>
    <n v="21724"/>
    <m/>
    <m/>
    <n v="12105"/>
    <m/>
    <m/>
    <m/>
    <m/>
    <n v="0"/>
    <n v="0"/>
    <m/>
    <m/>
    <m/>
    <m/>
    <m/>
    <m/>
    <m/>
    <m/>
    <m/>
    <m/>
    <m/>
    <m/>
  </r>
  <r>
    <x v="5"/>
    <s v="Madisonville Community College"/>
    <m/>
    <n v="157304"/>
    <x v="7"/>
    <n v="52740"/>
    <n v="37591"/>
    <n v="19536"/>
    <n v="15621"/>
    <n v="6726"/>
    <n v="5226"/>
    <n v="26478"/>
    <m/>
    <m/>
    <n v="16744"/>
    <m/>
    <m/>
    <m/>
    <m/>
    <n v="0"/>
    <n v="0"/>
    <m/>
    <m/>
    <m/>
    <m/>
    <m/>
    <m/>
    <m/>
    <m/>
    <m/>
    <m/>
    <m/>
    <m/>
  </r>
  <r>
    <x v="5"/>
    <s v="Southeast Kentucky Community and Technical College"/>
    <m/>
    <n v="157739"/>
    <x v="7"/>
    <n v="47904"/>
    <n v="33983"/>
    <n v="20236"/>
    <n v="13521"/>
    <m/>
    <n v="5099"/>
    <n v="27668"/>
    <m/>
    <m/>
    <n v="15363"/>
    <m/>
    <m/>
    <m/>
    <m/>
    <n v="0"/>
    <n v="0"/>
    <m/>
    <m/>
    <m/>
    <m/>
    <m/>
    <m/>
    <m/>
    <m/>
    <m/>
    <m/>
    <m/>
    <m/>
  </r>
  <r>
    <x v="5"/>
    <s v="Gateway Community and Technical College"/>
    <m/>
    <n v="157438"/>
    <x v="8"/>
    <n v="74313"/>
    <n v="71155"/>
    <n v="37068"/>
    <n v="29253"/>
    <n v="4465"/>
    <n v="5597"/>
    <n v="32780"/>
    <m/>
    <m/>
    <n v="36305"/>
    <m/>
    <m/>
    <m/>
    <m/>
    <n v="0"/>
    <n v="0"/>
    <m/>
    <m/>
    <m/>
    <m/>
    <m/>
    <m/>
    <m/>
    <m/>
    <m/>
    <m/>
    <m/>
    <m/>
  </r>
  <r>
    <x v="5"/>
    <s v="Southcentral Kentucky Community and Technical College"/>
    <m/>
    <n v="156338"/>
    <x v="8"/>
    <n v="76907"/>
    <n v="58646"/>
    <n v="38862"/>
    <n v="29223"/>
    <n v="4922"/>
    <n v="6288"/>
    <n v="33123"/>
    <m/>
    <m/>
    <n v="23135"/>
    <m/>
    <m/>
    <m/>
    <m/>
    <n v="0"/>
    <n v="0"/>
    <m/>
    <m/>
    <m/>
    <m/>
    <m/>
    <m/>
    <m/>
    <m/>
    <m/>
    <m/>
    <m/>
    <m/>
  </r>
  <r>
    <x v="6"/>
    <s v="Louisiana State University and A&amp;M College"/>
    <m/>
    <n v="159391"/>
    <x v="0"/>
    <n v="745363"/>
    <n v="790236"/>
    <n v="501083.59011700301"/>
    <n v="506723.40622391802"/>
    <m/>
    <m/>
    <n v="244279.40988299699"/>
    <m/>
    <m/>
    <n v="283512.59377608198"/>
    <m/>
    <m/>
    <m/>
    <m/>
    <n v="150237.00000000041"/>
    <n v="161972.49999999959"/>
    <n v="121840.755434783"/>
    <n v="128587.419198761"/>
    <m/>
    <m/>
    <n v="28396.244565217399"/>
    <m/>
    <m/>
    <n v="33385.080801238597"/>
    <m/>
    <m/>
    <m/>
    <m/>
  </r>
  <r>
    <x v="6"/>
    <s v="Louisiana Tech University "/>
    <m/>
    <n v="159647"/>
    <x v="1"/>
    <n v="262612.00000000012"/>
    <n v="256479"/>
    <n v="194112.42158671599"/>
    <n v="153756.69492703301"/>
    <m/>
    <m/>
    <n v="68499.578413284107"/>
    <m/>
    <m/>
    <n v="102722.30507296701"/>
    <m/>
    <m/>
    <m/>
    <m/>
    <n v="22088"/>
    <n v="20503"/>
    <n v="14242.4137235116"/>
    <n v="11116.084337349401"/>
    <m/>
    <m/>
    <n v="7845.5862764883996"/>
    <m/>
    <m/>
    <n v="9386.9156626505992"/>
    <m/>
    <m/>
    <m/>
    <m/>
  </r>
  <r>
    <x v="6"/>
    <s v="University of Louisiana at Lafayette"/>
    <m/>
    <n v="160658"/>
    <x v="1"/>
    <n v="368365.99999999983"/>
    <n v="349428.00000000017"/>
    <n v="302142.14345683501"/>
    <n v="279811.14154916699"/>
    <m/>
    <m/>
    <n v="66223.856543164802"/>
    <m/>
    <m/>
    <n v="69616.858450833199"/>
    <m/>
    <m/>
    <m/>
    <m/>
    <n v="40954.999999999971"/>
    <n v="42489.000000000029"/>
    <n v="33499.287507846799"/>
    <n v="34408.768985322298"/>
    <m/>
    <m/>
    <n v="7455.7124921531704"/>
    <m/>
    <m/>
    <n v="8080.2310146777299"/>
    <m/>
    <m/>
    <m/>
    <m/>
  </r>
  <r>
    <x v="6"/>
    <s v="University of New Orleans"/>
    <m/>
    <n v="159939"/>
    <x v="1"/>
    <n v="164434"/>
    <n v="156497.00000000052"/>
    <n v="76731.460610932496"/>
    <n v="53266.565476190503"/>
    <m/>
    <m/>
    <n v="87702.539389067504"/>
    <m/>
    <m/>
    <n v="103230.43452381001"/>
    <m/>
    <m/>
    <m/>
    <m/>
    <n v="23104"/>
    <n v="21759.999999999978"/>
    <n v="13190.0500463392"/>
    <n v="8777.9193205944794"/>
    <m/>
    <m/>
    <n v="9913.9499536608"/>
    <m/>
    <m/>
    <n v="12982.080679405501"/>
    <m/>
    <m/>
    <m/>
    <m/>
  </r>
  <r>
    <x v="6"/>
    <s v="McNeese State University"/>
    <m/>
    <n v="159717"/>
    <x v="2"/>
    <n v="178508.00000000012"/>
    <n v="161657.00000000041"/>
    <n v="66258.698611111104"/>
    <n v="51971.8583055864"/>
    <m/>
    <m/>
    <n v="112249.301388889"/>
    <m/>
    <m/>
    <n v="109685.14169441399"/>
    <m/>
    <m/>
    <m/>
    <m/>
    <n v="10794"/>
    <n v="9691"/>
    <n v="2132.1481481481501"/>
    <n v="1697.04147465438"/>
    <m/>
    <m/>
    <n v="8661.8518518518504"/>
    <m/>
    <m/>
    <n v="7993.9585253456198"/>
    <m/>
    <m/>
    <m/>
    <m/>
  </r>
  <r>
    <x v="6"/>
    <s v="Southeastern Louisiana University "/>
    <m/>
    <n v="160612"/>
    <x v="2"/>
    <n v="328315.99999999971"/>
    <n v="305952.99999999971"/>
    <n v="233604.85630926301"/>
    <n v="304716.37203747901"/>
    <m/>
    <m/>
    <n v="94711.143690736702"/>
    <m/>
    <m/>
    <n v="1236.6279625206701"/>
    <m/>
    <m/>
    <m/>
    <m/>
    <n v="16550"/>
    <n v="17191.999999999975"/>
    <n v="8226.94541231127"/>
    <n v="17036.2400906002"/>
    <m/>
    <m/>
    <n v="8323.05458768873"/>
    <m/>
    <m/>
    <n v="155.75990939977399"/>
    <m/>
    <m/>
    <m/>
    <m/>
  </r>
  <r>
    <x v="6"/>
    <s v="Southern University and A&amp;M College at Baton Rouge "/>
    <m/>
    <n v="160621"/>
    <x v="2"/>
    <n v="156947.99999999951"/>
    <n v="161584.00000000029"/>
    <n v="116807.562167906"/>
    <n v="125867.125124461"/>
    <m/>
    <m/>
    <n v="40140.437832093499"/>
    <m/>
    <m/>
    <n v="35716.874875539303"/>
    <m/>
    <m/>
    <m/>
    <m/>
    <n v="14822.99999999998"/>
    <n v="27955"/>
    <n v="10594.2162162162"/>
    <n v="22562.106299212599"/>
    <m/>
    <m/>
    <n v="4228.7837837837797"/>
    <m/>
    <m/>
    <n v="5392.8937007874001"/>
    <m/>
    <m/>
    <m/>
    <m/>
  </r>
  <r>
    <x v="6"/>
    <s v="University of Louisiana at Monroe"/>
    <m/>
    <n v="159993"/>
    <x v="2"/>
    <n v="175676"/>
    <n v="166942"/>
    <n v="87344.343199700306"/>
    <n v="74827.460934579402"/>
    <m/>
    <m/>
    <n v="88331.656800299694"/>
    <m/>
    <m/>
    <n v="92114.539065420598"/>
    <m/>
    <m/>
    <m/>
    <m/>
    <n v="42331"/>
    <n v="44235"/>
    <n v="13033.9556171983"/>
    <n v="12601.529894490001"/>
    <m/>
    <m/>
    <n v="29297.044382801701"/>
    <m/>
    <m/>
    <n v="31633.470105510001"/>
    <m/>
    <m/>
    <m/>
    <m/>
  </r>
  <r>
    <x v="6"/>
    <s v="Grambling State University"/>
    <m/>
    <n v="159009"/>
    <x v="3"/>
    <n v="126302"/>
    <n v="130098.00000000031"/>
    <n v="50091.064327485401"/>
    <n v="21462.195519348301"/>
    <m/>
    <m/>
    <n v="76210.935672514606"/>
    <m/>
    <m/>
    <n v="108635.804480652"/>
    <m/>
    <m/>
    <m/>
    <m/>
    <n v="16346"/>
    <n v="14659.99999999996"/>
    <n v="3887.4441260745002"/>
    <n v="2389.71786833856"/>
    <m/>
    <m/>
    <n v="12458.555873925499"/>
    <m/>
    <m/>
    <n v="12270.282131661401"/>
    <m/>
    <m/>
    <m/>
    <m/>
  </r>
  <r>
    <x v="6"/>
    <s v="Louisiana State University in Shreveport"/>
    <m/>
    <n v="159416"/>
    <x v="3"/>
    <n v="60666"/>
    <n v="58816"/>
    <n v="39179.236823612096"/>
    <n v="30130.301754386001"/>
    <m/>
    <m/>
    <n v="21486.7631763879"/>
    <m/>
    <m/>
    <n v="28685.698245613999"/>
    <m/>
    <m/>
    <m/>
    <m/>
    <n v="124502"/>
    <n v="124764.99999999959"/>
    <n v="28531.708333333299"/>
    <n v="21345.3373493976"/>
    <m/>
    <m/>
    <n v="95970.291666666701"/>
    <m/>
    <m/>
    <n v="103419.662650602"/>
    <m/>
    <m/>
    <m/>
    <m/>
  </r>
  <r>
    <x v="6"/>
    <s v="Nicholls State University "/>
    <m/>
    <n v="159966"/>
    <x v="3"/>
    <n v="161193"/>
    <n v="153048"/>
    <n v="72972.506756756804"/>
    <n v="81272.636233951504"/>
    <m/>
    <m/>
    <n v="88220.493243243196"/>
    <m/>
    <m/>
    <n v="71775.363766048496"/>
    <m/>
    <m/>
    <m/>
    <m/>
    <n v="11513"/>
    <n v="11386"/>
    <n v="3259.7048192771099"/>
    <n v="3271.8390804597698"/>
    <m/>
    <m/>
    <n v="8253.2951807228892"/>
    <m/>
    <m/>
    <n v="8114.1609195402298"/>
    <m/>
    <m/>
    <m/>
    <m/>
  </r>
  <r>
    <x v="6"/>
    <s v="Northwestern State University"/>
    <m/>
    <n v="160038"/>
    <x v="3"/>
    <n v="238814"/>
    <n v="226429.9999999998"/>
    <n v="137393.98449920499"/>
    <n v="132276.00447336299"/>
    <m/>
    <m/>
    <n v="101420.01550079499"/>
    <m/>
    <m/>
    <n v="94153.995526636805"/>
    <m/>
    <m/>
    <m/>
    <m/>
    <n v="15591.00000000002"/>
    <n v="15905.999999999969"/>
    <n v="2521.7510548523201"/>
    <n v="2635.98016997167"/>
    <m/>
    <m/>
    <n v="13069.248945147699"/>
    <m/>
    <m/>
    <n v="13270.019830028299"/>
    <m/>
    <m/>
    <m/>
    <m/>
  </r>
  <r>
    <x v="6"/>
    <s v="Southern University at New Orleans"/>
    <m/>
    <n v="160630"/>
    <x v="4"/>
    <n v="41596"/>
    <n v="36080"/>
    <n v="0"/>
    <n v="0"/>
    <m/>
    <m/>
    <n v="41596"/>
    <m/>
    <m/>
    <n v="36080"/>
    <m/>
    <m/>
    <m/>
    <m/>
    <n v="7039"/>
    <n v="6099"/>
    <n v="0"/>
    <n v="0"/>
    <m/>
    <m/>
    <n v="7039"/>
    <m/>
    <m/>
    <n v="6099"/>
    <m/>
    <m/>
    <m/>
    <m/>
  </r>
  <r>
    <x v="6"/>
    <s v="Louisiana State University at Alexandria"/>
    <m/>
    <n v="159382"/>
    <x v="11"/>
    <n v="80535"/>
    <n v="88467"/>
    <n v="41532.6091954023"/>
    <n v="40670.619300911902"/>
    <m/>
    <m/>
    <n v="39002.3908045977"/>
    <m/>
    <m/>
    <n v="47796.380699088098"/>
    <m/>
    <m/>
    <m/>
    <m/>
    <n v="0"/>
    <n v="0"/>
    <m/>
    <m/>
    <m/>
    <m/>
    <m/>
    <m/>
    <m/>
    <m/>
    <m/>
    <m/>
    <m/>
    <m/>
  </r>
  <r>
    <x v="6"/>
    <s v="Baton Rouge Community College"/>
    <m/>
    <n v="437103"/>
    <x v="5"/>
    <n v="154897"/>
    <n v="155288.99999999971"/>
    <n v="56047.3393339334"/>
    <n v="29892.275496688701"/>
    <m/>
    <m/>
    <n v="98849.6606660666"/>
    <m/>
    <m/>
    <n v="125396.72450331099"/>
    <m/>
    <m/>
    <m/>
    <m/>
    <n v="0"/>
    <n v="0"/>
    <m/>
    <m/>
    <m/>
    <m/>
    <m/>
    <m/>
    <m/>
    <m/>
    <m/>
    <m/>
    <m/>
    <m/>
  </r>
  <r>
    <x v="6"/>
    <s v="Delgado Community College "/>
    <m/>
    <n v="158662"/>
    <x v="5"/>
    <n v="275618"/>
    <n v="248974"/>
    <n v="133996.504610845"/>
    <n v="102964.35131396999"/>
    <m/>
    <m/>
    <n v="141621.495389155"/>
    <m/>
    <m/>
    <n v="146009.64868603001"/>
    <m/>
    <m/>
    <m/>
    <m/>
    <n v="0"/>
    <n v="0"/>
    <m/>
    <m/>
    <m/>
    <m/>
    <m/>
    <m/>
    <m/>
    <m/>
    <m/>
    <m/>
    <m/>
    <m/>
  </r>
  <r>
    <x v="6"/>
    <s v="Bossier Parish Community College"/>
    <m/>
    <n v="158431"/>
    <x v="6"/>
    <n v="130050"/>
    <n v="115386.5"/>
    <n v="49671.875"/>
    <n v="44645.612340216299"/>
    <m/>
    <m/>
    <n v="80378.125"/>
    <m/>
    <m/>
    <n v="70740.887659783693"/>
    <m/>
    <m/>
    <m/>
    <m/>
    <n v="0"/>
    <n v="0"/>
    <m/>
    <m/>
    <m/>
    <m/>
    <m/>
    <m/>
    <m/>
    <m/>
    <m/>
    <m/>
    <m/>
    <m/>
  </r>
  <r>
    <x v="6"/>
    <s v="Louisiana Delta Community College"/>
    <m/>
    <n v="483212"/>
    <x v="6"/>
    <n v="84462"/>
    <n v="80189.5"/>
    <n v="47255.4565774156"/>
    <n v="40720.500815280699"/>
    <m/>
    <m/>
    <n v="37206.5434225844"/>
    <m/>
    <m/>
    <n v="39468.999184719301"/>
    <m/>
    <m/>
    <m/>
    <m/>
    <n v="0"/>
    <n v="0"/>
    <m/>
    <m/>
    <m/>
    <m/>
    <m/>
    <m/>
    <m/>
    <m/>
    <m/>
    <m/>
    <m/>
    <m/>
  </r>
  <r>
    <x v="6"/>
    <s v="South Louisiana Community College"/>
    <m/>
    <n v="434061"/>
    <x v="6"/>
    <n v="139465"/>
    <n v="128628"/>
    <n v="75108.701814058993"/>
    <n v="58730.283400809698"/>
    <m/>
    <m/>
    <n v="64356.298185940999"/>
    <m/>
    <m/>
    <n v="69897.716599190302"/>
    <m/>
    <m/>
    <m/>
    <m/>
    <n v="0"/>
    <n v="0"/>
    <m/>
    <m/>
    <m/>
    <m/>
    <m/>
    <m/>
    <m/>
    <m/>
    <m/>
    <m/>
    <m/>
    <m/>
  </r>
  <r>
    <x v="6"/>
    <s v="Southern University in Shreveport"/>
    <m/>
    <n v="160649"/>
    <x v="6"/>
    <n v="61383"/>
    <n v="54146"/>
    <n v="40446.519490254897"/>
    <n v="28188.986259542002"/>
    <m/>
    <m/>
    <n v="20936.480509745099"/>
    <m/>
    <m/>
    <n v="25957.013740457998"/>
    <m/>
    <m/>
    <m/>
    <m/>
    <n v="0"/>
    <n v="0"/>
    <m/>
    <m/>
    <m/>
    <m/>
    <m/>
    <m/>
    <m/>
    <m/>
    <m/>
    <m/>
    <m/>
    <m/>
  </r>
  <r>
    <x v="6"/>
    <s v="Louisiana State University at Eunice"/>
    <m/>
    <n v="159407"/>
    <x v="6"/>
    <n v="60805"/>
    <n v="61121"/>
    <n v="34728.306613226501"/>
    <n v="33795.637996219302"/>
    <m/>
    <m/>
    <n v="26076.693386773499"/>
    <m/>
    <m/>
    <n v="27325.362003780701"/>
    <m/>
    <m/>
    <m/>
    <m/>
    <n v="0"/>
    <n v="0"/>
    <m/>
    <m/>
    <m/>
    <m/>
    <m/>
    <m/>
    <m/>
    <m/>
    <m/>
    <m/>
    <m/>
    <m/>
  </r>
  <r>
    <x v="6"/>
    <s v="Nunez Community College"/>
    <m/>
    <n v="158884"/>
    <x v="7"/>
    <n v="44603"/>
    <n v="40995"/>
    <n v="18447.699716713902"/>
    <n v="17101.464497041401"/>
    <m/>
    <m/>
    <n v="26155.300283286098"/>
    <m/>
    <m/>
    <n v="23893.535502958599"/>
    <m/>
    <m/>
    <m/>
    <m/>
    <n v="0"/>
    <n v="0"/>
    <m/>
    <m/>
    <m/>
    <m/>
    <m/>
    <m/>
    <m/>
    <m/>
    <m/>
    <m/>
    <m/>
    <m/>
  </r>
  <r>
    <x v="6"/>
    <s v="River Parishes Community College"/>
    <m/>
    <n v="436304"/>
    <x v="7"/>
    <n v="58568"/>
    <n v="48287"/>
    <n v="37514.459760627302"/>
    <n v="29006.175021987699"/>
    <m/>
    <m/>
    <n v="21053.540239372702"/>
    <m/>
    <m/>
    <n v="19280.824978012301"/>
    <m/>
    <m/>
    <m/>
    <m/>
    <n v="0"/>
    <n v="0"/>
    <m/>
    <m/>
    <m/>
    <m/>
    <m/>
    <m/>
    <m/>
    <m/>
    <m/>
    <m/>
    <m/>
    <m/>
  </r>
  <r>
    <x v="6"/>
    <s v="Central LA Technical Community College"/>
    <m/>
    <n v="158088"/>
    <x v="8"/>
    <n v="43041"/>
    <n v="38894"/>
    <n v="32715.298557692298"/>
    <n v="26247.973374296002"/>
    <m/>
    <m/>
    <n v="10325.7014423077"/>
    <m/>
    <m/>
    <n v="12646.026625704"/>
    <m/>
    <m/>
    <m/>
    <m/>
    <n v="0"/>
    <n v="0"/>
    <m/>
    <m/>
    <m/>
    <m/>
    <m/>
    <m/>
    <m/>
    <m/>
    <m/>
    <m/>
    <m/>
    <m/>
  </r>
  <r>
    <x v="6"/>
    <s v="L.E. Fletcher Technical Community College"/>
    <m/>
    <n v="160481"/>
    <x v="8"/>
    <n v="46862"/>
    <n v="39441"/>
    <n v="24428.063829787199"/>
    <n v="18091.267641996601"/>
    <m/>
    <m/>
    <n v="22433.936170212801"/>
    <m/>
    <m/>
    <n v="21349.732358003399"/>
    <m/>
    <m/>
    <m/>
    <m/>
    <n v="0"/>
    <n v="0"/>
    <m/>
    <m/>
    <m/>
    <m/>
    <m/>
    <m/>
    <m/>
    <m/>
    <m/>
    <m/>
    <m/>
    <m/>
  </r>
  <r>
    <x v="6"/>
    <s v="Northshore Technical College"/>
    <m/>
    <n v="160667"/>
    <x v="8"/>
    <n v="63782"/>
    <n v="62772.5"/>
    <n v="46952.656795747898"/>
    <n v="42229.234425566297"/>
    <m/>
    <m/>
    <n v="16829.343204252102"/>
    <m/>
    <m/>
    <n v="20543.265574433699"/>
    <m/>
    <m/>
    <m/>
    <m/>
    <n v="0"/>
    <n v="0"/>
    <m/>
    <m/>
    <m/>
    <m/>
    <m/>
    <m/>
    <m/>
    <m/>
    <m/>
    <m/>
    <m/>
    <m/>
  </r>
  <r>
    <x v="6"/>
    <s v="Sowela Technical Community College"/>
    <m/>
    <n v="160579"/>
    <x v="8"/>
    <n v="68860"/>
    <n v="63770.5"/>
    <n v="49743.892617449703"/>
    <n v="44340.7453495831"/>
    <m/>
    <m/>
    <n v="19116.107382550301"/>
    <m/>
    <m/>
    <n v="19429.7546504169"/>
    <m/>
    <m/>
    <m/>
    <m/>
    <n v="0"/>
    <n v="0"/>
    <m/>
    <m/>
    <m/>
    <m/>
    <m/>
    <m/>
    <m/>
    <m/>
    <m/>
    <m/>
    <m/>
    <m/>
  </r>
  <r>
    <x v="6"/>
    <s v="Northwest LA Technical College"/>
    <m/>
    <n v="160010"/>
    <x v="9"/>
    <n v="22823"/>
    <n v="20536.000000000007"/>
    <n v="20858.1059602649"/>
    <n v="19630.6494623656"/>
    <m/>
    <m/>
    <n v="1964.8940397351"/>
    <m/>
    <m/>
    <n v="905.35053763440897"/>
    <m/>
    <m/>
    <m/>
    <m/>
    <n v="0"/>
    <n v="0"/>
    <m/>
    <m/>
    <m/>
    <m/>
    <m/>
    <m/>
    <m/>
    <m/>
    <m/>
    <m/>
    <m/>
    <m/>
  </r>
  <r>
    <x v="6"/>
    <s v="Louisiana State University Health Sciences Center - New Orleans"/>
    <m/>
    <n v="159373"/>
    <x v="10"/>
    <n v="0"/>
    <n v="0"/>
    <m/>
    <m/>
    <m/>
    <m/>
    <m/>
    <m/>
    <m/>
    <m/>
    <m/>
    <m/>
    <m/>
    <m/>
    <n v="0"/>
    <n v="0"/>
    <m/>
    <m/>
    <m/>
    <m/>
    <m/>
    <m/>
    <m/>
    <m/>
    <m/>
    <m/>
    <m/>
    <m/>
  </r>
  <r>
    <x v="6"/>
    <s v="Louisiana State University Health Sciences Center - Shreveport"/>
    <m/>
    <n v="435000"/>
    <x v="10"/>
    <n v="0"/>
    <n v="0"/>
    <m/>
    <m/>
    <m/>
    <m/>
    <m/>
    <m/>
    <m/>
    <m/>
    <m/>
    <m/>
    <m/>
    <m/>
    <n v="0"/>
    <n v="0"/>
    <m/>
    <m/>
    <m/>
    <m/>
    <m/>
    <m/>
    <m/>
    <m/>
    <m/>
    <m/>
    <m/>
    <m/>
  </r>
  <r>
    <x v="6"/>
    <s v="Southern University Law Center"/>
    <m/>
    <n v="440916"/>
    <x v="10"/>
    <n v="0"/>
    <n v="0"/>
    <m/>
    <m/>
    <m/>
    <m/>
    <m/>
    <m/>
    <m/>
    <m/>
    <m/>
    <m/>
    <m/>
    <m/>
    <n v="21220.000000000051"/>
    <n v="0"/>
    <n v="19723.153526971"/>
    <m/>
    <m/>
    <m/>
    <n v="1496.84647302905"/>
    <m/>
    <m/>
    <m/>
    <m/>
    <m/>
    <m/>
    <m/>
  </r>
  <r>
    <x v="7"/>
    <s v="Allegany College of Maryland"/>
    <m/>
    <n v="161688"/>
    <x v="7"/>
    <n v="46937"/>
    <n v="42829"/>
    <n v="19375"/>
    <n v="13441"/>
    <n v="5910"/>
    <n v="5581"/>
    <n v="20874"/>
    <n v="778"/>
    <n v="0"/>
    <n v="23807"/>
    <n v="0"/>
    <n v="0"/>
    <n v="0"/>
    <n v="0"/>
    <n v="0"/>
    <n v="0"/>
    <n v="0"/>
    <m/>
    <n v="0"/>
    <m/>
    <n v="0"/>
    <n v="0"/>
    <n v="0"/>
    <m/>
    <m/>
    <m/>
    <n v="0"/>
    <m/>
  </r>
  <r>
    <x v="7"/>
    <s v="Anne Arundel Community College "/>
    <m/>
    <n v="161767"/>
    <x v="5"/>
    <n v="222168"/>
    <n v="195185"/>
    <n v="55230"/>
    <n v="13729"/>
    <n v="10000"/>
    <n v="5554"/>
    <n v="156529"/>
    <n v="409"/>
    <n v="0"/>
    <n v="175902"/>
    <n v="0"/>
    <n v="0"/>
    <n v="0"/>
    <n v="0"/>
    <n v="0"/>
    <n v="0"/>
    <n v="0"/>
    <m/>
    <n v="0"/>
    <m/>
    <n v="0"/>
    <n v="0"/>
    <n v="0"/>
    <m/>
    <m/>
    <m/>
    <n v="0"/>
    <m/>
  </r>
  <r>
    <x v="7"/>
    <s v="Baltimore City Community College"/>
    <m/>
    <n v="161864"/>
    <x v="6"/>
    <n v="82002"/>
    <n v="69309"/>
    <n v="27075"/>
    <n v="60"/>
    <n v="139"/>
    <n v="1162"/>
    <n v="54788"/>
    <n v="0"/>
    <n v="0"/>
    <n v="68087"/>
    <n v="0"/>
    <n v="0"/>
    <n v="0"/>
    <n v="0"/>
    <n v="0"/>
    <n v="0"/>
    <n v="0"/>
    <m/>
    <n v="0"/>
    <m/>
    <n v="0"/>
    <n v="0"/>
    <n v="0"/>
    <m/>
    <m/>
    <m/>
    <n v="0"/>
    <m/>
  </r>
  <r>
    <x v="7"/>
    <s v="Carroll Community College"/>
    <m/>
    <n v="405872"/>
    <x v="6"/>
    <n v="53193"/>
    <n v="47999"/>
    <n v="19521.5"/>
    <n v="12803"/>
    <n v="1894"/>
    <n v="2242"/>
    <n v="31777.5"/>
    <n v="0"/>
    <n v="0"/>
    <n v="32436"/>
    <n v="0"/>
    <n v="518"/>
    <n v="0"/>
    <n v="0"/>
    <n v="0"/>
    <n v="0"/>
    <n v="0"/>
    <m/>
    <n v="0"/>
    <m/>
    <n v="0"/>
    <n v="0"/>
    <n v="0"/>
    <m/>
    <m/>
    <m/>
    <n v="0"/>
    <m/>
  </r>
  <r>
    <x v="7"/>
    <s v="Cecil Community College "/>
    <m/>
    <n v="162104"/>
    <x v="7"/>
    <n v="37736"/>
    <n v="30196"/>
    <n v="22653"/>
    <n v="5849"/>
    <n v="1342"/>
    <n v="1493"/>
    <n v="13741"/>
    <n v="0"/>
    <n v="0"/>
    <n v="22854"/>
    <n v="0"/>
    <n v="0"/>
    <n v="0"/>
    <n v="0"/>
    <n v="0"/>
    <n v="0"/>
    <n v="0"/>
    <m/>
    <n v="0"/>
    <m/>
    <n v="0"/>
    <n v="0"/>
    <n v="0"/>
    <m/>
    <m/>
    <m/>
    <n v="0"/>
    <m/>
  </r>
  <r>
    <x v="7"/>
    <s v="Chesapeake College "/>
    <m/>
    <n v="162168"/>
    <x v="7"/>
    <n v="33315"/>
    <n v="29578"/>
    <n v="9964"/>
    <n v="5679"/>
    <n v="709"/>
    <n v="564"/>
    <n v="22579"/>
    <n v="63"/>
    <n v="0"/>
    <n v="23335"/>
    <n v="0"/>
    <n v="0"/>
    <n v="0"/>
    <n v="0"/>
    <n v="0"/>
    <n v="0"/>
    <n v="0"/>
    <m/>
    <n v="0"/>
    <m/>
    <n v="0"/>
    <n v="0"/>
    <n v="0"/>
    <m/>
    <m/>
    <m/>
    <n v="0"/>
    <m/>
  </r>
  <r>
    <x v="7"/>
    <s v="College of Southern Maryland"/>
    <m/>
    <n v="162122"/>
    <x v="6"/>
    <n v="124845"/>
    <n v="111653"/>
    <n v="25740"/>
    <n v="7536"/>
    <n v="10527"/>
    <n v="3581"/>
    <n v="62985"/>
    <n v="25593"/>
    <n v="0"/>
    <n v="68019"/>
    <n v="32517"/>
    <n v="0"/>
    <n v="0"/>
    <n v="0"/>
    <n v="0"/>
    <n v="0"/>
    <n v="0"/>
    <m/>
    <n v="0"/>
    <m/>
    <n v="0"/>
    <n v="0"/>
    <n v="0"/>
    <m/>
    <m/>
    <m/>
    <n v="0"/>
    <m/>
  </r>
  <r>
    <x v="7"/>
    <s v="Community College of Baltimore County (all campuses)"/>
    <m/>
    <n v="434672"/>
    <x v="5"/>
    <n v="313344.5"/>
    <n v="292731"/>
    <n v="102323.5"/>
    <n v="69840"/>
    <n v="21649"/>
    <n v="18506"/>
    <n v="189372"/>
    <n v="0"/>
    <n v="0"/>
    <n v="204385"/>
    <n v="0"/>
    <n v="0"/>
    <n v="0"/>
    <n v="0"/>
    <n v="0"/>
    <n v="0"/>
    <n v="0"/>
    <m/>
    <n v="0"/>
    <m/>
    <n v="0"/>
    <n v="0"/>
    <n v="0"/>
    <m/>
    <m/>
    <m/>
    <n v="0"/>
    <m/>
  </r>
  <r>
    <x v="7"/>
    <s v="Frederick Community College "/>
    <m/>
    <n v="162557"/>
    <x v="6"/>
    <n v="102774"/>
    <n v="93866"/>
    <n v="54841"/>
    <n v="8356"/>
    <n v="10433"/>
    <n v="12412"/>
    <n v="37500"/>
    <n v="0"/>
    <n v="0"/>
    <n v="73098"/>
    <n v="0"/>
    <n v="0"/>
    <n v="0"/>
    <n v="0"/>
    <n v="0"/>
    <n v="0"/>
    <n v="0"/>
    <m/>
    <n v="0"/>
    <m/>
    <n v="0"/>
    <n v="0"/>
    <n v="0"/>
    <m/>
    <m/>
    <m/>
    <n v="0"/>
    <m/>
  </r>
  <r>
    <x v="7"/>
    <s v="Garrett College "/>
    <m/>
    <n v="162609"/>
    <x v="7"/>
    <n v="13504.25"/>
    <n v="11524"/>
    <n v="6927.25"/>
    <n v="4354"/>
    <n v="715"/>
    <n v="896"/>
    <n v="5862"/>
    <n v="0"/>
    <n v="0"/>
    <n v="6274"/>
    <n v="0"/>
    <n v="0"/>
    <n v="0"/>
    <n v="0"/>
    <n v="0"/>
    <n v="0"/>
    <n v="0"/>
    <m/>
    <n v="0"/>
    <m/>
    <n v="0"/>
    <n v="0"/>
    <n v="0"/>
    <m/>
    <m/>
    <m/>
    <n v="0"/>
    <m/>
  </r>
  <r>
    <x v="7"/>
    <s v="Hagerstown Community College "/>
    <m/>
    <n v="162690"/>
    <x v="6"/>
    <n v="82570"/>
    <n v="66780"/>
    <n v="26859"/>
    <n v="13088"/>
    <n v="5103"/>
    <n v="4411"/>
    <n v="50608"/>
    <n v="0"/>
    <n v="0"/>
    <n v="49281"/>
    <n v="0"/>
    <n v="0"/>
    <n v="0"/>
    <n v="0"/>
    <n v="0"/>
    <n v="0"/>
    <n v="0"/>
    <m/>
    <n v="0"/>
    <m/>
    <n v="0"/>
    <n v="0"/>
    <n v="0"/>
    <m/>
    <m/>
    <m/>
    <n v="0"/>
    <m/>
  </r>
  <r>
    <x v="7"/>
    <s v="Harford Community College "/>
    <m/>
    <n v="162706"/>
    <x v="6"/>
    <n v="99517.5"/>
    <n v="85545"/>
    <n v="45856.5"/>
    <n v="17098"/>
    <n v="1794"/>
    <n v="1180"/>
    <n v="51867"/>
    <n v="0"/>
    <n v="0"/>
    <n v="67267"/>
    <n v="0"/>
    <n v="0"/>
    <n v="0"/>
    <n v="0"/>
    <n v="0"/>
    <n v="0"/>
    <n v="0"/>
    <m/>
    <n v="0"/>
    <m/>
    <n v="0"/>
    <n v="0"/>
    <n v="0"/>
    <m/>
    <m/>
    <m/>
    <n v="0"/>
    <m/>
  </r>
  <r>
    <x v="7"/>
    <s v="Howard Community College "/>
    <m/>
    <n v="162779"/>
    <x v="5"/>
    <n v="175856"/>
    <n v="158294"/>
    <n v="52364"/>
    <n v="23402"/>
    <n v="27303"/>
    <n v="5313"/>
    <n v="79860"/>
    <n v="16329"/>
    <n v="0"/>
    <n v="95889"/>
    <n v="33690"/>
    <n v="0"/>
    <n v="0"/>
    <n v="0"/>
    <n v="0"/>
    <n v="0"/>
    <n v="0"/>
    <m/>
    <n v="0"/>
    <m/>
    <n v="0"/>
    <n v="0"/>
    <n v="0"/>
    <m/>
    <m/>
    <m/>
    <n v="0"/>
    <m/>
  </r>
  <r>
    <x v="7"/>
    <s v="Montgomery College (all campuses)"/>
    <m/>
    <n v="163426"/>
    <x v="5"/>
    <n v="641620"/>
    <n v="608069"/>
    <n v="183192"/>
    <n v="37444"/>
    <n v="64244"/>
    <n v="26537"/>
    <n v="394184"/>
    <n v="0"/>
    <n v="0"/>
    <n v="544088"/>
    <n v="0"/>
    <n v="0"/>
    <n v="0"/>
    <n v="0"/>
    <n v="0"/>
    <n v="0"/>
    <n v="0"/>
    <m/>
    <n v="0"/>
    <m/>
    <n v="0"/>
    <n v="0"/>
    <n v="0"/>
    <m/>
    <m/>
    <m/>
    <n v="0"/>
    <m/>
  </r>
  <r>
    <x v="7"/>
    <s v="Prince George's Community College "/>
    <m/>
    <n v="163657"/>
    <x v="5"/>
    <n v="404271"/>
    <n v="295177"/>
    <n v="67452"/>
    <n v="105184"/>
    <n v="39966"/>
    <n v="43265"/>
    <n v="296853"/>
    <n v="0"/>
    <n v="0"/>
    <n v="146728"/>
    <n v="0"/>
    <n v="0"/>
    <n v="0"/>
    <n v="0"/>
    <n v="0"/>
    <n v="0"/>
    <n v="0"/>
    <m/>
    <n v="0"/>
    <m/>
    <n v="0"/>
    <n v="0"/>
    <n v="0"/>
    <m/>
    <m/>
    <m/>
    <n v="0"/>
    <m/>
  </r>
  <r>
    <x v="7"/>
    <s v="Wor-Wic Community College "/>
    <m/>
    <n v="164313"/>
    <x v="7"/>
    <n v="47327"/>
    <n v="42861"/>
    <n v="17344.5"/>
    <n v="13993"/>
    <n v="1075"/>
    <n v="2030"/>
    <n v="28907.5"/>
    <n v="0"/>
    <n v="0"/>
    <n v="26838"/>
    <n v="0"/>
    <n v="0"/>
    <n v="0"/>
    <n v="0"/>
    <n v="0"/>
    <n v="0"/>
    <n v="0"/>
    <m/>
    <n v="0"/>
    <m/>
    <n v="0"/>
    <n v="0"/>
    <n v="0"/>
    <m/>
    <m/>
    <m/>
    <n v="0"/>
    <m/>
  </r>
  <r>
    <x v="7"/>
    <s v="Bowie State University "/>
    <m/>
    <n v="162007"/>
    <x v="3"/>
    <n v="146010"/>
    <n v="142846"/>
    <n v="51275"/>
    <n v="34784"/>
    <n v="0"/>
    <n v="381"/>
    <n v="94735"/>
    <n v="0"/>
    <n v="0"/>
    <n v="107681"/>
    <n v="0"/>
    <n v="0"/>
    <n v="0"/>
    <n v="0"/>
    <n v="15128"/>
    <n v="14865"/>
    <n v="5431"/>
    <n v="2682"/>
    <n v="0"/>
    <n v="288"/>
    <n v="9697"/>
    <n v="0"/>
    <n v="0"/>
    <n v="11895"/>
    <n v="0"/>
    <n v="0"/>
    <n v="0"/>
    <n v="0"/>
  </r>
  <r>
    <x v="7"/>
    <s v="Coppin State University"/>
    <m/>
    <n v="162283"/>
    <x v="4"/>
    <n v="56181"/>
    <n v="46557"/>
    <n v="42034"/>
    <n v="32734"/>
    <n v="21"/>
    <n v="0"/>
    <n v="14126"/>
    <n v="0"/>
    <n v="0"/>
    <n v="13823"/>
    <n v="0"/>
    <n v="0"/>
    <n v="0"/>
    <n v="0"/>
    <n v="3776"/>
    <n v="3136"/>
    <n v="2998"/>
    <n v="2151"/>
    <n v="48"/>
    <n v="54"/>
    <n v="730"/>
    <n v="0"/>
    <n v="0"/>
    <n v="931"/>
    <n v="0"/>
    <n v="0"/>
    <n v="0"/>
    <n v="0"/>
  </r>
  <r>
    <x v="7"/>
    <s v="Frostburg State University "/>
    <m/>
    <n v="162584"/>
    <x v="3"/>
    <n v="112015"/>
    <n v="101012"/>
    <n v="83175"/>
    <n v="62262"/>
    <n v="1717"/>
    <n v="1127"/>
    <n v="27123"/>
    <n v="0"/>
    <n v="0"/>
    <n v="37623"/>
    <n v="0"/>
    <n v="0"/>
    <n v="0"/>
    <n v="0"/>
    <n v="13518"/>
    <n v="14633"/>
    <n v="3818"/>
    <n v="3590"/>
    <n v="2593"/>
    <n v="3034"/>
    <n v="7107"/>
    <n v="0"/>
    <n v="0"/>
    <n v="8009"/>
    <n v="0"/>
    <n v="0"/>
    <n v="0"/>
    <n v="0"/>
  </r>
  <r>
    <x v="7"/>
    <s v="Salisbury University "/>
    <m/>
    <n v="163851"/>
    <x v="3"/>
    <n v="219186"/>
    <n v="201880"/>
    <n v="99471"/>
    <n v="84749"/>
    <n v="1325"/>
    <n v="904"/>
    <n v="89901"/>
    <n v="28489"/>
    <n v="0"/>
    <n v="116227"/>
    <n v="0"/>
    <n v="0"/>
    <n v="0"/>
    <n v="0"/>
    <n v="16561"/>
    <n v="15851"/>
    <n v="967"/>
    <n v="945"/>
    <n v="30"/>
    <n v="28"/>
    <n v="12055"/>
    <n v="3509"/>
    <n v="0"/>
    <n v="14878"/>
    <n v="0"/>
    <n v="0"/>
    <n v="0"/>
    <n v="0"/>
  </r>
  <r>
    <x v="7"/>
    <s v="Towson University "/>
    <m/>
    <n v="164076"/>
    <x v="2"/>
    <n v="539315"/>
    <n v="504795"/>
    <n v="285422"/>
    <n v="216408"/>
    <n v="6337"/>
    <n v="5666"/>
    <n v="247556"/>
    <n v="0"/>
    <n v="0"/>
    <n v="282721"/>
    <n v="0"/>
    <n v="0"/>
    <n v="0"/>
    <n v="0"/>
    <n v="44942"/>
    <n v="45479"/>
    <n v="18441.5"/>
    <n v="16224"/>
    <n v="3484"/>
    <n v="2149"/>
    <n v="23016.5"/>
    <n v="0"/>
    <n v="0"/>
    <n v="27106"/>
    <n v="0"/>
    <n v="0"/>
    <n v="0"/>
    <n v="0"/>
  </r>
  <r>
    <x v="7"/>
    <s v="University of Baltimore"/>
    <m/>
    <n v="161873"/>
    <x v="2"/>
    <n v="41180"/>
    <n v="35672"/>
    <n v="24214"/>
    <n v="11562"/>
    <n v="1074"/>
    <n v="216"/>
    <n v="15892"/>
    <n v="0"/>
    <n v="0"/>
    <n v="23894"/>
    <n v="0"/>
    <n v="0"/>
    <n v="0"/>
    <n v="0"/>
    <n v="39419.5"/>
    <n v="37601"/>
    <n v="27661.5"/>
    <n v="23775"/>
    <n v="837"/>
    <n v="405"/>
    <n v="10921"/>
    <n v="0"/>
    <n v="0"/>
    <n v="13421"/>
    <n v="0"/>
    <n v="0"/>
    <n v="0"/>
    <n v="0"/>
  </r>
  <r>
    <x v="7"/>
    <s v="University of Maryland, Baltimore"/>
    <m/>
    <n v="163259"/>
    <x v="10"/>
    <n v="22607"/>
    <n v="23919"/>
    <n v="11143"/>
    <n v="50"/>
    <n v="7447"/>
    <n v="0"/>
    <n v="4017"/>
    <n v="0"/>
    <n v="0"/>
    <n v="23869"/>
    <n v="0"/>
    <n v="0"/>
    <n v="0"/>
    <n v="0"/>
    <n v="77758"/>
    <n v="59670"/>
    <n v="38444"/>
    <n v="1595"/>
    <n v="17219"/>
    <n v="6328"/>
    <n v="10539"/>
    <n v="11556"/>
    <n v="0"/>
    <n v="51747"/>
    <n v="0"/>
    <n v="0"/>
    <n v="0"/>
    <n v="0"/>
  </r>
  <r>
    <x v="7"/>
    <s v="University of Maryland, Baltimore County"/>
    <m/>
    <n v="163268"/>
    <x v="1"/>
    <n v="314224.5"/>
    <n v="303704"/>
    <n v="118868"/>
    <n v="65423"/>
    <n v="3644"/>
    <n v="2352"/>
    <n v="191712.5"/>
    <n v="0"/>
    <n v="0"/>
    <n v="235929"/>
    <n v="0"/>
    <n v="0"/>
    <n v="0"/>
    <n v="0"/>
    <n v="36927"/>
    <n v="38410"/>
    <n v="12198"/>
    <n v="8140"/>
    <n v="1021"/>
    <n v="438"/>
    <n v="23708"/>
    <n v="0"/>
    <n v="0"/>
    <n v="29832"/>
    <n v="0"/>
    <n v="0"/>
    <n v="0"/>
    <n v="0"/>
  </r>
  <r>
    <x v="7"/>
    <s v="University of Maryland, College Park"/>
    <m/>
    <n v="163286"/>
    <x v="0"/>
    <n v="883046"/>
    <n v="882237"/>
    <n v="435071"/>
    <n v="424630"/>
    <n v="8141"/>
    <n v="6132"/>
    <n v="439462"/>
    <n v="372"/>
    <n v="0"/>
    <n v="451102"/>
    <n v="373"/>
    <n v="0"/>
    <n v="0"/>
    <n v="0"/>
    <n v="150008"/>
    <n v="156169"/>
    <n v="76767"/>
    <n v="90906"/>
    <n v="11771"/>
    <n v="11897"/>
    <n v="61318"/>
    <n v="152"/>
    <n v="0"/>
    <n v="53292"/>
    <n v="74"/>
    <n v="0"/>
    <n v="0"/>
    <n v="0"/>
  </r>
  <r>
    <x v="7"/>
    <s v="University of Maryland Eastern Shore "/>
    <m/>
    <n v="163338"/>
    <x v="3"/>
    <n v="61666"/>
    <n v="53460"/>
    <n v="37506"/>
    <n v="39196"/>
    <n v="683.5"/>
    <n v="503"/>
    <n v="23476.5"/>
    <n v="0"/>
    <n v="0"/>
    <n v="13761"/>
    <n v="0"/>
    <n v="0"/>
    <n v="0"/>
    <n v="0"/>
    <n v="15529.5"/>
    <n v="16499"/>
    <n v="11465"/>
    <n v="15077"/>
    <n v="213"/>
    <n v="93"/>
    <n v="3851.5"/>
    <n v="0"/>
    <n v="0"/>
    <n v="1329"/>
    <n v="0"/>
    <n v="0"/>
    <n v="0"/>
    <n v="0"/>
  </r>
  <r>
    <x v="7"/>
    <s v="University of Maryland Global Campus"/>
    <m/>
    <n v="163204"/>
    <x v="10"/>
    <n v="868447"/>
    <n v="856788"/>
    <n v="0"/>
    <n v="0"/>
    <n v="29413"/>
    <n v="18308"/>
    <n v="839034"/>
    <n v="0"/>
    <n v="0"/>
    <n v="838161"/>
    <n v="319"/>
    <n v="0"/>
    <n v="0"/>
    <n v="0"/>
    <n v="189581"/>
    <n v="178211"/>
    <n v="0"/>
    <n v="0"/>
    <n v="3480"/>
    <n v="2391"/>
    <n v="186101"/>
    <n v="0"/>
    <n v="0"/>
    <n v="175310"/>
    <n v="510"/>
    <n v="0"/>
    <n v="0"/>
    <n v="0"/>
  </r>
  <r>
    <x v="7"/>
    <s v="Morgan State University"/>
    <m/>
    <n v="163453"/>
    <x v="1"/>
    <n v="182089"/>
    <n v="183180"/>
    <n v="147893"/>
    <n v="136317"/>
    <n v="63"/>
    <n v="21"/>
    <n v="34133"/>
    <n v="0"/>
    <n v="0"/>
    <n v="46842"/>
    <n v="0"/>
    <n v="0"/>
    <n v="0"/>
    <n v="0"/>
    <n v="25251"/>
    <n v="26278"/>
    <n v="18852"/>
    <n v="17385"/>
    <n v="27"/>
    <n v="27"/>
    <n v="6372"/>
    <n v="0"/>
    <n v="0"/>
    <n v="8866"/>
    <n v="0"/>
    <n v="0"/>
    <n v="0"/>
    <n v="0"/>
  </r>
  <r>
    <x v="7"/>
    <s v="Saint Mary's College of Maryland"/>
    <m/>
    <n v="163912"/>
    <x v="11"/>
    <n v="46411.5"/>
    <n v="47785"/>
    <n v="35938.5"/>
    <n v="34402"/>
    <n v="0"/>
    <n v="0"/>
    <n v="10473"/>
    <n v="0"/>
    <n v="0"/>
    <n v="13383"/>
    <n v="0"/>
    <n v="0"/>
    <n v="0"/>
    <n v="0"/>
    <n v="889"/>
    <n v="985"/>
    <n v="292"/>
    <n v="593"/>
    <n v="0"/>
    <n v="0"/>
    <n v="597"/>
    <n v="0"/>
    <n v="0"/>
    <n v="392"/>
    <n v="0"/>
    <n v="0"/>
    <n v="0"/>
    <n v="0"/>
  </r>
  <r>
    <x v="8"/>
    <s v="Mississippi State University"/>
    <m/>
    <n v="176080"/>
    <x v="0"/>
    <n v="549213"/>
    <n v="533007"/>
    <n v="342357"/>
    <n v="342545"/>
    <n v="5633"/>
    <n v="3839"/>
    <n v="200977"/>
    <n v="246"/>
    <m/>
    <n v="186406"/>
    <n v="217"/>
    <m/>
    <m/>
    <m/>
    <n v="61690"/>
    <n v="71299"/>
    <n v="27861"/>
    <n v="33479"/>
    <n v="685"/>
    <n v="1812"/>
    <n v="32946"/>
    <n v="198"/>
    <m/>
    <n v="35885"/>
    <n v="123"/>
    <m/>
    <m/>
    <m/>
  </r>
  <r>
    <x v="8"/>
    <s v="University of Mississippi"/>
    <m/>
    <n v="176017"/>
    <x v="0"/>
    <n v="501424"/>
    <n v="481115"/>
    <n v="242260"/>
    <n v="228092"/>
    <n v="28569"/>
    <n v="28030"/>
    <n v="220926"/>
    <n v="5319"/>
    <m/>
    <n v="217241"/>
    <n v="3819"/>
    <m/>
    <n v="4350"/>
    <n v="3933"/>
    <n v="72959"/>
    <n v="77715"/>
    <n v="52519"/>
    <n v="52879"/>
    <n v="588"/>
    <n v="578"/>
    <n v="19282"/>
    <n v="516"/>
    <m/>
    <n v="23188"/>
    <n v="974"/>
    <m/>
    <n v="54"/>
    <n v="96"/>
  </r>
  <r>
    <x v="8"/>
    <s v="University of Southern Mississippi"/>
    <m/>
    <n v="176372"/>
    <x v="0"/>
    <n v="330945"/>
    <n v="314003"/>
    <n v="124697"/>
    <n v="109519"/>
    <n v="12144"/>
    <n v="7352"/>
    <n v="190809"/>
    <n v="3295"/>
    <m/>
    <n v="194078"/>
    <n v="3054"/>
    <m/>
    <m/>
    <m/>
    <n v="53687"/>
    <n v="63436"/>
    <n v="18776"/>
    <n v="20181"/>
    <n v="2650"/>
    <n v="3305"/>
    <n v="31858"/>
    <n v="403"/>
    <m/>
    <n v="39774"/>
    <n v="176"/>
    <m/>
    <m/>
    <m/>
  </r>
  <r>
    <x v="8"/>
    <s v="Jackson State University "/>
    <m/>
    <n v="175856"/>
    <x v="1"/>
    <n v="132288.5"/>
    <n v="136390.5"/>
    <n v="47090"/>
    <n v="46195"/>
    <n v="1043"/>
    <n v="27"/>
    <n v="84155.5"/>
    <m/>
    <m/>
    <n v="90168.5"/>
    <m/>
    <m/>
    <m/>
    <m/>
    <n v="34452"/>
    <n v="38579.5"/>
    <n v="7469"/>
    <n v="9033.5"/>
    <n v="2921"/>
    <n v="652"/>
    <n v="24062"/>
    <m/>
    <m/>
    <n v="28894"/>
    <m/>
    <m/>
    <m/>
    <m/>
  </r>
  <r>
    <x v="8"/>
    <s v="Alcorn State University"/>
    <m/>
    <n v="175342"/>
    <x v="3"/>
    <n v="83038"/>
    <n v="75666"/>
    <n v="52245"/>
    <n v="46646"/>
    <n v="2015"/>
    <n v="2122"/>
    <n v="28778"/>
    <m/>
    <m/>
    <n v="26898"/>
    <m/>
    <m/>
    <m/>
    <m/>
    <n v="7702"/>
    <n v="8903"/>
    <n v="1374"/>
    <n v="1860"/>
    <n v="95"/>
    <n v="28"/>
    <n v="6233"/>
    <m/>
    <m/>
    <n v="6982"/>
    <m/>
    <n v="33"/>
    <m/>
    <m/>
  </r>
  <r>
    <x v="8"/>
    <s v="Delta State University"/>
    <m/>
    <n v="175616"/>
    <x v="3"/>
    <n v="64119"/>
    <n v="52789.5"/>
    <n v="37105"/>
    <n v="27342.5"/>
    <n v="4816"/>
    <n v="2841"/>
    <n v="22192"/>
    <m/>
    <n v="6"/>
    <n v="22606"/>
    <m/>
    <m/>
    <m/>
    <m/>
    <n v="16781"/>
    <n v="16277"/>
    <n v="1189"/>
    <n v="639"/>
    <n v="18"/>
    <n v="6"/>
    <n v="15559"/>
    <m/>
    <n v="15"/>
    <n v="15632"/>
    <m/>
    <m/>
    <m/>
    <m/>
  </r>
  <r>
    <x v="8"/>
    <s v="Mississippi University for Women"/>
    <m/>
    <n v="176035"/>
    <x v="3"/>
    <n v="71875"/>
    <n v="64788"/>
    <n v="21683"/>
    <n v="18216"/>
    <m/>
    <m/>
    <n v="50192"/>
    <m/>
    <m/>
    <n v="46572"/>
    <m/>
    <m/>
    <m/>
    <m/>
    <n v="5547"/>
    <n v="6484"/>
    <n v="2043"/>
    <n v="2382"/>
    <m/>
    <m/>
    <n v="3504"/>
    <m/>
    <m/>
    <n v="4102"/>
    <m/>
    <m/>
    <m/>
    <m/>
  </r>
  <r>
    <x v="8"/>
    <s v="Mississippi Valley State University"/>
    <m/>
    <n v="176044"/>
    <x v="3"/>
    <n v="44044"/>
    <n v="39678"/>
    <n v="27314"/>
    <n v="23476"/>
    <n v="168"/>
    <m/>
    <n v="16151"/>
    <m/>
    <m/>
    <n v="15716"/>
    <m/>
    <m/>
    <n v="411"/>
    <n v="486"/>
    <n v="5147"/>
    <n v="5802"/>
    <n v="1692"/>
    <n v="1428"/>
    <n v="0"/>
    <m/>
    <n v="3329"/>
    <m/>
    <m/>
    <n v="4164"/>
    <m/>
    <m/>
    <n v="126"/>
    <n v="210"/>
  </r>
  <r>
    <x v="8"/>
    <s v="Hinds Community College "/>
    <m/>
    <n v="175786"/>
    <x v="5"/>
    <n v="257930"/>
    <n v="279721"/>
    <n v="153531"/>
    <n v="157853"/>
    <n v="21081"/>
    <n v="22737"/>
    <n v="83318"/>
    <m/>
    <m/>
    <n v="99131"/>
    <m/>
    <m/>
    <m/>
    <m/>
    <n v="0"/>
    <n v="0"/>
    <m/>
    <m/>
    <m/>
    <m/>
    <m/>
    <m/>
    <m/>
    <m/>
    <m/>
    <m/>
    <m/>
    <m/>
  </r>
  <r>
    <x v="8"/>
    <s v="Holmes Community College "/>
    <m/>
    <n v="175810"/>
    <x v="5"/>
    <n v="158082"/>
    <n v="148939"/>
    <n v="75470"/>
    <n v="75570"/>
    <n v="3664"/>
    <n v="4642"/>
    <n v="78948"/>
    <m/>
    <m/>
    <n v="68727"/>
    <m/>
    <m/>
    <m/>
    <m/>
    <n v="0"/>
    <n v="0"/>
    <m/>
    <m/>
    <m/>
    <m/>
    <m/>
    <m/>
    <m/>
    <m/>
    <m/>
    <m/>
    <m/>
    <m/>
  </r>
  <r>
    <x v="8"/>
    <s v="Mississippi Gulf Coast Community College "/>
    <m/>
    <n v="176071"/>
    <x v="5"/>
    <n v="185739"/>
    <n v="175419"/>
    <n v="71073"/>
    <n v="69612"/>
    <n v="18932"/>
    <n v="19787"/>
    <n v="95734"/>
    <m/>
    <m/>
    <n v="86020"/>
    <m/>
    <m/>
    <m/>
    <m/>
    <n v="0"/>
    <n v="0"/>
    <m/>
    <m/>
    <m/>
    <m/>
    <m/>
    <m/>
    <m/>
    <m/>
    <m/>
    <m/>
    <m/>
    <m/>
  </r>
  <r>
    <x v="8"/>
    <s v="Northwest Mississippi Community College "/>
    <m/>
    <n v="176178"/>
    <x v="5"/>
    <n v="182898"/>
    <n v="171370"/>
    <n v="111929"/>
    <n v="109734"/>
    <n v="8416"/>
    <n v="10255"/>
    <n v="62553"/>
    <m/>
    <m/>
    <n v="51381"/>
    <m/>
    <m/>
    <m/>
    <m/>
    <n v="0"/>
    <n v="0"/>
    <m/>
    <m/>
    <m/>
    <m/>
    <m/>
    <m/>
    <m/>
    <m/>
    <m/>
    <m/>
    <m/>
    <m/>
  </r>
  <r>
    <x v="8"/>
    <s v="Copiah-Lincoln Community College "/>
    <m/>
    <n v="175573"/>
    <x v="6"/>
    <n v="97644"/>
    <n v="117643"/>
    <n v="61262"/>
    <n v="82967"/>
    <n v="3332"/>
    <n v="3425"/>
    <n v="33050"/>
    <m/>
    <m/>
    <n v="31251"/>
    <m/>
    <m/>
    <m/>
    <m/>
    <n v="0"/>
    <n v="0"/>
    <m/>
    <m/>
    <m/>
    <m/>
    <m/>
    <m/>
    <m/>
    <m/>
    <m/>
    <m/>
    <m/>
    <m/>
  </r>
  <r>
    <x v="8"/>
    <s v="East Central Community College "/>
    <m/>
    <n v="175643"/>
    <x v="6"/>
    <n v="48997"/>
    <n v="54010"/>
    <n v="21114"/>
    <n v="28213"/>
    <n v="4207"/>
    <n v="4249"/>
    <n v="23676"/>
    <m/>
    <m/>
    <n v="21548"/>
    <m/>
    <m/>
    <m/>
    <m/>
    <n v="0"/>
    <n v="0"/>
    <m/>
    <m/>
    <m/>
    <m/>
    <m/>
    <m/>
    <m/>
    <m/>
    <m/>
    <m/>
    <m/>
    <m/>
  </r>
  <r>
    <x v="8"/>
    <s v="East Mississippi Community College "/>
    <m/>
    <n v="175652"/>
    <x v="6"/>
    <n v="61301"/>
    <n v="74197"/>
    <n v="21426"/>
    <n v="22371"/>
    <n v="5692"/>
    <n v="5612"/>
    <n v="34183"/>
    <m/>
    <m/>
    <n v="46214"/>
    <m/>
    <m/>
    <m/>
    <m/>
    <n v="0"/>
    <n v="0"/>
    <m/>
    <m/>
    <m/>
    <m/>
    <m/>
    <m/>
    <m/>
    <m/>
    <m/>
    <m/>
    <m/>
    <m/>
  </r>
  <r>
    <x v="8"/>
    <s v="Itawamba Community College "/>
    <m/>
    <n v="175829"/>
    <x v="6"/>
    <n v="114010"/>
    <n v="106442"/>
    <n v="53297"/>
    <n v="52295"/>
    <n v="4626"/>
    <n v="4498"/>
    <n v="56087"/>
    <m/>
    <m/>
    <n v="49649"/>
    <m/>
    <m/>
    <m/>
    <m/>
    <n v="0"/>
    <n v="0"/>
    <m/>
    <m/>
    <m/>
    <m/>
    <m/>
    <m/>
    <m/>
    <m/>
    <m/>
    <m/>
    <m/>
    <m/>
  </r>
  <r>
    <x v="8"/>
    <s v="Jones College"/>
    <m/>
    <n v="175883"/>
    <x v="6"/>
    <n v="115336"/>
    <n v="108560"/>
    <n v="85662"/>
    <n v="81507"/>
    <n v="0"/>
    <n v="0"/>
    <n v="29674"/>
    <m/>
    <m/>
    <n v="27053"/>
    <m/>
    <m/>
    <m/>
    <m/>
    <n v="0"/>
    <n v="0"/>
    <m/>
    <m/>
    <m/>
    <m/>
    <m/>
    <m/>
    <m/>
    <m/>
    <m/>
    <m/>
    <m/>
    <m/>
  </r>
  <r>
    <x v="8"/>
    <s v="Meridian Community College "/>
    <m/>
    <n v="175935"/>
    <x v="6"/>
    <n v="80786.5"/>
    <n v="64431.5"/>
    <n v="50133.5"/>
    <n v="36946.5"/>
    <n v="1141"/>
    <n v="1212"/>
    <n v="29512"/>
    <m/>
    <m/>
    <n v="26273"/>
    <m/>
    <m/>
    <m/>
    <m/>
    <n v="0"/>
    <n v="0"/>
    <m/>
    <m/>
    <m/>
    <m/>
    <m/>
    <m/>
    <m/>
    <m/>
    <m/>
    <m/>
    <m/>
    <m/>
  </r>
  <r>
    <x v="8"/>
    <s v="Mississippi Delta Community College "/>
    <m/>
    <n v="176008"/>
    <x v="6"/>
    <n v="62243"/>
    <n v="59140"/>
    <n v="42941"/>
    <n v="38301"/>
    <n v="3772"/>
    <n v="3258"/>
    <n v="15530"/>
    <m/>
    <m/>
    <n v="17581"/>
    <m/>
    <m/>
    <m/>
    <m/>
    <n v="0"/>
    <n v="0"/>
    <m/>
    <m/>
    <m/>
    <m/>
    <m/>
    <m/>
    <m/>
    <m/>
    <m/>
    <m/>
    <m/>
    <m/>
  </r>
  <r>
    <x v="8"/>
    <s v="Northeast Mississippi Community College "/>
    <m/>
    <n v="176169"/>
    <x v="6"/>
    <n v="86972"/>
    <n v="106893"/>
    <n v="57379"/>
    <n v="59308"/>
    <n v="0"/>
    <n v="0"/>
    <n v="29593"/>
    <m/>
    <m/>
    <n v="47585"/>
    <m/>
    <m/>
    <m/>
    <m/>
    <n v="0"/>
    <n v="0"/>
    <m/>
    <m/>
    <m/>
    <m/>
    <m/>
    <m/>
    <m/>
    <m/>
    <m/>
    <m/>
    <m/>
    <m/>
  </r>
  <r>
    <x v="8"/>
    <s v="Pearl River Community College "/>
    <m/>
    <n v="176239"/>
    <x v="6"/>
    <n v="143828"/>
    <n v="143418"/>
    <n v="90823"/>
    <n v="85532"/>
    <n v="3240"/>
    <n v="3366"/>
    <n v="49765"/>
    <m/>
    <m/>
    <n v="54520"/>
    <m/>
    <m/>
    <m/>
    <m/>
    <n v="0"/>
    <n v="0"/>
    <m/>
    <m/>
    <m/>
    <m/>
    <m/>
    <m/>
    <m/>
    <m/>
    <m/>
    <m/>
    <m/>
    <m/>
  </r>
  <r>
    <x v="8"/>
    <s v="Coahoma Community College "/>
    <m/>
    <n v="175519"/>
    <x v="7"/>
    <n v="46412"/>
    <n v="46739"/>
    <n v="27162"/>
    <n v="22232"/>
    <n v="129"/>
    <n v="148"/>
    <n v="19121"/>
    <m/>
    <m/>
    <n v="24359"/>
    <m/>
    <m/>
    <m/>
    <m/>
    <n v="0"/>
    <n v="0"/>
    <m/>
    <m/>
    <m/>
    <m/>
    <m/>
    <m/>
    <m/>
    <m/>
    <m/>
    <m/>
    <m/>
    <m/>
  </r>
  <r>
    <x v="8"/>
    <s v="Southwest Mississippi Community College"/>
    <m/>
    <n v="176354"/>
    <x v="7"/>
    <n v="57297"/>
    <n v="53251"/>
    <n v="36052"/>
    <n v="35357"/>
    <n v="0"/>
    <n v="0"/>
    <n v="21245"/>
    <m/>
    <m/>
    <n v="17894"/>
    <m/>
    <m/>
    <m/>
    <m/>
    <n v="0"/>
    <n v="0"/>
    <m/>
    <m/>
    <m/>
    <m/>
    <m/>
    <m/>
    <m/>
    <m/>
    <m/>
    <m/>
    <m/>
    <m/>
  </r>
  <r>
    <x v="9"/>
    <s v="North Carolina State University "/>
    <m/>
    <n v="199193"/>
    <x v="0"/>
    <n v="748338"/>
    <n v="742183"/>
    <n v="376034"/>
    <n v="330884"/>
    <n v="5684"/>
    <n v="5056"/>
    <n v="366620"/>
    <n v="0"/>
    <n v="0"/>
    <n v="406243"/>
    <n v="0"/>
    <n v="0"/>
    <m/>
    <m/>
    <n v="169350"/>
    <n v="168725.5"/>
    <n v="96770"/>
    <n v="92248"/>
    <n v="3286"/>
    <n v="2550"/>
    <n v="69294"/>
    <n v="0"/>
    <n v="0"/>
    <n v="73927.5"/>
    <n v="0"/>
    <n v="0"/>
    <m/>
    <m/>
  </r>
  <r>
    <x v="9"/>
    <s v="University of North Carolina at Chapel Hill "/>
    <m/>
    <n v="199120"/>
    <x v="0"/>
    <n v="564392"/>
    <n v="559222.5"/>
    <n v="246504"/>
    <n v="276928"/>
    <n v="1640"/>
    <n v="3661"/>
    <n v="316248"/>
    <n v="0"/>
    <n v="0"/>
    <n v="278633.5"/>
    <n v="0"/>
    <n v="0"/>
    <m/>
    <m/>
    <n v="188469"/>
    <n v="212897"/>
    <n v="100228"/>
    <n v="102031.75"/>
    <n v="1170"/>
    <n v="803.5"/>
    <n v="87026"/>
    <n v="45"/>
    <n v="0"/>
    <n v="110061.75"/>
    <n v="0"/>
    <n v="0"/>
    <m/>
    <m/>
  </r>
  <r>
    <x v="9"/>
    <s v="University of North Carolina at Charlotte"/>
    <m/>
    <n v="199139"/>
    <x v="0"/>
    <n v="690594"/>
    <n v="678521"/>
    <n v="337138"/>
    <n v="234843"/>
    <m/>
    <n v="0"/>
    <n v="353388"/>
    <n v="68"/>
    <n v="0"/>
    <n v="443660"/>
    <n v="18"/>
    <n v="0"/>
    <m/>
    <m/>
    <n v="93922"/>
    <n v="100373"/>
    <n v="43605"/>
    <n v="36037"/>
    <n v="0"/>
    <n v="0"/>
    <n v="50299"/>
    <n v="18"/>
    <n v="0"/>
    <n v="64321"/>
    <n v="15"/>
    <n v="0"/>
    <m/>
    <m/>
  </r>
  <r>
    <x v="9"/>
    <s v="University of North Carolina at Greensboro"/>
    <m/>
    <n v="199148"/>
    <x v="0"/>
    <n v="451281"/>
    <n v="425217"/>
    <n v="219440"/>
    <n v="154264"/>
    <n v="1265"/>
    <n v="995"/>
    <n v="230576"/>
    <n v="0"/>
    <n v="0"/>
    <n v="269958"/>
    <n v="0"/>
    <n v="0"/>
    <m/>
    <m/>
    <n v="61324"/>
    <n v="63859"/>
    <n v="26409"/>
    <n v="24560.5"/>
    <n v="3398"/>
    <n v="3337.5"/>
    <n v="31517"/>
    <n v="0"/>
    <n v="0"/>
    <n v="35961"/>
    <n v="0"/>
    <n v="0"/>
    <m/>
    <m/>
  </r>
  <r>
    <x v="9"/>
    <s v="East Carolina University "/>
    <m/>
    <n v="198464"/>
    <x v="1"/>
    <n v="633192"/>
    <n v="613685"/>
    <n v="307281"/>
    <n v="209845"/>
    <n v="2174"/>
    <n v="1471"/>
    <n v="323262"/>
    <n v="475"/>
    <n v="0"/>
    <n v="402010"/>
    <n v="359"/>
    <n v="0"/>
    <m/>
    <m/>
    <n v="89463"/>
    <n v="90058"/>
    <n v="23925"/>
    <n v="23252"/>
    <n v="684"/>
    <n v="1011"/>
    <n v="64796"/>
    <n v="58"/>
    <n v="0"/>
    <n v="65728"/>
    <n v="67"/>
    <n v="0"/>
    <m/>
    <m/>
  </r>
  <r>
    <x v="9"/>
    <s v="Appalachian State University "/>
    <m/>
    <n v="197869"/>
    <x v="2"/>
    <n v="538447"/>
    <n v="544613"/>
    <n v="242152"/>
    <n v="233009"/>
    <n v="2095"/>
    <n v="2420"/>
    <n v="294200"/>
    <n v="0"/>
    <n v="0"/>
    <n v="309184"/>
    <n v="0"/>
    <n v="0"/>
    <m/>
    <m/>
    <n v="35903"/>
    <n v="38856"/>
    <n v="12438"/>
    <n v="12490"/>
    <n v="602"/>
    <n v="88"/>
    <n v="22863"/>
    <n v="0"/>
    <n v="0"/>
    <n v="26278"/>
    <n v="0"/>
    <n v="0"/>
    <m/>
    <m/>
  </r>
  <r>
    <x v="9"/>
    <s v="North Carolina A&amp;T State University"/>
    <s v="Reclassifed: Met the criteria for Four-Year 2 in 2019-20 and 2020-21, and 2021-22"/>
    <n v="199102"/>
    <x v="1"/>
    <n v="318801"/>
    <n v="330796"/>
    <n v="170801"/>
    <n v="193396"/>
    <n v="106"/>
    <n v="56"/>
    <n v="147894"/>
    <n v="0"/>
    <n v="0"/>
    <n v="137344"/>
    <n v="0"/>
    <n v="0"/>
    <m/>
    <m/>
    <n v="26078"/>
    <n v="28045"/>
    <n v="11425"/>
    <n v="13133"/>
    <n v="384"/>
    <n v="1844"/>
    <n v="14269"/>
    <n v="0"/>
    <n v="0"/>
    <n v="13068"/>
    <n v="0"/>
    <n v="0"/>
    <m/>
    <m/>
  </r>
  <r>
    <x v="9"/>
    <s v="North Carolina Central University "/>
    <m/>
    <n v="199157"/>
    <x v="2"/>
    <n v="167214"/>
    <n v="161346"/>
    <n v="72208"/>
    <n v="66777.5"/>
    <n v="41557"/>
    <n v="38995.5"/>
    <n v="53449"/>
    <n v="0"/>
    <n v="0"/>
    <n v="55573"/>
    <n v="0"/>
    <n v="0"/>
    <m/>
    <m/>
    <n v="40293"/>
    <n v="42450"/>
    <n v="13806"/>
    <n v="13993.5"/>
    <n v="9167"/>
    <n v="12163.5"/>
    <n v="17320"/>
    <n v="0"/>
    <n v="0"/>
    <n v="16293"/>
    <n v="0"/>
    <n v="0"/>
    <m/>
    <m/>
  </r>
  <r>
    <x v="9"/>
    <s v="University of North Carolina at Wilmington"/>
    <m/>
    <n v="199218"/>
    <x v="2"/>
    <n v="420032"/>
    <n v="403292.5"/>
    <n v="159299"/>
    <n v="138266"/>
    <n v="4960"/>
    <n v="5127.5"/>
    <n v="255620"/>
    <n v="153"/>
    <n v="0"/>
    <n v="259368.5"/>
    <n v="530.5"/>
    <n v="0"/>
    <m/>
    <m/>
    <n v="53183"/>
    <n v="61190.5"/>
    <n v="9580"/>
    <n v="9878"/>
    <n v="944"/>
    <n v="1057"/>
    <n v="42659"/>
    <n v="0"/>
    <n v="0"/>
    <n v="49621.5"/>
    <n v="634"/>
    <n v="0"/>
    <m/>
    <m/>
  </r>
  <r>
    <x v="9"/>
    <s v="Western Carolina University "/>
    <m/>
    <n v="200004"/>
    <x v="2"/>
    <n v="289054"/>
    <n v="277790"/>
    <n v="136957"/>
    <n v="153637"/>
    <n v="978"/>
    <n v="1261"/>
    <n v="151113"/>
    <n v="6"/>
    <n v="0"/>
    <n v="122892"/>
    <n v="0"/>
    <n v="0"/>
    <m/>
    <m/>
    <n v="33839"/>
    <n v="35022"/>
    <n v="7432"/>
    <n v="9895"/>
    <n v="4898"/>
    <n v="5770"/>
    <n v="21509"/>
    <n v="0"/>
    <n v="0"/>
    <n v="19357"/>
    <n v="0"/>
    <n v="0"/>
    <m/>
    <m/>
  </r>
  <r>
    <x v="9"/>
    <s v="Fayetteville State University "/>
    <m/>
    <n v="198543"/>
    <x v="3"/>
    <n v="150073"/>
    <n v="144424"/>
    <n v="55535"/>
    <n v="32900"/>
    <n v="220"/>
    <n v="180"/>
    <n v="94288"/>
    <n v="30"/>
    <n v="0"/>
    <n v="99871"/>
    <n v="11473"/>
    <n v="0"/>
    <m/>
    <m/>
    <n v="17585"/>
    <n v="19259"/>
    <n v="3850"/>
    <n v="3857"/>
    <n v="0"/>
    <n v="0"/>
    <n v="13732"/>
    <n v="3"/>
    <n v="0"/>
    <n v="14657"/>
    <n v="745"/>
    <n v="0"/>
    <m/>
    <m/>
  </r>
  <r>
    <x v="9"/>
    <s v="University of North Carolina at Pembroke"/>
    <m/>
    <n v="199281"/>
    <x v="4"/>
    <n v="173315"/>
    <n v="169562"/>
    <n v="80625"/>
    <n v="73821"/>
    <n v="849"/>
    <n v="978"/>
    <n v="91819"/>
    <n v="22"/>
    <n v="0"/>
    <n v="94726"/>
    <n v="37"/>
    <n v="0"/>
    <m/>
    <m/>
    <n v="29760"/>
    <n v="36895"/>
    <n v="2882"/>
    <n v="3833"/>
    <n v="504"/>
    <n v="492"/>
    <n v="26371"/>
    <n v="3"/>
    <n v="0"/>
    <n v="32540"/>
    <n v="30"/>
    <n v="0"/>
    <m/>
    <m/>
  </r>
  <r>
    <x v="9"/>
    <s v="Winston-Salem State University "/>
    <m/>
    <n v="199999"/>
    <x v="4"/>
    <n v="134521"/>
    <n v="135148.5"/>
    <n v="64587"/>
    <n v="25227"/>
    <n v="115"/>
    <n v="70"/>
    <n v="63898"/>
    <n v="0"/>
    <n v="5921"/>
    <n v="106668.5"/>
    <n v="0"/>
    <n v="3183"/>
    <m/>
    <m/>
    <n v="10880"/>
    <n v="11786"/>
    <n v="3757"/>
    <n v="2191"/>
    <n v="168"/>
    <n v="56"/>
    <n v="5907"/>
    <n v="0"/>
    <n v="1048"/>
    <n v="8227"/>
    <n v="0"/>
    <n v="1312"/>
    <m/>
    <m/>
  </r>
  <r>
    <x v="9"/>
    <s v="Elizabeth City State University "/>
    <m/>
    <n v="198507"/>
    <x v="11"/>
    <n v="50671"/>
    <n v="54348"/>
    <n v="28209"/>
    <n v="27012"/>
    <n v="196"/>
    <n v="252"/>
    <n v="22152"/>
    <n v="114"/>
    <n v="0"/>
    <n v="27039"/>
    <n v="45"/>
    <n v="0"/>
    <m/>
    <m/>
    <n v="1578"/>
    <n v="1654"/>
    <n v="470"/>
    <n v="356"/>
    <n v="0"/>
    <n v="0"/>
    <n v="1108"/>
    <n v="0"/>
    <n v="0"/>
    <n v="1298"/>
    <n v="0"/>
    <n v="0"/>
    <m/>
    <m/>
  </r>
  <r>
    <x v="9"/>
    <s v="University of North Carolina at Asheville"/>
    <m/>
    <n v="199111"/>
    <x v="11"/>
    <n v="96139"/>
    <n v="90962"/>
    <n v="66128"/>
    <n v="56446"/>
    <n v="343"/>
    <n v="64"/>
    <n v="27613"/>
    <n v="2055"/>
    <n v="0"/>
    <n v="32795"/>
    <n v="1657"/>
    <n v="0"/>
    <m/>
    <m/>
    <n v="81"/>
    <n v="3"/>
    <n v="69"/>
    <n v="3"/>
    <n v="0"/>
    <n v="0"/>
    <n v="12"/>
    <n v="0"/>
    <n v="0"/>
    <n v="0"/>
    <n v="0"/>
    <n v="0"/>
    <m/>
    <m/>
  </r>
  <r>
    <x v="9"/>
    <s v="University of North Carolina School of the Arts"/>
    <m/>
    <n v="199184"/>
    <x v="10"/>
    <n v="26718"/>
    <n v="26646"/>
    <n v="21601"/>
    <n v="21516"/>
    <m/>
    <n v="0"/>
    <n v="5117"/>
    <n v="0"/>
    <n v="0"/>
    <n v="5130"/>
    <n v="0"/>
    <n v="0"/>
    <m/>
    <m/>
    <n v="3672"/>
    <n v="4020"/>
    <n v="3222"/>
    <n v="3549"/>
    <n v="0"/>
    <n v="0"/>
    <n v="450"/>
    <n v="0"/>
    <n v="0"/>
    <n v="471"/>
    <n v="0"/>
    <n v="0"/>
    <m/>
    <m/>
  </r>
  <r>
    <x v="9"/>
    <s v="Asheville-Buncombe Technical Community College"/>
    <s v="Met the criteria for Two-Year 2 in  2021-22"/>
    <n v="197887"/>
    <x v="5"/>
    <n v="125776"/>
    <n v="115929"/>
    <n v="60878"/>
    <n v="34281"/>
    <n v="8244"/>
    <n v="8406"/>
    <n v="56654"/>
    <n v="0"/>
    <n v="0"/>
    <n v="73242"/>
    <m/>
    <m/>
    <m/>
    <m/>
    <n v="0"/>
    <n v="0"/>
    <m/>
    <m/>
    <m/>
    <m/>
    <m/>
    <m/>
    <m/>
    <m/>
    <m/>
    <m/>
    <m/>
    <m/>
  </r>
  <r>
    <x v="9"/>
    <s v="Cape Fear Community College"/>
    <m/>
    <n v="198154"/>
    <x v="5"/>
    <n v="189160.5"/>
    <n v="186686.5"/>
    <n v="76476.5"/>
    <n v="65194.5"/>
    <n v="2735"/>
    <n v="296"/>
    <n v="109949"/>
    <n v="0"/>
    <n v="0"/>
    <n v="121196"/>
    <m/>
    <m/>
    <m/>
    <m/>
    <n v="0"/>
    <n v="0"/>
    <m/>
    <m/>
    <m/>
    <m/>
    <m/>
    <m/>
    <m/>
    <m/>
    <m/>
    <m/>
    <m/>
    <m/>
  </r>
  <r>
    <x v="9"/>
    <s v="Central Piedmont Community College "/>
    <m/>
    <n v="198260"/>
    <x v="5"/>
    <n v="383116.5"/>
    <n v="368097.5"/>
    <n v="122853.5"/>
    <n v="49126"/>
    <n v="3393"/>
    <n v="5676.5"/>
    <n v="256870"/>
    <n v="0"/>
    <n v="0"/>
    <n v="313295"/>
    <m/>
    <m/>
    <m/>
    <m/>
    <n v="0"/>
    <n v="0"/>
    <m/>
    <m/>
    <m/>
    <m/>
    <m/>
    <m/>
    <m/>
    <m/>
    <m/>
    <m/>
    <m/>
    <m/>
  </r>
  <r>
    <x v="9"/>
    <s v="Fayetteville Technical Community College"/>
    <m/>
    <n v="198534"/>
    <x v="5"/>
    <n v="239260"/>
    <n v="213334"/>
    <n v="69327"/>
    <n v="50501"/>
    <n v="0"/>
    <n v="1603"/>
    <n v="169933"/>
    <n v="0"/>
    <n v="0"/>
    <n v="161230"/>
    <m/>
    <m/>
    <m/>
    <m/>
    <n v="0"/>
    <n v="0"/>
    <m/>
    <m/>
    <m/>
    <m/>
    <m/>
    <m/>
    <m/>
    <m/>
    <m/>
    <m/>
    <m/>
    <m/>
  </r>
  <r>
    <x v="9"/>
    <s v="Forsyth Technical Community College"/>
    <m/>
    <n v="198552"/>
    <x v="5"/>
    <n v="163349"/>
    <n v="155762"/>
    <n v="59150"/>
    <n v="37564"/>
    <n v="4307"/>
    <n v="6011"/>
    <n v="99892"/>
    <n v="0"/>
    <n v="0"/>
    <n v="112187"/>
    <m/>
    <m/>
    <m/>
    <m/>
    <n v="0"/>
    <n v="0"/>
    <m/>
    <m/>
    <m/>
    <m/>
    <m/>
    <m/>
    <m/>
    <m/>
    <m/>
    <m/>
    <m/>
    <m/>
  </r>
  <r>
    <x v="9"/>
    <s v="Guilford Technical Community College"/>
    <m/>
    <n v="198622"/>
    <x v="5"/>
    <n v="227481.5"/>
    <n v="206540.5"/>
    <n v="88450.5"/>
    <n v="81244.399999999994"/>
    <n v="2988"/>
    <n v="3464.1"/>
    <n v="136043"/>
    <n v="0"/>
    <n v="0"/>
    <n v="121832"/>
    <m/>
    <m/>
    <m/>
    <m/>
    <n v="0"/>
    <n v="0"/>
    <m/>
    <m/>
    <m/>
    <m/>
    <m/>
    <m/>
    <m/>
    <m/>
    <m/>
    <m/>
    <m/>
    <m/>
  </r>
  <r>
    <x v="9"/>
    <s v="Pitt Community College"/>
    <m/>
    <n v="199333"/>
    <x v="5"/>
    <n v="171383"/>
    <n v="150564"/>
    <n v="48719"/>
    <n v="22817"/>
    <n v="7560"/>
    <n v="9039"/>
    <n v="115104"/>
    <n v="0"/>
    <n v="0"/>
    <n v="118708"/>
    <m/>
    <m/>
    <m/>
    <m/>
    <n v="0"/>
    <n v="0"/>
    <m/>
    <m/>
    <m/>
    <m/>
    <m/>
    <m/>
    <m/>
    <m/>
    <m/>
    <m/>
    <m/>
    <m/>
  </r>
  <r>
    <x v="9"/>
    <s v="Rowan-Cabarrus Community College"/>
    <s v="Met the criteria for Two-Year 2 in  2021-22"/>
    <n v="199494"/>
    <x v="5"/>
    <n v="130203"/>
    <n v="122169"/>
    <n v="44917"/>
    <n v="13540"/>
    <n v="9881"/>
    <n v="6592"/>
    <n v="75405"/>
    <n v="0"/>
    <n v="0"/>
    <n v="102037"/>
    <m/>
    <m/>
    <m/>
    <m/>
    <n v="0"/>
    <n v="0"/>
    <m/>
    <m/>
    <m/>
    <m/>
    <m/>
    <m/>
    <m/>
    <m/>
    <m/>
    <m/>
    <m/>
    <m/>
  </r>
  <r>
    <x v="9"/>
    <s v="Wake Technical Community College"/>
    <m/>
    <n v="199856"/>
    <x v="5"/>
    <n v="460892"/>
    <n v="444725"/>
    <n v="124907"/>
    <n v="74452"/>
    <n v="3735"/>
    <n v="5185"/>
    <n v="332250"/>
    <n v="0"/>
    <n v="0"/>
    <n v="365088"/>
    <m/>
    <m/>
    <m/>
    <m/>
    <n v="0"/>
    <n v="0"/>
    <m/>
    <m/>
    <m/>
    <m/>
    <m/>
    <m/>
    <m/>
    <m/>
    <m/>
    <m/>
    <m/>
    <m/>
  </r>
  <r>
    <x v="9"/>
    <s v="Alamance Community College"/>
    <m/>
    <n v="199786"/>
    <x v="6"/>
    <n v="86423.5"/>
    <n v="80618"/>
    <n v="23367.5"/>
    <n v="8893"/>
    <n v="2919"/>
    <n v="2031"/>
    <n v="60137"/>
    <n v="0"/>
    <n v="0"/>
    <n v="69694"/>
    <m/>
    <m/>
    <m/>
    <m/>
    <n v="0"/>
    <n v="0"/>
    <m/>
    <m/>
    <m/>
    <m/>
    <m/>
    <m/>
    <m/>
    <m/>
    <m/>
    <m/>
    <m/>
    <m/>
  </r>
  <r>
    <x v="9"/>
    <s v="Caldwell Community College &amp; Technical Institute"/>
    <m/>
    <n v="198118"/>
    <x v="6"/>
    <n v="77344"/>
    <n v="71999"/>
    <n v="20152"/>
    <n v="18216"/>
    <n v="3829"/>
    <n v="3650"/>
    <n v="53363"/>
    <n v="0"/>
    <n v="0"/>
    <n v="50133"/>
    <m/>
    <m/>
    <m/>
    <m/>
    <n v="0"/>
    <n v="0"/>
    <m/>
    <m/>
    <m/>
    <m/>
    <m/>
    <m/>
    <m/>
    <m/>
    <m/>
    <m/>
    <m/>
    <m/>
  </r>
  <r>
    <x v="9"/>
    <s v="Catawba Valley Community College"/>
    <m/>
    <n v="198233"/>
    <x v="6"/>
    <n v="94630"/>
    <n v="88148"/>
    <n v="27914"/>
    <n v="25223"/>
    <n v="12580"/>
    <n v="5475"/>
    <n v="54136"/>
    <n v="0"/>
    <n v="0"/>
    <n v="57450"/>
    <m/>
    <m/>
    <m/>
    <m/>
    <n v="0"/>
    <n v="0"/>
    <m/>
    <m/>
    <m/>
    <m/>
    <m/>
    <m/>
    <m/>
    <m/>
    <m/>
    <m/>
    <m/>
    <m/>
  </r>
  <r>
    <x v="9"/>
    <s v="Central Carolina Commuity College"/>
    <m/>
    <n v="198251"/>
    <x v="6"/>
    <n v="109789"/>
    <n v="99413"/>
    <n v="27689"/>
    <n v="22556"/>
    <n v="9838"/>
    <n v="4306"/>
    <n v="72262"/>
    <n v="0"/>
    <n v="0"/>
    <n v="72551"/>
    <m/>
    <m/>
    <m/>
    <m/>
    <n v="0"/>
    <n v="0"/>
    <m/>
    <m/>
    <m/>
    <m/>
    <m/>
    <m/>
    <m/>
    <m/>
    <m/>
    <m/>
    <m/>
    <m/>
  </r>
  <r>
    <x v="9"/>
    <s v="Cleveland Community College"/>
    <m/>
    <n v="198321"/>
    <x v="6"/>
    <n v="53586"/>
    <n v="51497"/>
    <n v="17098"/>
    <n v="14349"/>
    <n v="6795"/>
    <n v="6797"/>
    <n v="29693"/>
    <n v="0"/>
    <n v="0"/>
    <n v="30351"/>
    <m/>
    <m/>
    <m/>
    <m/>
    <n v="0"/>
    <n v="0"/>
    <m/>
    <m/>
    <m/>
    <m/>
    <m/>
    <m/>
    <m/>
    <m/>
    <m/>
    <m/>
    <m/>
    <m/>
  </r>
  <r>
    <x v="9"/>
    <s v="Coastal Carolina Community College "/>
    <m/>
    <n v="198330"/>
    <x v="6"/>
    <n v="87823"/>
    <n v="83642"/>
    <n v="39011"/>
    <n v="26806"/>
    <n v="4424"/>
    <n v="4471"/>
    <n v="44388"/>
    <n v="0"/>
    <n v="0"/>
    <n v="52365"/>
    <m/>
    <m/>
    <m/>
    <m/>
    <n v="0"/>
    <n v="0"/>
    <m/>
    <m/>
    <m/>
    <m/>
    <m/>
    <m/>
    <m/>
    <m/>
    <m/>
    <m/>
    <m/>
    <m/>
  </r>
  <r>
    <x v="9"/>
    <s v="Craven Community College "/>
    <m/>
    <n v="198367"/>
    <x v="6"/>
    <n v="58358"/>
    <n v="53435"/>
    <n v="12130"/>
    <n v="20910"/>
    <n v="12873"/>
    <n v="996"/>
    <n v="33355"/>
    <n v="0"/>
    <n v="0"/>
    <n v="31529"/>
    <m/>
    <m/>
    <m/>
    <m/>
    <n v="0"/>
    <n v="0"/>
    <m/>
    <m/>
    <m/>
    <m/>
    <m/>
    <m/>
    <m/>
    <m/>
    <m/>
    <m/>
    <m/>
    <m/>
  </r>
  <r>
    <x v="9"/>
    <s v="Davidson-Davie Community College"/>
    <s v="Met the criteria for Two-Year 1 in  2021-22"/>
    <n v="198376"/>
    <x v="6"/>
    <n v="76752"/>
    <n v="74927"/>
    <n v="33609"/>
    <n v="32556"/>
    <n v="2996"/>
    <n v="2614"/>
    <n v="40147"/>
    <n v="0"/>
    <n v="0"/>
    <n v="39757"/>
    <m/>
    <m/>
    <m/>
    <m/>
    <n v="0"/>
    <n v="0"/>
    <m/>
    <m/>
    <m/>
    <m/>
    <m/>
    <m/>
    <m/>
    <m/>
    <m/>
    <m/>
    <m/>
    <m/>
  </r>
  <r>
    <x v="9"/>
    <s v="Durham Technical Community College"/>
    <m/>
    <n v="198455"/>
    <x v="6"/>
    <n v="106093"/>
    <n v="96195"/>
    <n v="30662"/>
    <n v="12681"/>
    <n v="5173"/>
    <n v="6550"/>
    <n v="70258"/>
    <n v="0"/>
    <n v="0"/>
    <n v="76964"/>
    <m/>
    <m/>
    <m/>
    <m/>
    <n v="0"/>
    <n v="0"/>
    <m/>
    <m/>
    <m/>
    <m/>
    <m/>
    <m/>
    <m/>
    <m/>
    <m/>
    <m/>
    <m/>
    <m/>
  </r>
  <r>
    <x v="9"/>
    <s v="Gaston College "/>
    <m/>
    <n v="198570"/>
    <x v="6"/>
    <n v="106598"/>
    <n v="100664"/>
    <n v="29828"/>
    <n v="24090"/>
    <n v="804"/>
    <n v="1481"/>
    <n v="75966"/>
    <n v="0"/>
    <n v="0"/>
    <n v="75093"/>
    <m/>
    <m/>
    <m/>
    <m/>
    <n v="0"/>
    <n v="0"/>
    <m/>
    <m/>
    <m/>
    <m/>
    <m/>
    <m/>
    <m/>
    <m/>
    <m/>
    <m/>
    <m/>
    <m/>
  </r>
  <r>
    <x v="9"/>
    <s v="Johnston Community College"/>
    <m/>
    <n v="198774"/>
    <x v="6"/>
    <n v="86085"/>
    <n v="80717"/>
    <n v="27100"/>
    <n v="17821"/>
    <n v="3763"/>
    <n v="7173"/>
    <n v="55222"/>
    <n v="0"/>
    <n v="0"/>
    <n v="55723"/>
    <m/>
    <m/>
    <m/>
    <m/>
    <n v="0"/>
    <n v="0"/>
    <m/>
    <m/>
    <m/>
    <m/>
    <m/>
    <m/>
    <m/>
    <m/>
    <m/>
    <m/>
    <m/>
    <m/>
  </r>
  <r>
    <x v="9"/>
    <s v="Lenoir Community College "/>
    <m/>
    <n v="198817"/>
    <x v="6"/>
    <n v="51279"/>
    <n v="48602"/>
    <n v="14718"/>
    <n v="12291"/>
    <n v="1873"/>
    <n v="2080"/>
    <n v="34688"/>
    <n v="0"/>
    <n v="0"/>
    <n v="34231"/>
    <m/>
    <m/>
    <m/>
    <m/>
    <n v="0"/>
    <n v="0"/>
    <m/>
    <m/>
    <m/>
    <m/>
    <m/>
    <m/>
    <m/>
    <m/>
    <m/>
    <m/>
    <m/>
    <m/>
  </r>
  <r>
    <x v="9"/>
    <s v="Mitchell Community College "/>
    <m/>
    <n v="198987"/>
    <x v="6"/>
    <n v="60192.800000000003"/>
    <n v="57734.200000000019"/>
    <n v="23654.799999999999"/>
    <n v="9940.2000000000207"/>
    <n v="5303"/>
    <n v="2947"/>
    <n v="31235"/>
    <n v="0"/>
    <n v="0"/>
    <n v="44847"/>
    <m/>
    <m/>
    <m/>
    <m/>
    <n v="0"/>
    <n v="0"/>
    <m/>
    <m/>
    <m/>
    <m/>
    <m/>
    <m/>
    <m/>
    <m/>
    <m/>
    <m/>
    <m/>
    <m/>
  </r>
  <r>
    <x v="9"/>
    <s v="Nash Community College"/>
    <m/>
    <n v="199087"/>
    <x v="6"/>
    <n v="56033"/>
    <n v="52196"/>
    <n v="17542"/>
    <n v="11622"/>
    <n v="2116"/>
    <n v="2109"/>
    <n v="36375"/>
    <n v="0"/>
    <n v="0"/>
    <n v="38465"/>
    <m/>
    <m/>
    <m/>
    <m/>
    <n v="0"/>
    <n v="0"/>
    <m/>
    <m/>
    <m/>
    <m/>
    <m/>
    <m/>
    <m/>
    <m/>
    <m/>
    <m/>
    <m/>
    <m/>
  </r>
  <r>
    <x v="9"/>
    <s v="Randolph Community College"/>
    <s v="Met the criteria for Two-Year 3 in  2021-22"/>
    <n v="199421"/>
    <x v="6"/>
    <n v="53143"/>
    <n v="47734.7"/>
    <n v="16754"/>
    <n v="10993.7"/>
    <n v="850"/>
    <n v="1500"/>
    <n v="35539"/>
    <n v="0"/>
    <n v="0"/>
    <n v="35241"/>
    <m/>
    <m/>
    <m/>
    <m/>
    <n v="0"/>
    <n v="0"/>
    <m/>
    <m/>
    <m/>
    <m/>
    <m/>
    <m/>
    <m/>
    <m/>
    <m/>
    <m/>
    <m/>
    <m/>
  </r>
  <r>
    <x v="9"/>
    <s v="Richmond Community College"/>
    <s v="Met the criteria for Two-Year 3 in  2021-22"/>
    <n v="199449"/>
    <x v="6"/>
    <n v="47998.5"/>
    <n v="45459"/>
    <n v="23998.5"/>
    <n v="21425"/>
    <n v="231"/>
    <n v="433"/>
    <n v="23769"/>
    <n v="0"/>
    <n v="0"/>
    <n v="23601"/>
    <m/>
    <m/>
    <m/>
    <m/>
    <n v="0"/>
    <n v="0"/>
    <m/>
    <m/>
    <m/>
    <m/>
    <m/>
    <m/>
    <m/>
    <m/>
    <m/>
    <m/>
    <m/>
    <m/>
  </r>
  <r>
    <x v="9"/>
    <s v="Sandhills Community College "/>
    <m/>
    <n v="199634"/>
    <x v="6"/>
    <n v="83225"/>
    <n v="77983"/>
    <n v="25506"/>
    <n v="15567"/>
    <n v="2380"/>
    <n v="510"/>
    <n v="55339"/>
    <n v="0"/>
    <n v="0"/>
    <n v="61906"/>
    <m/>
    <m/>
    <m/>
    <m/>
    <n v="0"/>
    <n v="0"/>
    <m/>
    <m/>
    <m/>
    <m/>
    <m/>
    <m/>
    <m/>
    <m/>
    <m/>
    <m/>
    <m/>
    <m/>
  </r>
  <r>
    <x v="9"/>
    <s v="South Piedmont Community College"/>
    <m/>
    <n v="197850"/>
    <x v="6"/>
    <n v="51606"/>
    <n v="51609"/>
    <n v="16680"/>
    <n v="17019"/>
    <n v="1480"/>
    <n v="1551"/>
    <n v="33446"/>
    <n v="0"/>
    <n v="0"/>
    <n v="33039"/>
    <m/>
    <m/>
    <m/>
    <m/>
    <n v="0"/>
    <n v="0"/>
    <m/>
    <m/>
    <m/>
    <m/>
    <m/>
    <m/>
    <m/>
    <m/>
    <m/>
    <m/>
    <m/>
    <m/>
  </r>
  <r>
    <x v="9"/>
    <s v="Stanly Community College"/>
    <s v="Met the criteria for Two-Year 3 in  2021-22"/>
    <n v="199740"/>
    <x v="6"/>
    <n v="48314"/>
    <n v="44940"/>
    <n v="7936"/>
    <n v="7137"/>
    <n v="1369"/>
    <n v="844"/>
    <n v="39009"/>
    <n v="0"/>
    <n v="0"/>
    <n v="36959"/>
    <m/>
    <m/>
    <m/>
    <m/>
    <n v="0"/>
    <n v="0"/>
    <m/>
    <m/>
    <m/>
    <m/>
    <m/>
    <m/>
    <m/>
    <m/>
    <m/>
    <m/>
    <m/>
    <m/>
  </r>
  <r>
    <x v="9"/>
    <s v="Surry Community College "/>
    <m/>
    <n v="199768"/>
    <x v="6"/>
    <n v="63807"/>
    <n v="57452"/>
    <n v="29468"/>
    <n v="25764"/>
    <n v="1320"/>
    <n v="1429"/>
    <n v="33019"/>
    <n v="0"/>
    <n v="0"/>
    <n v="30259"/>
    <m/>
    <m/>
    <m/>
    <m/>
    <n v="0"/>
    <n v="0"/>
    <m/>
    <m/>
    <m/>
    <m/>
    <m/>
    <m/>
    <m/>
    <m/>
    <m/>
    <m/>
    <m/>
    <m/>
  </r>
  <r>
    <x v="9"/>
    <s v="Vance-Granville Community College "/>
    <m/>
    <n v="199838"/>
    <x v="6"/>
    <n v="57594"/>
    <n v="52540"/>
    <n v="11515"/>
    <n v="5170"/>
    <n v="857"/>
    <n v="628"/>
    <n v="45222"/>
    <n v="0"/>
    <n v="0"/>
    <n v="46742"/>
    <m/>
    <m/>
    <m/>
    <m/>
    <n v="0"/>
    <n v="0"/>
    <m/>
    <m/>
    <m/>
    <m/>
    <m/>
    <m/>
    <m/>
    <m/>
    <m/>
    <m/>
    <m/>
    <m/>
  </r>
  <r>
    <x v="9"/>
    <s v="Wayne Community College"/>
    <m/>
    <n v="199892"/>
    <x v="6"/>
    <n v="69015"/>
    <n v="63418"/>
    <n v="16384"/>
    <n v="6144"/>
    <n v="147"/>
    <n v="1250"/>
    <n v="52484"/>
    <n v="0"/>
    <n v="0"/>
    <n v="56024"/>
    <m/>
    <m/>
    <m/>
    <m/>
    <n v="0"/>
    <n v="0"/>
    <m/>
    <m/>
    <m/>
    <m/>
    <m/>
    <m/>
    <m/>
    <m/>
    <m/>
    <m/>
    <m/>
    <m/>
  </r>
  <r>
    <x v="9"/>
    <s v="Wilkes Community College "/>
    <m/>
    <n v="199926"/>
    <x v="6"/>
    <n v="53312"/>
    <n v="47858"/>
    <n v="15595"/>
    <n v="10482"/>
    <n v="7043"/>
    <n v="6523"/>
    <n v="30674"/>
    <n v="0"/>
    <n v="0"/>
    <n v="30853"/>
    <m/>
    <m/>
    <m/>
    <m/>
    <n v="0"/>
    <n v="0"/>
    <m/>
    <m/>
    <m/>
    <m/>
    <m/>
    <m/>
    <m/>
    <m/>
    <m/>
    <m/>
    <m/>
    <m/>
  </r>
  <r>
    <x v="9"/>
    <s v="Beaufort County Community College "/>
    <m/>
    <n v="197966"/>
    <x v="7"/>
    <n v="30327"/>
    <n v="32015"/>
    <n v="8565"/>
    <n v="10584"/>
    <n v="1325"/>
    <n v="2314"/>
    <n v="20437"/>
    <n v="0"/>
    <n v="0"/>
    <n v="19117"/>
    <m/>
    <m/>
    <m/>
    <m/>
    <n v="0"/>
    <n v="0"/>
    <m/>
    <m/>
    <m/>
    <m/>
    <m/>
    <m/>
    <m/>
    <m/>
    <m/>
    <m/>
    <m/>
    <m/>
  </r>
  <r>
    <x v="9"/>
    <s v="Bladen Community College"/>
    <m/>
    <n v="198011"/>
    <x v="7"/>
    <n v="25178"/>
    <n v="24198"/>
    <n v="6371"/>
    <n v="8380"/>
    <n v="176"/>
    <n v="437"/>
    <n v="18631"/>
    <n v="0"/>
    <n v="0"/>
    <n v="15381"/>
    <m/>
    <m/>
    <m/>
    <m/>
    <n v="0"/>
    <n v="0"/>
    <m/>
    <m/>
    <m/>
    <m/>
    <m/>
    <m/>
    <m/>
    <m/>
    <m/>
    <m/>
    <m/>
    <m/>
  </r>
  <r>
    <x v="9"/>
    <s v="Blue Ridge Community College"/>
    <m/>
    <n v="198039"/>
    <x v="7"/>
    <n v="45937"/>
    <n v="47713"/>
    <n v="17447"/>
    <n v="11984"/>
    <n v="2820"/>
    <n v="2341"/>
    <n v="25670"/>
    <n v="0"/>
    <n v="0"/>
    <n v="33388"/>
    <m/>
    <m/>
    <m/>
    <m/>
    <n v="0"/>
    <n v="0"/>
    <m/>
    <m/>
    <m/>
    <m/>
    <m/>
    <m/>
    <m/>
    <m/>
    <m/>
    <m/>
    <m/>
    <m/>
  </r>
  <r>
    <x v="9"/>
    <s v="Brunswick Community College"/>
    <m/>
    <n v="198084"/>
    <x v="7"/>
    <n v="33214"/>
    <n v="34627"/>
    <n v="8095"/>
    <n v="6207"/>
    <n v="820"/>
    <n v="238"/>
    <n v="24299"/>
    <n v="0"/>
    <n v="0"/>
    <n v="28182"/>
    <m/>
    <m/>
    <m/>
    <m/>
    <n v="0"/>
    <n v="0"/>
    <m/>
    <m/>
    <m/>
    <m/>
    <m/>
    <m/>
    <m/>
    <m/>
    <m/>
    <m/>
    <m/>
    <m/>
  </r>
  <r>
    <x v="9"/>
    <s v="Carteret Community College"/>
    <m/>
    <n v="198206"/>
    <x v="7"/>
    <n v="29328.5"/>
    <n v="31080"/>
    <n v="12878.5"/>
    <n v="12321"/>
    <n v="1127"/>
    <n v="0"/>
    <n v="15323"/>
    <n v="0"/>
    <n v="0"/>
    <n v="18759"/>
    <m/>
    <m/>
    <m/>
    <m/>
    <n v="0"/>
    <n v="0"/>
    <m/>
    <m/>
    <m/>
    <m/>
    <m/>
    <m/>
    <m/>
    <m/>
    <m/>
    <m/>
    <m/>
    <m/>
  </r>
  <r>
    <x v="9"/>
    <s v="College of The Albemarle"/>
    <m/>
    <n v="197814"/>
    <x v="7"/>
    <n v="52580"/>
    <n v="50259"/>
    <n v="11439"/>
    <n v="4157"/>
    <n v="3480"/>
    <n v="5241"/>
    <n v="37661"/>
    <n v="0"/>
    <n v="0"/>
    <n v="40861"/>
    <m/>
    <m/>
    <m/>
    <m/>
    <n v="0"/>
    <n v="0"/>
    <m/>
    <m/>
    <m/>
    <m/>
    <m/>
    <m/>
    <m/>
    <m/>
    <m/>
    <m/>
    <m/>
    <m/>
  </r>
  <r>
    <x v="9"/>
    <s v="Edgecombe Community College"/>
    <m/>
    <n v="198491"/>
    <x v="7"/>
    <n v="34505"/>
    <n v="31049"/>
    <n v="11159"/>
    <n v="9290"/>
    <n v="1750"/>
    <n v="1634"/>
    <n v="21596"/>
    <n v="0"/>
    <n v="0"/>
    <n v="20125"/>
    <m/>
    <m/>
    <m/>
    <m/>
    <n v="0"/>
    <n v="0"/>
    <m/>
    <m/>
    <m/>
    <m/>
    <m/>
    <m/>
    <m/>
    <m/>
    <m/>
    <m/>
    <m/>
    <m/>
  </r>
  <r>
    <x v="9"/>
    <s v="Halifax Community College "/>
    <m/>
    <n v="198640"/>
    <x v="7"/>
    <n v="19451"/>
    <n v="18026"/>
    <n v="7452"/>
    <n v="6376"/>
    <n v="1287"/>
    <n v="967"/>
    <n v="10712"/>
    <n v="0"/>
    <n v="0"/>
    <n v="10683"/>
    <m/>
    <m/>
    <m/>
    <m/>
    <n v="0"/>
    <n v="0"/>
    <m/>
    <m/>
    <m/>
    <m/>
    <m/>
    <m/>
    <m/>
    <m/>
    <m/>
    <m/>
    <m/>
    <m/>
  </r>
  <r>
    <x v="9"/>
    <s v="Haywood Community College"/>
    <m/>
    <n v="198668"/>
    <x v="7"/>
    <n v="30774"/>
    <n v="27386"/>
    <n v="8723"/>
    <n v="7452"/>
    <n v="2431"/>
    <n v="1566"/>
    <n v="19620"/>
    <n v="0"/>
    <n v="0"/>
    <n v="18368"/>
    <m/>
    <m/>
    <m/>
    <m/>
    <n v="0"/>
    <n v="0"/>
    <m/>
    <m/>
    <m/>
    <m/>
    <m/>
    <m/>
    <m/>
    <m/>
    <m/>
    <m/>
    <m/>
    <m/>
  </r>
  <r>
    <x v="9"/>
    <s v="Isothermal Community College "/>
    <m/>
    <n v="198710"/>
    <x v="7"/>
    <n v="45703"/>
    <n v="42089"/>
    <n v="11684"/>
    <n v="8575"/>
    <n v="3153"/>
    <n v="3597"/>
    <n v="30866"/>
    <n v="0"/>
    <n v="0"/>
    <n v="29917"/>
    <m/>
    <m/>
    <m/>
    <m/>
    <n v="0"/>
    <n v="0"/>
    <m/>
    <m/>
    <m/>
    <m/>
    <m/>
    <m/>
    <m/>
    <m/>
    <m/>
    <m/>
    <m/>
    <m/>
  </r>
  <r>
    <x v="9"/>
    <s v="James Sprunt Community College"/>
    <m/>
    <n v="198729"/>
    <x v="7"/>
    <n v="25678"/>
    <n v="26029"/>
    <n v="5636"/>
    <n v="4675"/>
    <n v="439"/>
    <n v="99"/>
    <n v="19603"/>
    <n v="0"/>
    <n v="0"/>
    <n v="21255"/>
    <m/>
    <m/>
    <m/>
    <m/>
    <n v="0"/>
    <n v="0"/>
    <m/>
    <m/>
    <m/>
    <m/>
    <m/>
    <m/>
    <m/>
    <m/>
    <m/>
    <m/>
    <m/>
    <m/>
  </r>
  <r>
    <x v="9"/>
    <s v="Martin Community College "/>
    <m/>
    <n v="198905"/>
    <x v="7"/>
    <n v="17669"/>
    <n v="15093"/>
    <n v="4926"/>
    <n v="3778"/>
    <n v="200"/>
    <n v="263"/>
    <n v="12543"/>
    <n v="0"/>
    <n v="0"/>
    <n v="11052"/>
    <m/>
    <m/>
    <m/>
    <m/>
    <n v="0"/>
    <n v="0"/>
    <m/>
    <m/>
    <m/>
    <m/>
    <m/>
    <m/>
    <m/>
    <m/>
    <m/>
    <m/>
    <m/>
    <m/>
  </r>
  <r>
    <x v="9"/>
    <s v="Mayland Community College"/>
    <m/>
    <n v="198914"/>
    <x v="7"/>
    <n v="17904"/>
    <n v="16336"/>
    <n v="5755"/>
    <n v="4201"/>
    <n v="1595"/>
    <n v="1296"/>
    <n v="10554"/>
    <n v="0"/>
    <n v="0"/>
    <n v="10839"/>
    <m/>
    <m/>
    <m/>
    <m/>
    <n v="0"/>
    <n v="0"/>
    <m/>
    <m/>
    <m/>
    <m/>
    <m/>
    <m/>
    <m/>
    <m/>
    <m/>
    <m/>
    <m/>
    <m/>
  </r>
  <r>
    <x v="9"/>
    <s v="McDowell Technical Community College"/>
    <m/>
    <n v="198923"/>
    <x v="7"/>
    <n v="20665"/>
    <n v="20418"/>
    <n v="8747"/>
    <n v="8974"/>
    <n v="42"/>
    <n v="0"/>
    <n v="11876"/>
    <n v="0"/>
    <n v="0"/>
    <n v="11444"/>
    <m/>
    <m/>
    <m/>
    <m/>
    <n v="0"/>
    <n v="0"/>
    <m/>
    <m/>
    <m/>
    <m/>
    <m/>
    <m/>
    <m/>
    <m/>
    <m/>
    <m/>
    <m/>
    <m/>
  </r>
  <r>
    <x v="9"/>
    <s v="Montgomery Community College"/>
    <m/>
    <n v="199023"/>
    <x v="7"/>
    <n v="17392"/>
    <n v="15420"/>
    <n v="9421"/>
    <n v="9279"/>
    <n v="667"/>
    <n v="263"/>
    <n v="7304"/>
    <n v="0"/>
    <n v="0"/>
    <n v="5878"/>
    <m/>
    <m/>
    <m/>
    <m/>
    <n v="0"/>
    <n v="0"/>
    <m/>
    <m/>
    <m/>
    <m/>
    <m/>
    <m/>
    <m/>
    <m/>
    <m/>
    <m/>
    <m/>
    <m/>
  </r>
  <r>
    <x v="9"/>
    <s v="Pamlico Community College"/>
    <m/>
    <n v="199263"/>
    <x v="7"/>
    <n v="11055"/>
    <n v="6671"/>
    <n v="968"/>
    <n v="900"/>
    <n v="4233"/>
    <n v="950"/>
    <n v="5854"/>
    <n v="0"/>
    <n v="0"/>
    <n v="4821"/>
    <m/>
    <m/>
    <m/>
    <m/>
    <n v="0"/>
    <n v="0"/>
    <m/>
    <m/>
    <m/>
    <m/>
    <m/>
    <m/>
    <m/>
    <m/>
    <m/>
    <m/>
    <m/>
    <m/>
  </r>
  <r>
    <x v="9"/>
    <s v="Piedmont Community College"/>
    <m/>
    <n v="199324"/>
    <x v="7"/>
    <n v="24460.5"/>
    <n v="22661"/>
    <n v="10449.5"/>
    <n v="7955"/>
    <n v="106"/>
    <n v="82"/>
    <n v="13905"/>
    <n v="0"/>
    <n v="0"/>
    <n v="14624"/>
    <m/>
    <m/>
    <m/>
    <m/>
    <n v="0"/>
    <n v="0"/>
    <m/>
    <m/>
    <m/>
    <m/>
    <m/>
    <m/>
    <m/>
    <m/>
    <m/>
    <m/>
    <m/>
    <m/>
  </r>
  <r>
    <x v="9"/>
    <s v="Roanoke-Chowan Community College"/>
    <m/>
    <n v="199467"/>
    <x v="7"/>
    <n v="10352"/>
    <n v="10849"/>
    <n v="3063"/>
    <n v="3270"/>
    <n v="11"/>
    <n v="59"/>
    <n v="7278"/>
    <n v="0"/>
    <n v="0"/>
    <n v="7520"/>
    <m/>
    <m/>
    <m/>
    <m/>
    <n v="0"/>
    <n v="0"/>
    <m/>
    <m/>
    <m/>
    <m/>
    <m/>
    <m/>
    <m/>
    <m/>
    <m/>
    <m/>
    <m/>
    <m/>
  </r>
  <r>
    <x v="9"/>
    <s v="Robeson Community College"/>
    <s v="Met the criteria for Two-Year 2 in 2020-21 and 2021-22"/>
    <n v="199476"/>
    <x v="7"/>
    <n v="41285"/>
    <n v="39906"/>
    <n v="15757"/>
    <n v="13902"/>
    <n v="541"/>
    <n v="522"/>
    <n v="24987"/>
    <n v="0"/>
    <n v="0"/>
    <n v="25482"/>
    <m/>
    <m/>
    <m/>
    <m/>
    <n v="0"/>
    <n v="0"/>
    <m/>
    <m/>
    <m/>
    <m/>
    <m/>
    <m/>
    <m/>
    <m/>
    <m/>
    <m/>
    <m/>
    <m/>
  </r>
  <r>
    <x v="9"/>
    <s v="Rockingham Community College "/>
    <m/>
    <n v="199485"/>
    <x v="7"/>
    <n v="36900"/>
    <n v="32833"/>
    <n v="15132"/>
    <n v="11677"/>
    <n v="737"/>
    <n v="617"/>
    <n v="21031"/>
    <n v="0"/>
    <n v="0"/>
    <n v="20539"/>
    <m/>
    <m/>
    <m/>
    <m/>
    <n v="0"/>
    <n v="0"/>
    <m/>
    <m/>
    <m/>
    <m/>
    <m/>
    <m/>
    <m/>
    <m/>
    <m/>
    <m/>
    <m/>
    <m/>
  </r>
  <r>
    <x v="9"/>
    <s v="Sampson Community College"/>
    <m/>
    <n v="199625"/>
    <x v="7"/>
    <n v="37544"/>
    <n v="36898"/>
    <n v="8295"/>
    <n v="4853"/>
    <n v="43"/>
    <n v="75"/>
    <n v="29206"/>
    <n v="0"/>
    <n v="0"/>
    <n v="31970"/>
    <m/>
    <m/>
    <m/>
    <m/>
    <n v="0"/>
    <n v="0"/>
    <m/>
    <m/>
    <m/>
    <m/>
    <m/>
    <m/>
    <m/>
    <m/>
    <m/>
    <m/>
    <m/>
    <m/>
  </r>
  <r>
    <x v="9"/>
    <s v="Southeastern Community College "/>
    <m/>
    <n v="199722"/>
    <x v="7"/>
    <n v="29888"/>
    <n v="26234"/>
    <n v="9777"/>
    <n v="7468"/>
    <n v="712"/>
    <n v="405"/>
    <n v="19399"/>
    <n v="0"/>
    <n v="0"/>
    <n v="18361"/>
    <m/>
    <m/>
    <m/>
    <m/>
    <n v="0"/>
    <n v="0"/>
    <m/>
    <m/>
    <m/>
    <m/>
    <m/>
    <m/>
    <m/>
    <m/>
    <m/>
    <m/>
    <m/>
    <m/>
  </r>
  <r>
    <x v="9"/>
    <s v="Southwestern Community College "/>
    <m/>
    <n v="199731"/>
    <x v="7"/>
    <n v="44668"/>
    <n v="43322"/>
    <n v="17649"/>
    <n v="14791"/>
    <n v="1451"/>
    <n v="1112"/>
    <n v="25568"/>
    <n v="0"/>
    <n v="0"/>
    <n v="27419"/>
    <m/>
    <m/>
    <m/>
    <m/>
    <n v="0"/>
    <n v="0"/>
    <m/>
    <m/>
    <m/>
    <m/>
    <m/>
    <m/>
    <m/>
    <m/>
    <m/>
    <m/>
    <m/>
    <m/>
  </r>
  <r>
    <x v="9"/>
    <s v="Tri-County Community College "/>
    <m/>
    <n v="199795"/>
    <x v="7"/>
    <n v="23541"/>
    <n v="22599"/>
    <n v="5733"/>
    <n v="4611"/>
    <n v="1541"/>
    <n v="2460"/>
    <n v="16267"/>
    <n v="0"/>
    <n v="0"/>
    <n v="15528"/>
    <m/>
    <m/>
    <m/>
    <m/>
    <n v="0"/>
    <n v="0"/>
    <m/>
    <m/>
    <m/>
    <m/>
    <m/>
    <m/>
    <m/>
    <m/>
    <m/>
    <m/>
    <m/>
    <m/>
  </r>
  <r>
    <x v="9"/>
    <s v="Western Piedmont Community College "/>
    <m/>
    <n v="199908"/>
    <x v="7"/>
    <n v="40876"/>
    <n v="37033"/>
    <n v="7514"/>
    <n v="10654"/>
    <n v="7486"/>
    <n v="1178"/>
    <n v="25876"/>
    <n v="0"/>
    <n v="0"/>
    <n v="25201"/>
    <m/>
    <m/>
    <m/>
    <m/>
    <n v="0"/>
    <n v="0"/>
    <m/>
    <m/>
    <m/>
    <m/>
    <m/>
    <m/>
    <m/>
    <m/>
    <m/>
    <m/>
    <m/>
    <m/>
  </r>
  <r>
    <x v="9"/>
    <s v="Wilson Community College"/>
    <m/>
    <n v="199953"/>
    <x v="7"/>
    <n v="35979.5"/>
    <n v="33874.5"/>
    <n v="7898.5"/>
    <n v="5916.5"/>
    <n v="1412"/>
    <n v="809"/>
    <n v="26669"/>
    <n v="0"/>
    <n v="0"/>
    <n v="27149"/>
    <m/>
    <m/>
    <m/>
    <m/>
    <n v="0"/>
    <n v="0"/>
    <m/>
    <m/>
    <m/>
    <m/>
    <m/>
    <m/>
    <m/>
    <m/>
    <m/>
    <m/>
    <m/>
    <m/>
  </r>
  <r>
    <x v="10"/>
    <m/>
    <m/>
    <m/>
    <x v="13"/>
    <n v="0"/>
    <n v="0"/>
    <m/>
    <m/>
    <m/>
    <m/>
    <m/>
    <m/>
    <m/>
    <m/>
    <m/>
    <m/>
    <m/>
    <m/>
    <n v="0"/>
    <n v="0"/>
    <m/>
    <m/>
    <m/>
    <m/>
    <m/>
    <m/>
    <m/>
    <m/>
    <m/>
    <m/>
    <m/>
    <m/>
  </r>
  <r>
    <x v="10"/>
    <m/>
    <m/>
    <m/>
    <x v="13"/>
    <n v="0"/>
    <n v="0"/>
    <m/>
    <m/>
    <m/>
    <m/>
    <m/>
    <m/>
    <m/>
    <m/>
    <m/>
    <m/>
    <m/>
    <m/>
    <n v="0"/>
    <n v="0"/>
    <m/>
    <m/>
    <m/>
    <m/>
    <m/>
    <m/>
    <m/>
    <m/>
    <m/>
    <m/>
    <m/>
    <m/>
  </r>
  <r>
    <x v="11"/>
    <s v="Clemson University"/>
    <m/>
    <n v="217882"/>
    <x v="0"/>
    <n v="635293"/>
    <n v="656889"/>
    <n v="442126"/>
    <n v="388437"/>
    <n v="8621"/>
    <n v="10716"/>
    <n v="184546"/>
    <m/>
    <m/>
    <n v="257736"/>
    <m/>
    <m/>
    <m/>
    <m/>
    <n v="96995"/>
    <n v="97108"/>
    <n v="36682"/>
    <n v="36431"/>
    <n v="16683"/>
    <n v="19212"/>
    <n v="43630"/>
    <m/>
    <m/>
    <n v="41465"/>
    <m/>
    <m/>
    <m/>
    <m/>
  </r>
  <r>
    <x v="11"/>
    <s v="University of South Carolina-Columbia"/>
    <m/>
    <n v="218663"/>
    <x v="0"/>
    <n v="846368"/>
    <n v="826984"/>
    <n v="387849"/>
    <n v="378154"/>
    <n v="10170"/>
    <n v="4697"/>
    <n v="448323"/>
    <n v="26"/>
    <m/>
    <n v="443725"/>
    <n v="30"/>
    <n v="378"/>
    <m/>
    <m/>
    <n v="170036"/>
    <n v="178621"/>
    <n v="91422"/>
    <n v="103962"/>
    <n v="3282"/>
    <n v="1326"/>
    <n v="68757"/>
    <n v="6575"/>
    <m/>
    <n v="66857"/>
    <n v="6462"/>
    <n v="14"/>
    <m/>
    <m/>
  </r>
  <r>
    <x v="11"/>
    <s v="College of Charleston"/>
    <m/>
    <n v="217819"/>
    <x v="2"/>
    <n v="280124"/>
    <n v="283771"/>
    <n v="186173"/>
    <n v="161579"/>
    <n v="4389"/>
    <n v="4446"/>
    <n v="89562"/>
    <m/>
    <m/>
    <n v="117746"/>
    <m/>
    <m/>
    <m/>
    <m/>
    <n v="16449"/>
    <n v="15943"/>
    <n v="4889"/>
    <n v="5159"/>
    <n v="843"/>
    <n v="564"/>
    <n v="10717"/>
    <m/>
    <m/>
    <n v="10220"/>
    <m/>
    <m/>
    <m/>
    <m/>
  </r>
  <r>
    <x v="11"/>
    <s v="The Citadel, the Military College of South Carolina "/>
    <m/>
    <n v="217864"/>
    <x v="2"/>
    <n v="98265"/>
    <n v="94963"/>
    <n v="90532"/>
    <n v="81875"/>
    <n v="158"/>
    <n v="111"/>
    <n v="7575"/>
    <m/>
    <m/>
    <n v="12977"/>
    <m/>
    <m/>
    <m/>
    <m/>
    <n v="14825"/>
    <n v="17135"/>
    <n v="5755"/>
    <n v="5633"/>
    <n v="381"/>
    <n v="585"/>
    <n v="8689"/>
    <m/>
    <m/>
    <n v="10917"/>
    <m/>
    <m/>
    <m/>
    <m/>
  </r>
  <r>
    <x v="11"/>
    <s v="Winthrop University "/>
    <m/>
    <n v="218964"/>
    <x v="2"/>
    <n v="134935"/>
    <n v="122650"/>
    <n v="78192"/>
    <n v="68423"/>
    <n v="1379"/>
    <n v="1166"/>
    <n v="55364"/>
    <m/>
    <m/>
    <n v="53061"/>
    <m/>
    <m/>
    <m/>
    <m/>
    <n v="16735"/>
    <n v="18205"/>
    <n v="4440"/>
    <n v="4915"/>
    <n v="440"/>
    <n v="326"/>
    <n v="11855"/>
    <m/>
    <m/>
    <n v="12964"/>
    <m/>
    <m/>
    <m/>
    <m/>
  </r>
  <r>
    <x v="11"/>
    <s v="Coastal Carolina University"/>
    <m/>
    <n v="218724"/>
    <x v="3"/>
    <n v="283480"/>
    <n v="282684"/>
    <n v="214772"/>
    <n v="178813"/>
    <n v="1373"/>
    <n v="742"/>
    <n v="67335"/>
    <m/>
    <m/>
    <n v="103129"/>
    <m/>
    <m/>
    <m/>
    <m/>
    <n v="12670"/>
    <n v="12629"/>
    <n v="4267"/>
    <n v="3898"/>
    <n v="510"/>
    <n v="20"/>
    <n v="7893"/>
    <m/>
    <m/>
    <n v="8711"/>
    <m/>
    <m/>
    <m/>
    <m/>
  </r>
  <r>
    <x v="11"/>
    <s v="Francis Marion University "/>
    <m/>
    <n v="218061"/>
    <x v="4"/>
    <n v="90676"/>
    <n v="86858"/>
    <n v="66493"/>
    <n v="61381"/>
    <n v="4721"/>
    <n v="2660"/>
    <n v="19462"/>
    <m/>
    <m/>
    <n v="22817"/>
    <m/>
    <m/>
    <m/>
    <m/>
    <n v="11755"/>
    <n v="9042"/>
    <n v="4391"/>
    <n v="2965"/>
    <n v="822"/>
    <n v="72"/>
    <n v="6542"/>
    <m/>
    <m/>
    <n v="6005"/>
    <m/>
    <m/>
    <m/>
    <m/>
  </r>
  <r>
    <x v="11"/>
    <s v="South Carolina State University "/>
    <m/>
    <n v="218733"/>
    <x v="4"/>
    <n v="58908"/>
    <n v="55203"/>
    <n v="48890"/>
    <n v="46578"/>
    <m/>
    <m/>
    <n v="10018"/>
    <m/>
    <m/>
    <n v="8625"/>
    <m/>
    <m/>
    <m/>
    <m/>
    <n v="5561"/>
    <n v="5823"/>
    <n v="3313"/>
    <n v="3744"/>
    <m/>
    <n v="10"/>
    <n v="2248"/>
    <m/>
    <m/>
    <n v="2069"/>
    <m/>
    <m/>
    <m/>
    <m/>
  </r>
  <r>
    <x v="11"/>
    <s v="Lander University"/>
    <s v="Met the criteria for Four-Year 5 in 2021-22"/>
    <n v="218229"/>
    <x v="11"/>
    <n v="94947"/>
    <n v="99783.5"/>
    <n v="68525"/>
    <n v="71925"/>
    <n v="231"/>
    <n v="309"/>
    <n v="26191"/>
    <m/>
    <m/>
    <n v="27549.5"/>
    <m/>
    <m/>
    <m/>
    <m/>
    <n v="2168"/>
    <n v="3359"/>
    <n v="105"/>
    <n v="362"/>
    <n v="66"/>
    <n v="117"/>
    <n v="1997"/>
    <m/>
    <m/>
    <n v="2880"/>
    <m/>
    <m/>
    <m/>
    <m/>
  </r>
  <r>
    <x v="11"/>
    <s v="University of South Carolina-Aiken"/>
    <s v="Reclassified Met the criteria for Four-Year 5 in 2019-20 and 2020-21, and 2021, 22"/>
    <n v="218645"/>
    <x v="4"/>
    <n v="88250"/>
    <n v="85808"/>
    <n v="38770"/>
    <n v="37005"/>
    <n v="2938"/>
    <n v="3175"/>
    <n v="46542"/>
    <m/>
    <m/>
    <n v="45628"/>
    <m/>
    <m/>
    <m/>
    <m/>
    <n v="5233"/>
    <n v="9711"/>
    <n v="210"/>
    <n v="417"/>
    <m/>
    <m/>
    <n v="5023"/>
    <m/>
    <m/>
    <n v="9294"/>
    <m/>
    <m/>
    <m/>
    <m/>
  </r>
  <r>
    <x v="11"/>
    <s v="University of South Carolina-Beaufort"/>
    <m/>
    <n v="218654"/>
    <x v="11"/>
    <n v="57500"/>
    <n v="54544"/>
    <n v="28495"/>
    <n v="24121"/>
    <n v="2287"/>
    <n v="803"/>
    <n v="26718"/>
    <m/>
    <m/>
    <n v="29271"/>
    <n v="349"/>
    <m/>
    <m/>
    <m/>
    <n v="15"/>
    <n v="18"/>
    <n v="15"/>
    <n v="18"/>
    <m/>
    <m/>
    <m/>
    <m/>
    <m/>
    <m/>
    <m/>
    <m/>
    <m/>
    <m/>
  </r>
  <r>
    <x v="11"/>
    <s v="University of South Carolina-Upstate"/>
    <s v="Met the criteria for Four-Year 5 in 2021-22"/>
    <n v="218742"/>
    <x v="11"/>
    <n v="144446"/>
    <n v="138132"/>
    <n v="51603"/>
    <n v="32345"/>
    <n v="5438"/>
    <n v="3462"/>
    <n v="87405"/>
    <m/>
    <m/>
    <n v="99868"/>
    <n v="2457"/>
    <m/>
    <m/>
    <m/>
    <n v="6643"/>
    <n v="6641"/>
    <n v="2341"/>
    <n v="114"/>
    <n v="54"/>
    <m/>
    <n v="4248"/>
    <m/>
    <m/>
    <n v="6527"/>
    <m/>
    <m/>
    <m/>
    <m/>
  </r>
  <r>
    <x v="11"/>
    <s v="Greenville Technical College "/>
    <m/>
    <n v="218113"/>
    <x v="5"/>
    <n v="223915"/>
    <n v="207283"/>
    <n v="72880"/>
    <n v="38523"/>
    <n v="9502"/>
    <n v="11238"/>
    <n v="141533"/>
    <m/>
    <m/>
    <n v="157522"/>
    <m/>
    <m/>
    <m/>
    <m/>
    <n v="0"/>
    <n v="0"/>
    <m/>
    <m/>
    <m/>
    <m/>
    <m/>
    <m/>
    <m/>
    <m/>
    <m/>
    <m/>
    <m/>
    <m/>
  </r>
  <r>
    <x v="11"/>
    <s v="Horry-Georgetown Technical College "/>
    <s v="Met the criteria for Two-Year 2 in 2020-21, and 2021-22"/>
    <n v="218140"/>
    <x v="5"/>
    <n v="148653"/>
    <n v="143590"/>
    <n v="68821"/>
    <n v="46574"/>
    <n v="20723"/>
    <n v="3235"/>
    <n v="59109"/>
    <m/>
    <m/>
    <n v="93781"/>
    <m/>
    <m/>
    <m/>
    <m/>
    <n v="0"/>
    <n v="0"/>
    <m/>
    <m/>
    <m/>
    <m/>
    <m/>
    <m/>
    <m/>
    <m/>
    <m/>
    <m/>
    <m/>
    <m/>
  </r>
  <r>
    <x v="11"/>
    <s v="Midlands Technical College "/>
    <m/>
    <n v="218353"/>
    <x v="5"/>
    <n v="197166"/>
    <n v="188027"/>
    <n v="74937"/>
    <n v="42791"/>
    <n v="15404"/>
    <n v="12766"/>
    <n v="106825"/>
    <m/>
    <m/>
    <n v="132470"/>
    <m/>
    <m/>
    <m/>
    <m/>
    <n v="0"/>
    <n v="0"/>
    <m/>
    <m/>
    <m/>
    <m/>
    <m/>
    <m/>
    <m/>
    <m/>
    <m/>
    <m/>
    <m/>
    <m/>
  </r>
  <r>
    <x v="11"/>
    <s v="Trident Technical College "/>
    <m/>
    <n v="218894"/>
    <x v="5"/>
    <n v="246575"/>
    <n v="233583"/>
    <n v="35746"/>
    <n v="20895"/>
    <n v="10549"/>
    <n v="14158"/>
    <n v="200280"/>
    <m/>
    <m/>
    <n v="198530"/>
    <m/>
    <m/>
    <m/>
    <m/>
    <n v="0"/>
    <n v="0"/>
    <m/>
    <m/>
    <m/>
    <m/>
    <m/>
    <m/>
    <m/>
    <m/>
    <m/>
    <m/>
    <m/>
    <m/>
  </r>
  <r>
    <x v="11"/>
    <s v="Central Carolina Technical College "/>
    <s v="Met the criteria for Two-Year 3 in 2021-22"/>
    <n v="218858"/>
    <x v="6"/>
    <n v="65661"/>
    <n v="57633"/>
    <n v="23457"/>
    <n v="10535"/>
    <n v="6987"/>
    <n v="10667"/>
    <n v="35217"/>
    <m/>
    <m/>
    <n v="36431"/>
    <m/>
    <m/>
    <m/>
    <m/>
    <n v="0"/>
    <n v="0"/>
    <m/>
    <m/>
    <m/>
    <m/>
    <m/>
    <m/>
    <m/>
    <m/>
    <m/>
    <m/>
    <m/>
    <m/>
  </r>
  <r>
    <x v="11"/>
    <s v="Florence-Darlington Technical College "/>
    <m/>
    <n v="218025"/>
    <x v="6"/>
    <n v="71082"/>
    <n v="60547"/>
    <n v="25544"/>
    <n v="22063"/>
    <n v="3920"/>
    <n v="4245"/>
    <n v="40424"/>
    <n v="1194"/>
    <m/>
    <n v="32970"/>
    <n v="1269"/>
    <m/>
    <m/>
    <m/>
    <n v="0"/>
    <n v="0"/>
    <m/>
    <m/>
    <m/>
    <m/>
    <m/>
    <m/>
    <m/>
    <m/>
    <m/>
    <m/>
    <m/>
    <m/>
  </r>
  <r>
    <x v="11"/>
    <s v="Piedmont Technical College "/>
    <m/>
    <n v="218520"/>
    <x v="6"/>
    <n v="106149"/>
    <n v="98809"/>
    <n v="20122"/>
    <n v="11877"/>
    <n v="10156"/>
    <n v="8096"/>
    <n v="72472"/>
    <n v="3399"/>
    <m/>
    <n v="76567"/>
    <n v="2269"/>
    <m/>
    <m/>
    <m/>
    <n v="0"/>
    <n v="0"/>
    <m/>
    <m/>
    <m/>
    <m/>
    <m/>
    <m/>
    <m/>
    <m/>
    <m/>
    <m/>
    <m/>
    <m/>
  </r>
  <r>
    <x v="11"/>
    <s v="Spartanburg Community College "/>
    <m/>
    <n v="218830"/>
    <x v="6"/>
    <n v="92922"/>
    <n v="108338"/>
    <n v="44098"/>
    <n v="42080"/>
    <n v="12778"/>
    <n v="9848"/>
    <n v="36046"/>
    <m/>
    <m/>
    <n v="56410"/>
    <m/>
    <m/>
    <m/>
    <m/>
    <n v="0"/>
    <n v="0"/>
    <m/>
    <m/>
    <m/>
    <m/>
    <m/>
    <m/>
    <m/>
    <m/>
    <m/>
    <m/>
    <m/>
    <m/>
  </r>
  <r>
    <x v="11"/>
    <s v="Tri-County Technical College "/>
    <m/>
    <n v="218885"/>
    <x v="6"/>
    <n v="141207"/>
    <n v="138452"/>
    <n v="44090"/>
    <n v="48659"/>
    <n v="4553"/>
    <n v="5603"/>
    <n v="92564"/>
    <m/>
    <m/>
    <n v="84190"/>
    <m/>
    <m/>
    <m/>
    <m/>
    <n v="0"/>
    <n v="0"/>
    <m/>
    <m/>
    <m/>
    <m/>
    <m/>
    <m/>
    <m/>
    <m/>
    <m/>
    <m/>
    <m/>
    <m/>
  </r>
  <r>
    <x v="11"/>
    <s v="York Technical College "/>
    <m/>
    <n v="218991"/>
    <x v="6"/>
    <n v="96947"/>
    <n v="87950"/>
    <n v="11343"/>
    <n v="4897"/>
    <n v="5013"/>
    <n v="7631"/>
    <n v="80591"/>
    <m/>
    <m/>
    <n v="75422"/>
    <m/>
    <m/>
    <m/>
    <m/>
    <n v="0"/>
    <n v="0"/>
    <m/>
    <m/>
    <m/>
    <m/>
    <m/>
    <m/>
    <m/>
    <m/>
    <m/>
    <m/>
    <m/>
    <m/>
  </r>
  <r>
    <x v="11"/>
    <s v="Aiken Technical College "/>
    <m/>
    <n v="217615"/>
    <x v="7"/>
    <n v="42315"/>
    <n v="40282"/>
    <n v="16175"/>
    <n v="7077"/>
    <n v="2092"/>
    <n v="2843"/>
    <n v="24048"/>
    <m/>
    <m/>
    <n v="30362"/>
    <m/>
    <m/>
    <m/>
    <m/>
    <n v="0"/>
    <n v="0"/>
    <m/>
    <m/>
    <m/>
    <m/>
    <m/>
    <m/>
    <m/>
    <m/>
    <m/>
    <m/>
    <m/>
    <m/>
  </r>
  <r>
    <x v="11"/>
    <s v="Denmark Technical College "/>
    <m/>
    <n v="217989"/>
    <x v="7"/>
    <n v="12654"/>
    <n v="13218"/>
    <n v="3133"/>
    <n v="4776"/>
    <n v="885"/>
    <n v="1288"/>
    <n v="8636"/>
    <m/>
    <m/>
    <n v="7154"/>
    <m/>
    <m/>
    <m/>
    <m/>
    <n v="0"/>
    <n v="0"/>
    <m/>
    <m/>
    <m/>
    <m/>
    <m/>
    <m/>
    <m/>
    <m/>
    <m/>
    <m/>
    <m/>
    <m/>
  </r>
  <r>
    <x v="11"/>
    <s v="Northeastern Technical College "/>
    <m/>
    <n v="217837"/>
    <x v="7"/>
    <n v="28692"/>
    <n v="30295"/>
    <n v="3246"/>
    <n v="2673"/>
    <n v="583"/>
    <n v="1096"/>
    <n v="24285"/>
    <n v="578"/>
    <m/>
    <n v="26325"/>
    <n v="201"/>
    <m/>
    <m/>
    <m/>
    <n v="0"/>
    <n v="0"/>
    <m/>
    <m/>
    <m/>
    <m/>
    <m/>
    <m/>
    <m/>
    <m/>
    <m/>
    <m/>
    <m/>
    <m/>
  </r>
  <r>
    <x v="11"/>
    <s v="Orangeburg-Calhoun Technical College "/>
    <m/>
    <n v="218487"/>
    <x v="7"/>
    <n v="48358"/>
    <n v="46955"/>
    <n v="14266"/>
    <n v="8570"/>
    <n v="5505"/>
    <n v="8608"/>
    <n v="28587"/>
    <m/>
    <m/>
    <n v="29777"/>
    <m/>
    <m/>
    <m/>
    <m/>
    <n v="0"/>
    <n v="0"/>
    <m/>
    <m/>
    <m/>
    <m/>
    <m/>
    <m/>
    <m/>
    <m/>
    <m/>
    <m/>
    <m/>
    <m/>
  </r>
  <r>
    <x v="11"/>
    <s v="Technical College of the Lowcountry"/>
    <m/>
    <n v="217712"/>
    <x v="7"/>
    <n v="42797"/>
    <n v="38957"/>
    <n v="12921"/>
    <n v="9524"/>
    <n v="1127"/>
    <n v="1805"/>
    <n v="28749"/>
    <m/>
    <m/>
    <n v="27628"/>
    <m/>
    <m/>
    <m/>
    <m/>
    <n v="0"/>
    <n v="0"/>
    <m/>
    <m/>
    <m/>
    <m/>
    <m/>
    <m/>
    <m/>
    <m/>
    <m/>
    <m/>
    <m/>
    <m/>
  </r>
  <r>
    <x v="11"/>
    <s v="University of South Carolina-Lancaster"/>
    <m/>
    <n v="218672"/>
    <x v="7"/>
    <n v="35556"/>
    <n v="35907"/>
    <n v="13308"/>
    <n v="9649"/>
    <n v="558"/>
    <n v="6977"/>
    <n v="16135"/>
    <m/>
    <n v="5555"/>
    <n v="19281"/>
    <m/>
    <m/>
    <m/>
    <m/>
    <n v="0"/>
    <n v="0"/>
    <m/>
    <m/>
    <m/>
    <m/>
    <m/>
    <m/>
    <m/>
    <m/>
    <m/>
    <m/>
    <m/>
    <m/>
  </r>
  <r>
    <x v="11"/>
    <s v="University of South Carolina-Salkehatchie"/>
    <m/>
    <n v="218681"/>
    <x v="7"/>
    <n v="19067"/>
    <n v="17360"/>
    <n v="8363"/>
    <n v="5405"/>
    <n v="4696"/>
    <n v="1781"/>
    <n v="6008"/>
    <m/>
    <m/>
    <n v="10174"/>
    <m/>
    <m/>
    <m/>
    <m/>
    <n v="0"/>
    <n v="0"/>
    <m/>
    <m/>
    <m/>
    <m/>
    <m/>
    <m/>
    <m/>
    <m/>
    <m/>
    <m/>
    <m/>
    <m/>
  </r>
  <r>
    <x v="11"/>
    <s v="University of South Carolina-Sumter"/>
    <m/>
    <n v="218690"/>
    <x v="7"/>
    <n v="25148"/>
    <n v="24615"/>
    <n v="8910"/>
    <n v="5817"/>
    <n v="3331"/>
    <n v="3129"/>
    <n v="12907"/>
    <m/>
    <m/>
    <n v="15669"/>
    <m/>
    <m/>
    <m/>
    <m/>
    <n v="0"/>
    <n v="0"/>
    <m/>
    <m/>
    <m/>
    <m/>
    <m/>
    <m/>
    <m/>
    <m/>
    <m/>
    <m/>
    <m/>
    <m/>
  </r>
  <r>
    <x v="11"/>
    <s v="University of South Carolina-Union"/>
    <m/>
    <n v="218706"/>
    <x v="7"/>
    <n v="20397"/>
    <n v="21196"/>
    <n v="5628"/>
    <n v="4665"/>
    <n v="5727"/>
    <n v="7805"/>
    <n v="9042"/>
    <m/>
    <m/>
    <n v="8726"/>
    <m/>
    <m/>
    <m/>
    <m/>
    <n v="0"/>
    <n v="0"/>
    <m/>
    <m/>
    <m/>
    <m/>
    <m/>
    <m/>
    <m/>
    <m/>
    <m/>
    <m/>
    <m/>
    <m/>
  </r>
  <r>
    <x v="11"/>
    <s v="Williamsburg Technical College "/>
    <m/>
    <n v="218955"/>
    <x v="7"/>
    <n v="13846"/>
    <n v="11533"/>
    <n v="6102"/>
    <n v="4481"/>
    <n v="1899"/>
    <n v="2071"/>
    <n v="5845"/>
    <m/>
    <m/>
    <n v="4981"/>
    <m/>
    <m/>
    <m/>
    <m/>
    <n v="0"/>
    <n v="0"/>
    <m/>
    <m/>
    <m/>
    <m/>
    <m/>
    <m/>
    <m/>
    <m/>
    <m/>
    <m/>
    <m/>
    <m/>
  </r>
  <r>
    <x v="12"/>
    <s v="University of Memphis"/>
    <m/>
    <n v="220862"/>
    <x v="0"/>
    <n v="414134"/>
    <n v="350068"/>
    <n v="232227"/>
    <n v="130844"/>
    <n v="20303"/>
    <n v="18785"/>
    <n v="131866"/>
    <n v="0"/>
    <n v="27537"/>
    <n v="156913"/>
    <n v="0"/>
    <n v="41202"/>
    <n v="2201"/>
    <n v="2324"/>
    <n v="68997"/>
    <n v="68593"/>
    <n v="32955"/>
    <n v="21620"/>
    <n v="78"/>
    <n v="18"/>
    <n v="29499"/>
    <n v="225"/>
    <n v="3341"/>
    <n v="36586"/>
    <n v="114"/>
    <n v="7338"/>
    <n v="2899"/>
    <n v="2917"/>
  </r>
  <r>
    <x v="12"/>
    <s v="University of Tennessee, Knoxville"/>
    <m/>
    <n v="221759"/>
    <x v="0"/>
    <n v="672972"/>
    <n v="689710"/>
    <n v="587265"/>
    <n v="499950"/>
    <n v="0"/>
    <n v="0"/>
    <n v="81623"/>
    <n v="0"/>
    <n v="832"/>
    <n v="185790"/>
    <n v="0"/>
    <n v="985"/>
    <n v="3252"/>
    <n v="2985"/>
    <n v="98584"/>
    <n v="100809"/>
    <n v="58033"/>
    <n v="58859"/>
    <n v="1775"/>
    <n v="858"/>
    <n v="36000"/>
    <n v="72"/>
    <n v="822"/>
    <n v="38180"/>
    <n v="54"/>
    <n v="927"/>
    <n v="1882"/>
    <n v="1931"/>
  </r>
  <r>
    <x v="12"/>
    <s v="East Tennessee State University "/>
    <m/>
    <n v="220075"/>
    <x v="1"/>
    <n v="296444"/>
    <n v="278622"/>
    <n v="166500"/>
    <n v="165086"/>
    <n v="10828"/>
    <n v="11485"/>
    <n v="96660"/>
    <n v="7234"/>
    <n v="13567"/>
    <n v="83189"/>
    <n v="5792"/>
    <n v="11669"/>
    <n v="1655"/>
    <n v="1401"/>
    <n v="45058"/>
    <n v="43519"/>
    <n v="14493"/>
    <n v="16115"/>
    <n v="469"/>
    <n v="315"/>
    <n v="27023"/>
    <n v="102"/>
    <n v="1438"/>
    <n v="23703"/>
    <n v="0"/>
    <n v="1673"/>
    <n v="1533"/>
    <n v="1713"/>
  </r>
  <r>
    <x v="12"/>
    <s v="Middle Tennessee State University "/>
    <m/>
    <n v="220978"/>
    <x v="1"/>
    <n v="496957"/>
    <n v="366610"/>
    <n v="256789"/>
    <n v="212399"/>
    <n v="7497"/>
    <n v="6212"/>
    <n v="213421"/>
    <n v="6"/>
    <n v="16424"/>
    <n v="131583"/>
    <n v="0"/>
    <n v="13924"/>
    <n v="2820"/>
    <n v="2492"/>
    <n v="38815"/>
    <n v="38954"/>
    <n v="13645"/>
    <n v="11964"/>
    <n v="791"/>
    <n v="144"/>
    <n v="22107"/>
    <n v="0"/>
    <n v="603"/>
    <n v="23657"/>
    <n v="0"/>
    <n v="1552"/>
    <n v="1669"/>
    <n v="1637"/>
  </r>
  <r>
    <x v="12"/>
    <s v="Tennessee State University "/>
    <m/>
    <n v="221838"/>
    <x v="1"/>
    <n v="95724"/>
    <n v="91852"/>
    <n v="49849"/>
    <n v="55224"/>
    <n v="9226"/>
    <n v="3618"/>
    <n v="30769"/>
    <n v="0"/>
    <n v="5571"/>
    <n v="29390"/>
    <n v="0"/>
    <n v="3437"/>
    <n v="309"/>
    <n v="183"/>
    <n v="17346"/>
    <n v="16164"/>
    <n v="6762"/>
    <n v="5029"/>
    <n v="1628"/>
    <n v="190"/>
    <n v="6833"/>
    <n v="0"/>
    <n v="1854"/>
    <n v="8665"/>
    <n v="0"/>
    <n v="2095"/>
    <n v="269"/>
    <n v="185"/>
  </r>
  <r>
    <x v="12"/>
    <s v="Austin Peay State University "/>
    <m/>
    <n v="219602"/>
    <x v="2"/>
    <n v="225669"/>
    <n v="200421"/>
    <n v="66586"/>
    <n v="59997"/>
    <n v="7894"/>
    <n v="7011"/>
    <n v="99019"/>
    <n v="0"/>
    <n v="50526"/>
    <n v="100437"/>
    <n v="0"/>
    <n v="31174"/>
    <n v="1644"/>
    <n v="1802"/>
    <n v="20028"/>
    <n v="20538"/>
    <n v="2079"/>
    <n v="2117"/>
    <n v="0"/>
    <n v="15"/>
    <n v="14854"/>
    <n v="0"/>
    <n v="2427"/>
    <n v="15461"/>
    <n v="0"/>
    <n v="2206"/>
    <n v="668"/>
    <n v="739"/>
  </r>
  <r>
    <x v="12"/>
    <s v="Tennessee Technological University "/>
    <m/>
    <n v="221847"/>
    <x v="2"/>
    <n v="240055"/>
    <n v="231112"/>
    <n v="125584"/>
    <n v="96987"/>
    <n v="4399"/>
    <n v="2441"/>
    <n v="37308"/>
    <n v="0"/>
    <n v="70348"/>
    <n v="61464"/>
    <n v="0"/>
    <n v="68171"/>
    <n v="2416"/>
    <n v="2049"/>
    <n v="18595"/>
    <n v="20795"/>
    <n v="2914"/>
    <n v="2122"/>
    <n v="54"/>
    <n v="0"/>
    <n v="11823"/>
    <n v="0"/>
    <n v="2950"/>
    <n v="14363"/>
    <n v="0"/>
    <n v="3285"/>
    <n v="854"/>
    <n v="1025"/>
  </r>
  <r>
    <x v="12"/>
    <s v="University of Tennessee at Chattanooga"/>
    <m/>
    <n v="221740"/>
    <x v="2"/>
    <n v="287566"/>
    <n v="279262"/>
    <n v="104332"/>
    <n v="112406"/>
    <n v="140"/>
    <n v="0"/>
    <n v="182164"/>
    <n v="0"/>
    <n v="3"/>
    <n v="165928"/>
    <n v="0"/>
    <n v="0"/>
    <n v="927"/>
    <n v="928"/>
    <n v="27496"/>
    <n v="28693"/>
    <n v="8448"/>
    <n v="12155"/>
    <n v="0"/>
    <n v="0"/>
    <n v="18846"/>
    <n v="0"/>
    <n v="0"/>
    <n v="16187"/>
    <n v="0"/>
    <n v="0"/>
    <n v="202"/>
    <n v="351"/>
  </r>
  <r>
    <x v="12"/>
    <s v="University of Tennessee at Martin"/>
    <m/>
    <n v="221768"/>
    <x v="3"/>
    <n v="159845"/>
    <n v="148421"/>
    <n v="77520"/>
    <n v="72657"/>
    <n v="11065"/>
    <n v="10538"/>
    <n v="68830"/>
    <n v="2174"/>
    <n v="72"/>
    <n v="62851"/>
    <n v="2146"/>
    <n v="3"/>
    <n v="184"/>
    <n v="226"/>
    <n v="11662"/>
    <n v="12352"/>
    <n v="562"/>
    <n v="715"/>
    <n v="0"/>
    <n v="24"/>
    <n v="11100"/>
    <n v="0"/>
    <n v="0"/>
    <n v="11425"/>
    <n v="188"/>
    <n v="0"/>
    <n v="0"/>
    <n v="0"/>
  </r>
  <r>
    <x v="12"/>
    <s v="Chattanooga State Technical Community College "/>
    <s v="Met the criteria for Two-Year 1 in  2021-22"/>
    <n v="219824"/>
    <x v="5"/>
    <n v="111678"/>
    <n v="100532"/>
    <n v="43222"/>
    <n v="20758"/>
    <n v="3836"/>
    <n v="3838"/>
    <n v="53542"/>
    <n v="0"/>
    <n v="10785"/>
    <n v="53194"/>
    <n v="0"/>
    <n v="22525"/>
    <n v="293"/>
    <n v="217"/>
    <n v="0"/>
    <n v="0"/>
    <m/>
    <m/>
    <m/>
    <m/>
    <m/>
    <m/>
    <m/>
    <m/>
    <m/>
    <m/>
    <m/>
    <m/>
  </r>
  <r>
    <x v="12"/>
    <s v="Nashville State Technical Community College"/>
    <s v="Met the criteria for Two-Year 1 in  2021-22"/>
    <n v="221184"/>
    <x v="5"/>
    <n v="146932"/>
    <n v="135870"/>
    <n v="26576"/>
    <n v="15706"/>
    <n v="29122"/>
    <n v="15376"/>
    <n v="52562"/>
    <n v="33"/>
    <n v="38565"/>
    <n v="54977"/>
    <n v="0"/>
    <n v="49717"/>
    <n v="74"/>
    <n v="94"/>
    <n v="0"/>
    <n v="0"/>
    <m/>
    <m/>
    <m/>
    <m/>
    <m/>
    <m/>
    <m/>
    <m/>
    <m/>
    <m/>
    <m/>
    <m/>
  </r>
  <r>
    <x v="12"/>
    <s v="Pellissippi State Technical Community College"/>
    <m/>
    <n v="221643"/>
    <x v="5"/>
    <n v="197859"/>
    <n v="138164"/>
    <n v="43804"/>
    <n v="23231"/>
    <n v="22255"/>
    <n v="14785"/>
    <n v="116666"/>
    <n v="75"/>
    <n v="15005"/>
    <n v="84913"/>
    <n v="0"/>
    <n v="15054"/>
    <n v="54"/>
    <n v="181"/>
    <n v="0"/>
    <n v="0"/>
    <m/>
    <m/>
    <m/>
    <m/>
    <m/>
    <m/>
    <m/>
    <m/>
    <m/>
    <m/>
    <m/>
    <m/>
  </r>
  <r>
    <x v="12"/>
    <s v="Southwest Tennessee Community College"/>
    <s v="Met the criteria for Two-Year 1 in  2021-22"/>
    <n v="221485"/>
    <x v="5"/>
    <n v="160122"/>
    <n v="127431"/>
    <n v="0"/>
    <n v="0"/>
    <n v="50423"/>
    <n v="15782"/>
    <n v="76484"/>
    <n v="0"/>
    <n v="33035"/>
    <n v="69131"/>
    <n v="462"/>
    <n v="41966"/>
    <n v="180"/>
    <n v="90"/>
    <n v="0"/>
    <n v="0"/>
    <m/>
    <m/>
    <m/>
    <m/>
    <m/>
    <m/>
    <m/>
    <m/>
    <m/>
    <m/>
    <m/>
    <m/>
  </r>
  <r>
    <x v="12"/>
    <s v="Volunteer State Community College "/>
    <m/>
    <n v="222053"/>
    <x v="5"/>
    <n v="152858"/>
    <n v="130125"/>
    <n v="35606"/>
    <n v="20631"/>
    <n v="13000"/>
    <n v="6138"/>
    <n v="96348"/>
    <n v="1337"/>
    <n v="6126"/>
    <n v="90188"/>
    <n v="6"/>
    <n v="12887"/>
    <n v="441"/>
    <n v="275"/>
    <n v="0"/>
    <n v="0"/>
    <m/>
    <m/>
    <m/>
    <m/>
    <m/>
    <m/>
    <m/>
    <m/>
    <m/>
    <m/>
    <m/>
    <m/>
  </r>
  <r>
    <x v="12"/>
    <s v="Cleveland State Community College "/>
    <m/>
    <n v="219879"/>
    <x v="6"/>
    <n v="65272"/>
    <n v="58947"/>
    <n v="16888"/>
    <n v="7243"/>
    <n v="6266"/>
    <n v="5252"/>
    <n v="19006"/>
    <n v="51"/>
    <n v="22423"/>
    <n v="23040"/>
    <n v="609"/>
    <n v="21587"/>
    <n v="638"/>
    <n v="1216"/>
    <n v="0"/>
    <n v="0"/>
    <m/>
    <m/>
    <m/>
    <m/>
    <m/>
    <m/>
    <m/>
    <m/>
    <m/>
    <m/>
    <m/>
    <m/>
  </r>
  <r>
    <x v="12"/>
    <s v="Columbia State Community College "/>
    <m/>
    <n v="219888"/>
    <x v="6"/>
    <n v="80936"/>
    <n v="55214"/>
    <n v="16007"/>
    <n v="6173"/>
    <n v="20284"/>
    <n v="8110"/>
    <n v="35326"/>
    <n v="0"/>
    <n v="9087"/>
    <n v="32463"/>
    <n v="0"/>
    <n v="8240"/>
    <n v="232"/>
    <n v="228"/>
    <n v="0"/>
    <n v="0"/>
    <m/>
    <m/>
    <m/>
    <m/>
    <m/>
    <m/>
    <m/>
    <m/>
    <m/>
    <m/>
    <m/>
    <m/>
  </r>
  <r>
    <x v="12"/>
    <s v="Jackson State Community College "/>
    <m/>
    <n v="220400"/>
    <x v="6"/>
    <n v="69811"/>
    <n v="60606"/>
    <n v="19249"/>
    <n v="12949"/>
    <n v="6835"/>
    <n v="4442"/>
    <n v="33536"/>
    <n v="1402"/>
    <n v="8788"/>
    <n v="36292"/>
    <n v="489"/>
    <n v="6428"/>
    <n v="1"/>
    <n v="6"/>
    <n v="0"/>
    <n v="0"/>
    <m/>
    <m/>
    <m/>
    <m/>
    <m/>
    <m/>
    <m/>
    <m/>
    <m/>
    <m/>
    <m/>
    <m/>
  </r>
  <r>
    <x v="12"/>
    <s v="Motlow State Community College "/>
    <m/>
    <n v="221096"/>
    <x v="6"/>
    <n v="120033"/>
    <n v="98319"/>
    <n v="9460"/>
    <n v="5282"/>
    <n v="36805"/>
    <n v="23465"/>
    <n v="61237"/>
    <n v="2512"/>
    <n v="9776"/>
    <n v="63037"/>
    <n v="533"/>
    <n v="5819"/>
    <n v="243"/>
    <n v="183"/>
    <n v="0"/>
    <n v="0"/>
    <m/>
    <m/>
    <m/>
    <m/>
    <m/>
    <m/>
    <m/>
    <m/>
    <m/>
    <m/>
    <m/>
    <m/>
  </r>
  <r>
    <x v="12"/>
    <s v="Northeast State Technical Community College"/>
    <m/>
    <n v="221908"/>
    <x v="6"/>
    <n v="107998"/>
    <n v="97586"/>
    <n v="32806"/>
    <n v="18625"/>
    <n v="20933"/>
    <n v="18602"/>
    <n v="48996"/>
    <n v="727"/>
    <n v="4405"/>
    <n v="49272"/>
    <n v="48"/>
    <n v="10896"/>
    <n v="131"/>
    <n v="143"/>
    <n v="0"/>
    <n v="0"/>
    <m/>
    <m/>
    <m/>
    <m/>
    <m/>
    <m/>
    <m/>
    <m/>
    <m/>
    <m/>
    <m/>
    <m/>
  </r>
  <r>
    <x v="12"/>
    <s v="Roane State Community College "/>
    <m/>
    <n v="221397"/>
    <x v="6"/>
    <n v="107267"/>
    <n v="89038"/>
    <n v="13436"/>
    <n v="6738"/>
    <n v="47461"/>
    <n v="27064"/>
    <n v="33808"/>
    <n v="3543"/>
    <n v="8970"/>
    <n v="46551"/>
    <n v="1405"/>
    <n v="7245"/>
    <n v="49"/>
    <n v="35"/>
    <n v="0"/>
    <n v="0"/>
    <m/>
    <m/>
    <m/>
    <m/>
    <m/>
    <m/>
    <m/>
    <m/>
    <m/>
    <m/>
    <m/>
    <m/>
  </r>
  <r>
    <x v="12"/>
    <s v="Walters State Community College "/>
    <m/>
    <n v="222062"/>
    <x v="6"/>
    <n v="108190"/>
    <n v="82225"/>
    <n v="19500"/>
    <n v="6068"/>
    <n v="21455"/>
    <n v="13226"/>
    <n v="31058"/>
    <n v="3512"/>
    <n v="32665"/>
    <n v="37094"/>
    <n v="54"/>
    <n v="25783"/>
    <n v="0"/>
    <n v="0"/>
    <n v="0"/>
    <n v="0"/>
    <m/>
    <m/>
    <m/>
    <m/>
    <m/>
    <m/>
    <m/>
    <m/>
    <m/>
    <m/>
    <m/>
    <m/>
  </r>
  <r>
    <x v="12"/>
    <s v="Dyersburg State Community College "/>
    <m/>
    <n v="220057"/>
    <x v="7"/>
    <n v="51028"/>
    <n v="40734"/>
    <n v="13815"/>
    <n v="9103"/>
    <n v="16581"/>
    <n v="11161"/>
    <n v="16548"/>
    <n v="2798"/>
    <n v="1020"/>
    <n v="19326"/>
    <n v="0"/>
    <n v="959"/>
    <n v="266"/>
    <n v="185"/>
    <n v="0"/>
    <n v="0"/>
    <m/>
    <m/>
    <m/>
    <m/>
    <m/>
    <m/>
    <m/>
    <m/>
    <m/>
    <m/>
    <m/>
    <m/>
  </r>
  <r>
    <x v="12"/>
    <s v="Tennessee College of Applied Technology at Athens"/>
    <m/>
    <n v="219596"/>
    <x v="9"/>
    <n v="0"/>
    <n v="0"/>
    <m/>
    <m/>
    <m/>
    <m/>
    <m/>
    <m/>
    <m/>
    <m/>
    <m/>
    <m/>
    <m/>
    <m/>
    <n v="0"/>
    <n v="0"/>
    <m/>
    <m/>
    <m/>
    <m/>
    <m/>
    <m/>
    <m/>
    <m/>
    <m/>
    <m/>
    <m/>
    <m/>
  </r>
  <r>
    <x v="12"/>
    <s v="Tennessee College of Applied Technology at Chattanooga"/>
    <m/>
    <s v="219824B"/>
    <x v="9"/>
    <n v="0"/>
    <n v="0"/>
    <m/>
    <m/>
    <m/>
    <m/>
    <m/>
    <m/>
    <m/>
    <m/>
    <m/>
    <m/>
    <m/>
    <m/>
    <n v="0"/>
    <n v="0"/>
    <m/>
    <m/>
    <m/>
    <m/>
    <m/>
    <m/>
    <m/>
    <m/>
    <m/>
    <m/>
    <m/>
    <m/>
  </r>
  <r>
    <x v="12"/>
    <s v="Tennessee College of Applied Technology at Covington"/>
    <m/>
    <n v="219921"/>
    <x v="9"/>
    <n v="0"/>
    <n v="0"/>
    <m/>
    <m/>
    <m/>
    <m/>
    <m/>
    <m/>
    <m/>
    <m/>
    <m/>
    <m/>
    <m/>
    <m/>
    <n v="0"/>
    <n v="0"/>
    <m/>
    <m/>
    <m/>
    <m/>
    <m/>
    <m/>
    <m/>
    <m/>
    <m/>
    <m/>
    <m/>
    <m/>
  </r>
  <r>
    <x v="12"/>
    <s v="Tennessee College of Applied Technology at Crossville"/>
    <m/>
    <n v="221591"/>
    <x v="9"/>
    <n v="0"/>
    <n v="0"/>
    <m/>
    <m/>
    <m/>
    <m/>
    <m/>
    <m/>
    <m/>
    <m/>
    <m/>
    <m/>
    <m/>
    <m/>
    <n v="0"/>
    <n v="0"/>
    <m/>
    <m/>
    <m/>
    <m/>
    <m/>
    <m/>
    <m/>
    <m/>
    <m/>
    <m/>
    <m/>
    <m/>
  </r>
  <r>
    <x v="12"/>
    <s v="Tennessee College of Applied Technology at Crump"/>
    <m/>
    <n v="221430"/>
    <x v="9"/>
    <n v="0"/>
    <n v="0"/>
    <m/>
    <m/>
    <m/>
    <m/>
    <m/>
    <m/>
    <m/>
    <m/>
    <m/>
    <m/>
    <m/>
    <m/>
    <n v="0"/>
    <n v="0"/>
    <m/>
    <m/>
    <m/>
    <m/>
    <m/>
    <m/>
    <m/>
    <m/>
    <m/>
    <m/>
    <m/>
    <m/>
  </r>
  <r>
    <x v="12"/>
    <s v="Tennessee College of Applied Technology at Dickson"/>
    <m/>
    <n v="219994"/>
    <x v="9"/>
    <n v="0"/>
    <n v="0"/>
    <m/>
    <m/>
    <m/>
    <m/>
    <m/>
    <m/>
    <m/>
    <m/>
    <m/>
    <m/>
    <m/>
    <m/>
    <n v="0"/>
    <n v="0"/>
    <m/>
    <m/>
    <m/>
    <m/>
    <m/>
    <m/>
    <m/>
    <m/>
    <m/>
    <m/>
    <m/>
    <m/>
  </r>
  <r>
    <x v="12"/>
    <s v="Tennessee College of Applied Technology at Elizabethton"/>
    <m/>
    <n v="220127"/>
    <x v="9"/>
    <n v="0"/>
    <n v="0"/>
    <m/>
    <m/>
    <m/>
    <m/>
    <m/>
    <m/>
    <m/>
    <m/>
    <m/>
    <m/>
    <m/>
    <m/>
    <n v="0"/>
    <n v="0"/>
    <m/>
    <m/>
    <m/>
    <m/>
    <m/>
    <m/>
    <m/>
    <m/>
    <m/>
    <m/>
    <m/>
    <m/>
  </r>
  <r>
    <x v="12"/>
    <s v="Tennessee College of Applied Technology at Harriman"/>
    <m/>
    <n v="220251"/>
    <x v="9"/>
    <n v="0"/>
    <n v="0"/>
    <m/>
    <m/>
    <m/>
    <m/>
    <m/>
    <m/>
    <m/>
    <m/>
    <m/>
    <m/>
    <m/>
    <m/>
    <n v="0"/>
    <n v="0"/>
    <m/>
    <m/>
    <m/>
    <m/>
    <m/>
    <m/>
    <m/>
    <m/>
    <m/>
    <m/>
    <m/>
    <m/>
  </r>
  <r>
    <x v="12"/>
    <s v="Tennessee College of Applied Technology at Hartsville"/>
    <m/>
    <n v="220279"/>
    <x v="9"/>
    <n v="0"/>
    <n v="0"/>
    <m/>
    <m/>
    <m/>
    <m/>
    <m/>
    <m/>
    <m/>
    <m/>
    <m/>
    <m/>
    <m/>
    <m/>
    <n v="0"/>
    <n v="0"/>
    <m/>
    <m/>
    <m/>
    <m/>
    <m/>
    <m/>
    <m/>
    <m/>
    <m/>
    <m/>
    <m/>
    <m/>
  </r>
  <r>
    <x v="12"/>
    <s v="Tennessee College of Applied Technology at Hohenwald"/>
    <m/>
    <n v="220321"/>
    <x v="9"/>
    <n v="0"/>
    <n v="0"/>
    <m/>
    <m/>
    <m/>
    <m/>
    <m/>
    <m/>
    <m/>
    <m/>
    <m/>
    <m/>
    <m/>
    <m/>
    <n v="0"/>
    <n v="0"/>
    <m/>
    <m/>
    <m/>
    <m/>
    <m/>
    <m/>
    <m/>
    <m/>
    <m/>
    <m/>
    <m/>
    <m/>
  </r>
  <r>
    <x v="12"/>
    <s v="Tennessee College of Applied Technology at Jacksboro"/>
    <m/>
    <n v="220394"/>
    <x v="9"/>
    <n v="0"/>
    <n v="0"/>
    <m/>
    <m/>
    <m/>
    <m/>
    <m/>
    <m/>
    <m/>
    <m/>
    <m/>
    <m/>
    <m/>
    <m/>
    <n v="0"/>
    <n v="0"/>
    <m/>
    <m/>
    <m/>
    <m/>
    <m/>
    <m/>
    <m/>
    <m/>
    <m/>
    <m/>
    <m/>
    <m/>
  </r>
  <r>
    <x v="12"/>
    <s v="Tennessee College of Applied Technology at Jackson"/>
    <m/>
    <n v="221616"/>
    <x v="9"/>
    <n v="0"/>
    <n v="0"/>
    <m/>
    <m/>
    <m/>
    <m/>
    <m/>
    <m/>
    <m/>
    <m/>
    <m/>
    <m/>
    <m/>
    <m/>
    <n v="0"/>
    <n v="0"/>
    <m/>
    <m/>
    <m/>
    <m/>
    <m/>
    <m/>
    <m/>
    <m/>
    <m/>
    <m/>
    <m/>
    <m/>
  </r>
  <r>
    <x v="12"/>
    <s v="Tennessee College of Applied Technology at Knoxville"/>
    <m/>
    <n v="221625"/>
    <x v="9"/>
    <n v="0"/>
    <n v="0"/>
    <m/>
    <m/>
    <m/>
    <m/>
    <m/>
    <m/>
    <m/>
    <m/>
    <m/>
    <m/>
    <m/>
    <m/>
    <n v="0"/>
    <n v="0"/>
    <m/>
    <m/>
    <m/>
    <m/>
    <m/>
    <m/>
    <m/>
    <m/>
    <m/>
    <m/>
    <m/>
    <m/>
  </r>
  <r>
    <x v="12"/>
    <s v="Tennessee College of Applied Technology at Livingston"/>
    <m/>
    <n v="220640"/>
    <x v="9"/>
    <n v="0"/>
    <n v="0"/>
    <m/>
    <m/>
    <m/>
    <m/>
    <m/>
    <m/>
    <m/>
    <m/>
    <m/>
    <m/>
    <m/>
    <m/>
    <n v="0"/>
    <n v="0"/>
    <m/>
    <m/>
    <m/>
    <m/>
    <m/>
    <m/>
    <m/>
    <m/>
    <m/>
    <m/>
    <m/>
    <m/>
  </r>
  <r>
    <x v="12"/>
    <s v="Tennessee College of Applied Technology at McKenzie"/>
    <m/>
    <n v="220756"/>
    <x v="9"/>
    <n v="0"/>
    <n v="0"/>
    <m/>
    <m/>
    <m/>
    <m/>
    <m/>
    <m/>
    <m/>
    <m/>
    <m/>
    <m/>
    <m/>
    <m/>
    <n v="0"/>
    <n v="0"/>
    <m/>
    <m/>
    <m/>
    <m/>
    <m/>
    <m/>
    <m/>
    <m/>
    <m/>
    <m/>
    <m/>
    <m/>
  </r>
  <r>
    <x v="12"/>
    <s v="Tennessee College of Applied Technology at McMinnville"/>
    <m/>
    <n v="221607"/>
    <x v="9"/>
    <n v="0"/>
    <n v="0"/>
    <m/>
    <m/>
    <m/>
    <m/>
    <m/>
    <m/>
    <m/>
    <m/>
    <m/>
    <m/>
    <m/>
    <m/>
    <n v="0"/>
    <n v="0"/>
    <m/>
    <m/>
    <m/>
    <m/>
    <m/>
    <m/>
    <m/>
    <m/>
    <m/>
    <m/>
    <m/>
    <m/>
  </r>
  <r>
    <x v="12"/>
    <s v="Tennessee College of Applied Technology at Memphis"/>
    <s v="Met the criteria for Technical Institute or College 1 in 2019-20."/>
    <n v="220853"/>
    <x v="9"/>
    <n v="0"/>
    <n v="0"/>
    <m/>
    <m/>
    <m/>
    <m/>
    <m/>
    <m/>
    <m/>
    <m/>
    <m/>
    <m/>
    <m/>
    <m/>
    <n v="0"/>
    <n v="0"/>
    <m/>
    <m/>
    <m/>
    <m/>
    <m/>
    <m/>
    <m/>
    <m/>
    <m/>
    <m/>
    <m/>
    <m/>
  </r>
  <r>
    <x v="12"/>
    <s v="Tennessee College of Applied Technology at Morristown"/>
    <m/>
    <n v="221050"/>
    <x v="9"/>
    <n v="0"/>
    <n v="0"/>
    <m/>
    <m/>
    <m/>
    <m/>
    <m/>
    <m/>
    <m/>
    <m/>
    <m/>
    <m/>
    <m/>
    <m/>
    <n v="0"/>
    <n v="0"/>
    <m/>
    <m/>
    <m/>
    <m/>
    <m/>
    <m/>
    <m/>
    <m/>
    <m/>
    <m/>
    <m/>
    <m/>
  </r>
  <r>
    <x v="12"/>
    <s v="Tennessee College of Applied Technology at Murfreesboro"/>
    <m/>
    <n v="221102"/>
    <x v="9"/>
    <n v="0"/>
    <n v="0"/>
    <m/>
    <m/>
    <m/>
    <m/>
    <m/>
    <m/>
    <m/>
    <m/>
    <m/>
    <m/>
    <m/>
    <m/>
    <n v="0"/>
    <n v="0"/>
    <m/>
    <m/>
    <m/>
    <m/>
    <m/>
    <m/>
    <m/>
    <m/>
    <m/>
    <m/>
    <m/>
    <m/>
  </r>
  <r>
    <x v="12"/>
    <s v="Tennessee College of Applied Technology at Nashville"/>
    <m/>
    <n v="248925"/>
    <x v="9"/>
    <n v="0"/>
    <n v="0"/>
    <m/>
    <m/>
    <m/>
    <m/>
    <m/>
    <m/>
    <m/>
    <m/>
    <m/>
    <m/>
    <m/>
    <m/>
    <n v="0"/>
    <n v="0"/>
    <m/>
    <m/>
    <m/>
    <m/>
    <m/>
    <m/>
    <m/>
    <m/>
    <m/>
    <m/>
    <m/>
    <m/>
  </r>
  <r>
    <x v="12"/>
    <s v="Tennessee College of Applied Technology at Newbern"/>
    <m/>
    <n v="221236"/>
    <x v="9"/>
    <n v="0"/>
    <n v="0"/>
    <m/>
    <m/>
    <m/>
    <m/>
    <m/>
    <m/>
    <m/>
    <m/>
    <m/>
    <m/>
    <m/>
    <m/>
    <n v="0"/>
    <n v="0"/>
    <m/>
    <m/>
    <m/>
    <m/>
    <m/>
    <m/>
    <m/>
    <m/>
    <m/>
    <m/>
    <m/>
    <m/>
  </r>
  <r>
    <x v="12"/>
    <s v="Tennessee College of Applied Technology at Oneida"/>
    <m/>
    <n v="221582"/>
    <x v="9"/>
    <n v="0"/>
    <n v="0"/>
    <m/>
    <m/>
    <m/>
    <m/>
    <m/>
    <m/>
    <m/>
    <m/>
    <m/>
    <m/>
    <m/>
    <m/>
    <n v="0"/>
    <n v="0"/>
    <m/>
    <m/>
    <m/>
    <m/>
    <m/>
    <m/>
    <m/>
    <m/>
    <m/>
    <m/>
    <m/>
    <m/>
  </r>
  <r>
    <x v="12"/>
    <s v="Tennessee College of Applied Technology at Paris"/>
    <m/>
    <n v="221281"/>
    <x v="9"/>
    <n v="0"/>
    <n v="0"/>
    <m/>
    <m/>
    <m/>
    <m/>
    <m/>
    <m/>
    <m/>
    <m/>
    <m/>
    <m/>
    <m/>
    <m/>
    <n v="0"/>
    <n v="0"/>
    <m/>
    <m/>
    <m/>
    <m/>
    <m/>
    <m/>
    <m/>
    <m/>
    <m/>
    <m/>
    <m/>
    <m/>
  </r>
  <r>
    <x v="12"/>
    <s v="Tennessee College of Applied Technology at Pulaski"/>
    <m/>
    <n v="221333"/>
    <x v="9"/>
    <n v="0"/>
    <n v="0"/>
    <m/>
    <m/>
    <m/>
    <m/>
    <m/>
    <m/>
    <m/>
    <m/>
    <m/>
    <m/>
    <m/>
    <m/>
    <n v="0"/>
    <n v="0"/>
    <m/>
    <m/>
    <m/>
    <m/>
    <m/>
    <m/>
    <m/>
    <m/>
    <m/>
    <m/>
    <m/>
    <m/>
  </r>
  <r>
    <x v="12"/>
    <s v="Tennessee College of Applied Technology at Ripley"/>
    <m/>
    <n v="221388"/>
    <x v="9"/>
    <n v="0"/>
    <n v="0"/>
    <m/>
    <m/>
    <m/>
    <m/>
    <m/>
    <m/>
    <m/>
    <m/>
    <m/>
    <m/>
    <m/>
    <m/>
    <n v="0"/>
    <n v="0"/>
    <m/>
    <m/>
    <m/>
    <m/>
    <m/>
    <m/>
    <m/>
    <m/>
    <m/>
    <m/>
    <m/>
    <m/>
  </r>
  <r>
    <x v="12"/>
    <s v="Tennessee College of Applied Technology at Shelbyville"/>
    <m/>
    <n v="221494"/>
    <x v="9"/>
    <n v="0"/>
    <n v="0"/>
    <m/>
    <m/>
    <m/>
    <m/>
    <m/>
    <m/>
    <m/>
    <m/>
    <m/>
    <m/>
    <m/>
    <m/>
    <n v="0"/>
    <n v="0"/>
    <m/>
    <m/>
    <m/>
    <m/>
    <m/>
    <m/>
    <m/>
    <m/>
    <m/>
    <m/>
    <m/>
    <m/>
  </r>
  <r>
    <x v="12"/>
    <s v="Tennessee College of Applied Technology at Whiteville"/>
    <m/>
    <n v="221634"/>
    <x v="9"/>
    <n v="0"/>
    <n v="0"/>
    <m/>
    <m/>
    <m/>
    <m/>
    <m/>
    <m/>
    <m/>
    <m/>
    <m/>
    <m/>
    <m/>
    <m/>
    <n v="0"/>
    <n v="0"/>
    <m/>
    <m/>
    <m/>
    <m/>
    <m/>
    <m/>
    <m/>
    <m/>
    <m/>
    <m/>
    <m/>
    <m/>
  </r>
  <r>
    <x v="13"/>
    <s v="Texas A&amp;M University "/>
    <m/>
    <n v="228723"/>
    <x v="0"/>
    <n v="1412275"/>
    <n v="1427046"/>
    <n v="823823"/>
    <n v="1202915"/>
    <n v="12230"/>
    <n v="11183"/>
    <n v="570458"/>
    <n v="0"/>
    <n v="5764"/>
    <n v="206650"/>
    <n v="243"/>
    <n v="6055"/>
    <m/>
    <m/>
    <n v="230260"/>
    <n v="231045"/>
    <n v="152391"/>
    <n v="190806"/>
    <n v="5100"/>
    <n v="6220"/>
    <n v="69891"/>
    <n v="312"/>
    <n v="2566"/>
    <n v="31119"/>
    <n v="270"/>
    <n v="2630"/>
    <m/>
    <m/>
  </r>
  <r>
    <x v="13"/>
    <s v="Texas Tech University "/>
    <m/>
    <n v="229115"/>
    <x v="0"/>
    <n v="888800"/>
    <n v="894464"/>
    <n v="351427"/>
    <n v="357564"/>
    <n v="10335"/>
    <n v="6598"/>
    <n v="526744"/>
    <n v="294"/>
    <n v="0"/>
    <n v="529969"/>
    <n v="333"/>
    <n v="0"/>
    <m/>
    <m/>
    <n v="129541"/>
    <n v="135954"/>
    <n v="47673"/>
    <n v="63678"/>
    <n v="1698"/>
    <n v="1689"/>
    <n v="80170"/>
    <n v="0"/>
    <n v="0"/>
    <n v="70512"/>
    <n v="72"/>
    <n v="3"/>
    <m/>
    <m/>
  </r>
  <r>
    <x v="13"/>
    <s v="University of Houston"/>
    <m/>
    <n v="225511"/>
    <x v="0"/>
    <n v="1001990"/>
    <n v="963133"/>
    <n v="311905"/>
    <n v="255675"/>
    <n v="6903"/>
    <n v="9235"/>
    <n v="682997"/>
    <n v="185"/>
    <n v="0"/>
    <n v="698223"/>
    <n v="0"/>
    <n v="0"/>
    <m/>
    <m/>
    <n v="173410"/>
    <n v="176198"/>
    <n v="91616"/>
    <n v="85066"/>
    <n v="642"/>
    <n v="429"/>
    <n v="81125"/>
    <n v="27"/>
    <n v="0"/>
    <n v="90703"/>
    <n v="0"/>
    <n v="0"/>
    <m/>
    <m/>
  </r>
  <r>
    <x v="13"/>
    <s v="University of North Texas"/>
    <m/>
    <n v="227216"/>
    <x v="0"/>
    <n v="863539"/>
    <n v="847536"/>
    <n v="338553"/>
    <n v="295963"/>
    <n v="8181"/>
    <n v="10081"/>
    <n v="300745"/>
    <n v="187022"/>
    <n v="29038"/>
    <n v="293549"/>
    <n v="224558"/>
    <n v="23385"/>
    <m/>
    <m/>
    <n v="123365"/>
    <n v="149537"/>
    <n v="45380"/>
    <n v="57471"/>
    <n v="1763"/>
    <n v="1800"/>
    <n v="51174"/>
    <n v="21454"/>
    <n v="3594"/>
    <n v="61115"/>
    <n v="26405"/>
    <n v="2746"/>
    <m/>
    <m/>
  </r>
  <r>
    <x v="13"/>
    <s v="University of Texas at Arlington"/>
    <m/>
    <n v="228769"/>
    <x v="0"/>
    <n v="779723"/>
    <n v="753924"/>
    <n v="529207"/>
    <n v="470745"/>
    <n v="2931"/>
    <n v="2069"/>
    <n v="247576"/>
    <n v="9"/>
    <n v="0"/>
    <n v="280915"/>
    <n v="195"/>
    <n v="0"/>
    <m/>
    <m/>
    <n v="212826"/>
    <n v="207504"/>
    <n v="74600"/>
    <n v="68765"/>
    <n v="3678"/>
    <n v="2190"/>
    <n v="134506"/>
    <n v="12"/>
    <n v="30"/>
    <n v="136456"/>
    <n v="93"/>
    <n v="0"/>
    <m/>
    <m/>
  </r>
  <r>
    <x v="13"/>
    <s v="University of Texas at Austin"/>
    <m/>
    <n v="228778"/>
    <x v="0"/>
    <n v="1120460"/>
    <n v="1109701"/>
    <n v="464433"/>
    <n v="403588"/>
    <n v="3935"/>
    <n v="900"/>
    <n v="633484"/>
    <n v="18557"/>
    <n v="51"/>
    <n v="694747"/>
    <n v="10466"/>
    <n v="0"/>
    <m/>
    <m/>
    <n v="233178"/>
    <n v="234430"/>
    <n v="133947"/>
    <n v="137216"/>
    <n v="292"/>
    <n v="210"/>
    <n v="95864"/>
    <n v="2403"/>
    <n v="672"/>
    <n v="95322"/>
    <n v="1109"/>
    <n v="573"/>
    <m/>
    <m/>
  </r>
  <r>
    <x v="13"/>
    <s v="University of Texas at Dallas"/>
    <m/>
    <n v="228787"/>
    <x v="0"/>
    <n v="572876"/>
    <n v="562999"/>
    <n v="292499"/>
    <n v="252958"/>
    <n v="2296"/>
    <n v="1426"/>
    <n v="278081"/>
    <n v="0"/>
    <n v="0"/>
    <n v="308615"/>
    <n v="0"/>
    <n v="0"/>
    <m/>
    <m/>
    <n v="135638"/>
    <n v="133439"/>
    <n v="83071"/>
    <n v="51705"/>
    <n v="448"/>
    <n v="528"/>
    <n v="52119"/>
    <n v="0"/>
    <n v="0"/>
    <n v="81206"/>
    <n v="0"/>
    <n v="0"/>
    <m/>
    <m/>
  </r>
  <r>
    <x v="13"/>
    <s v="University of Texas at San Antonio"/>
    <m/>
    <n v="229027"/>
    <x v="0"/>
    <n v="742160"/>
    <n v="734443"/>
    <n v="243315"/>
    <n v="107307"/>
    <n v="1095"/>
    <n v="770"/>
    <n v="497315"/>
    <n v="147"/>
    <n v="288"/>
    <n v="625946"/>
    <n v="0"/>
    <n v="420"/>
    <m/>
    <m/>
    <n v="75558"/>
    <n v="79009"/>
    <n v="31449"/>
    <n v="17009"/>
    <n v="702"/>
    <n v="57"/>
    <n v="43407"/>
    <n v="0"/>
    <n v="0"/>
    <n v="61943"/>
    <n v="0"/>
    <n v="0"/>
    <m/>
    <m/>
  </r>
  <r>
    <x v="13"/>
    <s v="Texas State University"/>
    <m/>
    <n v="228459"/>
    <x v="1"/>
    <n v="860446"/>
    <n v="840788"/>
    <n v="469716"/>
    <n v="395499"/>
    <n v="11396"/>
    <n v="14986"/>
    <n v="378945"/>
    <n v="255"/>
    <n v="134"/>
    <n v="424248"/>
    <n v="255"/>
    <n v="5800"/>
    <m/>
    <m/>
    <n v="72696"/>
    <n v="74968"/>
    <n v="29815"/>
    <n v="28620"/>
    <n v="7068"/>
    <n v="9840"/>
    <n v="34916"/>
    <n v="477"/>
    <n v="420"/>
    <n v="35577"/>
    <n v="369"/>
    <n v="562"/>
    <m/>
    <m/>
  </r>
  <r>
    <x v="13"/>
    <s v="Texas Woman's University"/>
    <s v="Met the requirments for Four-Year 1 in 2020-21, and 2021-22"/>
    <n v="229179"/>
    <x v="1"/>
    <n v="251440"/>
    <n v="241491"/>
    <n v="103049"/>
    <n v="78707"/>
    <n v="11730"/>
    <n v="12114"/>
    <n v="136661"/>
    <n v="0"/>
    <n v="0"/>
    <n v="150670"/>
    <n v="0"/>
    <n v="0"/>
    <m/>
    <m/>
    <n v="101598"/>
    <n v="110076"/>
    <n v="30722"/>
    <n v="30669"/>
    <n v="309"/>
    <n v="276"/>
    <n v="70431"/>
    <n v="136"/>
    <n v="0"/>
    <n v="78829"/>
    <n v="302"/>
    <n v="0"/>
    <m/>
    <m/>
  </r>
  <r>
    <x v="13"/>
    <s v="University of Texas at El Paso"/>
    <s v="Met the requirments for Four-Year 1 in 2020-21, and 2021-22"/>
    <n v="228796"/>
    <x v="1"/>
    <n v="519352"/>
    <n v="475836"/>
    <n v="182198"/>
    <n v="157971"/>
    <n v="685"/>
    <n v="408"/>
    <n v="336469"/>
    <n v="0"/>
    <n v="0"/>
    <n v="317457"/>
    <n v="0"/>
    <n v="0"/>
    <m/>
    <m/>
    <n v="65249"/>
    <n v="69249"/>
    <n v="26015"/>
    <n v="23285"/>
    <n v="219"/>
    <n v="33"/>
    <n v="39015"/>
    <n v="0"/>
    <n v="0"/>
    <n v="45931"/>
    <n v="0"/>
    <n v="0"/>
    <m/>
    <m/>
  </r>
  <r>
    <x v="13"/>
    <s v="Angelo State University"/>
    <m/>
    <n v="222831"/>
    <x v="2"/>
    <n v="193011"/>
    <n v="187438"/>
    <n v="132800"/>
    <n v="121488"/>
    <n v="0"/>
    <n v="0"/>
    <n v="60211"/>
    <n v="0"/>
    <n v="0"/>
    <n v="65950"/>
    <n v="0"/>
    <n v="0"/>
    <m/>
    <m/>
    <n v="27476"/>
    <n v="29750"/>
    <n v="6188"/>
    <n v="6109"/>
    <n v="0"/>
    <n v="0"/>
    <n v="21288"/>
    <n v="0"/>
    <n v="0"/>
    <n v="23641"/>
    <n v="0"/>
    <n v="0"/>
    <m/>
    <m/>
  </r>
  <r>
    <x v="13"/>
    <s v="Lamar University"/>
    <s v="Met the requirments for 4-Year 2 in 2021-22"/>
    <n v="226091"/>
    <x v="2"/>
    <n v="215931"/>
    <n v="208182"/>
    <n v="79965"/>
    <n v="52744"/>
    <n v="0"/>
    <n v="0"/>
    <n v="135966"/>
    <n v="0"/>
    <n v="0"/>
    <n v="155438"/>
    <n v="0"/>
    <n v="0"/>
    <m/>
    <m/>
    <n v="141145"/>
    <n v="152901"/>
    <n v="8003"/>
    <n v="6241"/>
    <n v="54"/>
    <n v="174"/>
    <n v="133088"/>
    <n v="0"/>
    <n v="0"/>
    <n v="146486"/>
    <n v="0"/>
    <n v="0"/>
    <m/>
    <m/>
  </r>
  <r>
    <x v="13"/>
    <s v="Midwestern State University"/>
    <m/>
    <n v="226833"/>
    <x v="2"/>
    <n v="121707"/>
    <n v="114406"/>
    <n v="81492"/>
    <n v="72251"/>
    <n v="781"/>
    <n v="864"/>
    <n v="39389"/>
    <n v="45"/>
    <n v="0"/>
    <n v="41224"/>
    <n v="67"/>
    <n v="0"/>
    <m/>
    <m/>
    <n v="9659"/>
    <n v="10216"/>
    <n v="2269"/>
    <n v="2511"/>
    <n v="0"/>
    <n v="0"/>
    <n v="7390"/>
    <n v="0"/>
    <n v="0"/>
    <n v="7705"/>
    <n v="0"/>
    <n v="0"/>
    <m/>
    <m/>
  </r>
  <r>
    <x v="13"/>
    <s v="Prairie View A&amp;M University"/>
    <m/>
    <n v="227526"/>
    <x v="2"/>
    <n v="225954"/>
    <n v="225834"/>
    <n v="94845"/>
    <n v="152499"/>
    <n v="6124"/>
    <n v="14037"/>
    <n v="124985"/>
    <n v="0"/>
    <n v="0"/>
    <n v="59198"/>
    <n v="100"/>
    <n v="0"/>
    <m/>
    <m/>
    <n v="12904"/>
    <n v="14319"/>
    <n v="3150"/>
    <n v="4503"/>
    <n v="1056"/>
    <n v="1723"/>
    <n v="8698"/>
    <n v="0"/>
    <n v="0"/>
    <n v="8078"/>
    <n v="15"/>
    <n v="0"/>
    <m/>
    <m/>
  </r>
  <r>
    <x v="13"/>
    <s v="Sam Houston State University "/>
    <s v="Met the requirments for 4-Year 2 in 2021-22"/>
    <n v="227881"/>
    <x v="2"/>
    <n v="478918"/>
    <n v="455344"/>
    <n v="169547"/>
    <n v="171110"/>
    <n v="1788"/>
    <n v="852"/>
    <n v="307583"/>
    <n v="0"/>
    <n v="0"/>
    <n v="283382"/>
    <n v="0"/>
    <n v="0"/>
    <m/>
    <m/>
    <n v="43490"/>
    <n v="47613"/>
    <n v="10805"/>
    <n v="11292"/>
    <n v="66"/>
    <n v="1149"/>
    <n v="32619"/>
    <n v="0"/>
    <n v="0"/>
    <n v="35172"/>
    <n v="0"/>
    <n v="0"/>
    <m/>
    <m/>
  </r>
  <r>
    <x v="13"/>
    <s v="Stephen F. Austin State University"/>
    <m/>
    <n v="228431"/>
    <x v="2"/>
    <n v="277484"/>
    <n v="273193"/>
    <n v="113256"/>
    <n v="71514"/>
    <n v="5832"/>
    <n v="6700"/>
    <n v="156053"/>
    <n v="1746"/>
    <n v="597"/>
    <n v="193130"/>
    <n v="1456"/>
    <n v="393"/>
    <m/>
    <m/>
    <n v="25189"/>
    <n v="30309"/>
    <n v="6287"/>
    <n v="5449"/>
    <n v="472"/>
    <n v="145"/>
    <n v="18360"/>
    <n v="16"/>
    <n v="54"/>
    <n v="24539"/>
    <n v="78"/>
    <n v="98"/>
    <m/>
    <m/>
  </r>
  <r>
    <x v="13"/>
    <s v="Sul Ross State University "/>
    <m/>
    <n v="228501"/>
    <x v="2"/>
    <n v="28178"/>
    <n v="25670"/>
    <n v="17397"/>
    <n v="14071"/>
    <n v="120"/>
    <n v="315"/>
    <n v="7878"/>
    <n v="378"/>
    <n v="2405"/>
    <n v="11032"/>
    <n v="252"/>
    <n v="0"/>
    <m/>
    <m/>
    <n v="6517"/>
    <n v="6371"/>
    <n v="875"/>
    <n v="578"/>
    <n v="60"/>
    <n v="158"/>
    <n v="5377"/>
    <n v="4"/>
    <n v="201"/>
    <n v="5632"/>
    <n v="3"/>
    <n v="0"/>
    <m/>
    <m/>
  </r>
  <r>
    <x v="13"/>
    <s v="Tarleton State University"/>
    <m/>
    <n v="228529"/>
    <x v="2"/>
    <n v="294766"/>
    <n v="298089"/>
    <n v="88029"/>
    <n v="93432"/>
    <n v="8358"/>
    <n v="836"/>
    <n v="198189"/>
    <n v="190"/>
    <n v="0"/>
    <n v="203419"/>
    <n v="402"/>
    <n v="0"/>
    <m/>
    <m/>
    <n v="33580"/>
    <n v="37732"/>
    <n v="1695"/>
    <n v="925"/>
    <n v="1983"/>
    <n v="1563"/>
    <n v="29869"/>
    <n v="33"/>
    <n v="0"/>
    <n v="35199"/>
    <n v="45"/>
    <n v="0"/>
    <m/>
    <m/>
  </r>
  <r>
    <x v="13"/>
    <s v="Texas A&amp;M International University"/>
    <m/>
    <n v="226152"/>
    <x v="2"/>
    <n v="181203"/>
    <n v="173189"/>
    <n v="130387"/>
    <n v="121049"/>
    <n v="516"/>
    <n v="132"/>
    <n v="50300"/>
    <n v="0"/>
    <n v="0"/>
    <n v="52008"/>
    <n v="0"/>
    <n v="0"/>
    <m/>
    <m/>
    <n v="22151"/>
    <n v="24931"/>
    <n v="5095"/>
    <n v="3947"/>
    <n v="81"/>
    <n v="138"/>
    <n v="16975"/>
    <n v="0"/>
    <n v="0"/>
    <n v="20846"/>
    <n v="0"/>
    <n v="0"/>
    <m/>
    <m/>
  </r>
  <r>
    <x v="13"/>
    <s v="Texas A&amp;M University-Commerce"/>
    <s v="Met the requirments for 4-Year 2 in 2021-22"/>
    <n v="224554"/>
    <x v="2"/>
    <n v="204988"/>
    <n v="184649"/>
    <n v="52968"/>
    <n v="22294"/>
    <n v="11266"/>
    <n v="7191"/>
    <n v="140661"/>
    <n v="93"/>
    <n v="0"/>
    <n v="155109"/>
    <n v="55"/>
    <n v="0"/>
    <m/>
    <m/>
    <n v="61837"/>
    <n v="64314"/>
    <n v="5424"/>
    <n v="4153"/>
    <n v="1672"/>
    <n v="577"/>
    <n v="54726"/>
    <n v="15"/>
    <n v="0"/>
    <n v="59569"/>
    <n v="15"/>
    <n v="0"/>
    <m/>
    <m/>
  </r>
  <r>
    <x v="13"/>
    <s v="Texas A&amp;M University-Corpus Christi "/>
    <s v="Met the requirments for 4-Year 2 in 2021-22"/>
    <n v="224147"/>
    <x v="2"/>
    <n v="224349"/>
    <n v="207923"/>
    <n v="105385"/>
    <n v="94743"/>
    <n v="0"/>
    <n v="0"/>
    <n v="118917"/>
    <n v="47"/>
    <n v="0"/>
    <n v="113084"/>
    <n v="96"/>
    <n v="0"/>
    <m/>
    <m/>
    <n v="42530"/>
    <n v="54140"/>
    <n v="7224"/>
    <n v="7708"/>
    <n v="0"/>
    <n v="0"/>
    <n v="35303"/>
    <n v="3"/>
    <n v="0"/>
    <n v="46429"/>
    <n v="3"/>
    <n v="0"/>
    <m/>
    <m/>
  </r>
  <r>
    <x v="13"/>
    <s v="Texas A&amp;M University-Kingsville"/>
    <m/>
    <n v="228705"/>
    <x v="2"/>
    <n v="142771"/>
    <n v="129140"/>
    <n v="82918"/>
    <n v="65628"/>
    <n v="2704"/>
    <n v="1607"/>
    <n v="47202"/>
    <n v="9947"/>
    <n v="0"/>
    <n v="61842"/>
    <n v="63"/>
    <n v="0"/>
    <m/>
    <m/>
    <n v="24117"/>
    <n v="25464"/>
    <n v="12077"/>
    <n v="10060"/>
    <n v="75"/>
    <n v="0"/>
    <n v="10778"/>
    <n v="1187"/>
    <n v="0"/>
    <n v="15305"/>
    <n v="99"/>
    <n v="0"/>
    <m/>
    <m/>
  </r>
  <r>
    <x v="13"/>
    <s v="Texas Southern University "/>
    <m/>
    <n v="229063"/>
    <x v="2"/>
    <n v="157667"/>
    <n v="148823"/>
    <n v="91243"/>
    <n v="89286"/>
    <n v="48"/>
    <n v="54"/>
    <n v="0"/>
    <n v="0"/>
    <n v="66376"/>
    <n v="0"/>
    <n v="0"/>
    <n v="59483"/>
    <m/>
    <m/>
    <n v="41935"/>
    <n v="41514"/>
    <n v="29399"/>
    <n v="30351"/>
    <n v="0"/>
    <n v="0"/>
    <n v="0"/>
    <n v="0"/>
    <n v="12536"/>
    <n v="0"/>
    <n v="0"/>
    <n v="11163"/>
    <m/>
    <m/>
  </r>
  <r>
    <x v="13"/>
    <s v="University of Houston-Clear Lake "/>
    <m/>
    <n v="225414"/>
    <x v="2"/>
    <n v="151280"/>
    <n v="152629"/>
    <n v="51744"/>
    <n v="45769"/>
    <n v="4557"/>
    <n v="2577"/>
    <n v="94979"/>
    <n v="0"/>
    <n v="0"/>
    <n v="104283"/>
    <n v="0"/>
    <n v="0"/>
    <m/>
    <m/>
    <n v="41126"/>
    <n v="40137"/>
    <n v="10572"/>
    <n v="7763"/>
    <n v="4194"/>
    <n v="2151"/>
    <n v="26360"/>
    <n v="0"/>
    <n v="0"/>
    <n v="30223"/>
    <n v="0"/>
    <n v="0"/>
    <m/>
    <m/>
  </r>
  <r>
    <x v="13"/>
    <s v="University of Texas at Tyler"/>
    <m/>
    <n v="228802"/>
    <x v="2"/>
    <n v="179820"/>
    <n v="176525"/>
    <n v="55022"/>
    <n v="51716"/>
    <n v="8697"/>
    <n v="7613"/>
    <n v="115077"/>
    <n v="1024"/>
    <n v="0"/>
    <n v="115961"/>
    <n v="1235"/>
    <n v="0"/>
    <m/>
    <m/>
    <n v="38854"/>
    <n v="38455"/>
    <n v="3651"/>
    <n v="4086"/>
    <n v="18"/>
    <n v="12"/>
    <n v="35122"/>
    <n v="63"/>
    <n v="0"/>
    <n v="34291"/>
    <n v="66"/>
    <n v="0"/>
    <m/>
    <m/>
  </r>
  <r>
    <x v="13"/>
    <s v="University of Texas Permian Basin"/>
    <m/>
    <n v="229018"/>
    <x v="2"/>
    <n v="102741"/>
    <n v="101003"/>
    <n v="31108"/>
    <n v="33979"/>
    <n v="81"/>
    <n v="213"/>
    <n v="71552"/>
    <n v="0"/>
    <n v="0"/>
    <n v="66811"/>
    <n v="0"/>
    <n v="0"/>
    <m/>
    <m/>
    <n v="15981"/>
    <n v="17820"/>
    <n v="1716"/>
    <n v="1588"/>
    <n v="0"/>
    <n v="0"/>
    <n v="14265"/>
    <n v="0"/>
    <n v="0"/>
    <n v="16232"/>
    <n v="0"/>
    <n v="0"/>
    <m/>
    <m/>
  </r>
  <r>
    <x v="13"/>
    <s v="University of Texas-Rio Grande Valley"/>
    <s v="Met the requirments for 4-Year 2 in 2021-22"/>
    <n v="227368"/>
    <x v="2"/>
    <n v="722418"/>
    <n v="688467"/>
    <n v="198346"/>
    <n v="184788"/>
    <n v="2653"/>
    <n v="4264"/>
    <n v="514775"/>
    <n v="6644"/>
    <n v="0"/>
    <n v="495454"/>
    <n v="3961"/>
    <n v="0"/>
    <m/>
    <m/>
    <n v="89493"/>
    <n v="110798"/>
    <n v="14757"/>
    <n v="18981"/>
    <n v="456"/>
    <n v="478"/>
    <n v="72742"/>
    <n v="1538"/>
    <n v="0"/>
    <n v="90565"/>
    <n v="774"/>
    <n v="0"/>
    <m/>
    <m/>
  </r>
  <r>
    <x v="13"/>
    <s v="West Texas A&amp;M University"/>
    <m/>
    <n v="229814"/>
    <x v="2"/>
    <n v="187090"/>
    <n v="177055"/>
    <n v="113689"/>
    <n v="100997"/>
    <n v="303"/>
    <n v="33"/>
    <n v="73098"/>
    <n v="0"/>
    <n v="0"/>
    <n v="76025"/>
    <n v="0"/>
    <n v="0"/>
    <m/>
    <m/>
    <n v="38575"/>
    <n v="37951"/>
    <n v="5400"/>
    <n v="4637"/>
    <n v="0"/>
    <n v="0"/>
    <n v="33175"/>
    <n v="0"/>
    <n v="0"/>
    <n v="33314"/>
    <n v="0"/>
    <n v="0"/>
    <m/>
    <m/>
  </r>
  <r>
    <x v="13"/>
    <s v="Texas A&amp;M -Texarkana"/>
    <s v="Met the requirments for 4-Year 3 in 2021-22"/>
    <n v="224545"/>
    <x v="3"/>
    <n v="43513"/>
    <n v="41165"/>
    <n v="14065"/>
    <n v="12297"/>
    <n v="772"/>
    <n v="522"/>
    <n v="28544"/>
    <n v="132"/>
    <n v="0"/>
    <n v="28157"/>
    <n v="189"/>
    <n v="0"/>
    <m/>
    <m/>
    <n v="5528"/>
    <n v="5390"/>
    <n v="433"/>
    <n v="375"/>
    <n v="75"/>
    <n v="0"/>
    <n v="5020"/>
    <n v="0"/>
    <n v="0"/>
    <n v="5015"/>
    <n v="0"/>
    <n v="0"/>
    <m/>
    <m/>
  </r>
  <r>
    <x v="13"/>
    <s v="Texas A&amp;M University-Central Texas"/>
    <m/>
    <n v="483036"/>
    <x v="2"/>
    <n v="39440"/>
    <n v="36958"/>
    <n v="10185"/>
    <n v="2595"/>
    <n v="444"/>
    <n v="342"/>
    <n v="27142"/>
    <n v="1669"/>
    <n v="0"/>
    <n v="32397"/>
    <n v="1624"/>
    <n v="0"/>
    <m/>
    <m/>
    <n v="7891"/>
    <n v="7961"/>
    <n v="2134"/>
    <n v="312"/>
    <n v="0"/>
    <n v="0"/>
    <n v="5508"/>
    <n v="249"/>
    <n v="0"/>
    <n v="6710"/>
    <n v="939"/>
    <n v="0"/>
    <m/>
    <m/>
  </r>
  <r>
    <x v="13"/>
    <s v="University of Houston-Downtown"/>
    <s v="Met the requirments for 4-Year 3 in 2021-22"/>
    <n v="225432"/>
    <x v="3"/>
    <n v="293542"/>
    <n v="295433"/>
    <n v="55135"/>
    <n v="33511"/>
    <n v="3035"/>
    <n v="1966"/>
    <n v="235043"/>
    <n v="329"/>
    <n v="0"/>
    <n v="259465"/>
    <n v="491"/>
    <n v="0"/>
    <m/>
    <m/>
    <n v="27336"/>
    <n v="26950"/>
    <n v="1077"/>
    <n v="837"/>
    <n v="0"/>
    <n v="0"/>
    <n v="26220"/>
    <n v="39"/>
    <n v="0"/>
    <n v="26062"/>
    <n v="51"/>
    <n v="0"/>
    <m/>
    <m/>
  </r>
  <r>
    <x v="13"/>
    <s v="University of Houston-Victoria"/>
    <s v="Met the requirments for 4-Year 3 in 2021-22"/>
    <n v="225502"/>
    <x v="3"/>
    <n v="75176"/>
    <n v="71106"/>
    <n v="10029"/>
    <n v="5479"/>
    <n v="1404"/>
    <n v="885"/>
    <n v="61964"/>
    <n v="1779"/>
    <n v="0"/>
    <n v="64184"/>
    <n v="558"/>
    <n v="0"/>
    <m/>
    <m/>
    <n v="24568"/>
    <n v="21280"/>
    <n v="127"/>
    <n v="90"/>
    <n v="769"/>
    <n v="405"/>
    <n v="22997"/>
    <n v="675"/>
    <n v="0"/>
    <n v="20374"/>
    <n v="411"/>
    <n v="0"/>
    <m/>
    <m/>
  </r>
  <r>
    <x v="13"/>
    <s v="Sul Ross State University-Rio Grande College"/>
    <s v="Met the requirments for 4-Year 4 in 2021-22"/>
    <s v="228501B"/>
    <x v="4"/>
    <n v="14314"/>
    <n v="13433"/>
    <n v="629"/>
    <n v="726"/>
    <n v="168"/>
    <n v="144"/>
    <n v="9309"/>
    <n v="2142"/>
    <n v="2066"/>
    <n v="11441"/>
    <n v="1122"/>
    <n v="0"/>
    <m/>
    <m/>
    <n v="1512"/>
    <n v="1596"/>
    <n v="192"/>
    <n v="6"/>
    <n v="120"/>
    <n v="174"/>
    <n v="948"/>
    <n v="90"/>
    <n v="162"/>
    <n v="1398"/>
    <n v="18"/>
    <n v="0"/>
    <m/>
    <m/>
  </r>
  <r>
    <x v="13"/>
    <s v="Texas A&amp;M University at Galveston"/>
    <s v="Met the requirments for 4-Year 4 in 2021-22"/>
    <n v="228714"/>
    <x v="4"/>
    <n v="50583"/>
    <n v="49604"/>
    <n v="28418"/>
    <n v="42548"/>
    <n v="5621"/>
    <n v="3041"/>
    <n v="16475"/>
    <n v="9"/>
    <n v="60"/>
    <n v="3915"/>
    <n v="0"/>
    <n v="100"/>
    <m/>
    <m/>
    <n v="2949"/>
    <n v="3330"/>
    <n v="1326"/>
    <n v="2040"/>
    <n v="143"/>
    <n v="219"/>
    <n v="1446"/>
    <n v="0"/>
    <n v="34"/>
    <n v="1070"/>
    <n v="0"/>
    <n v="1"/>
    <m/>
    <m/>
  </r>
  <r>
    <x v="13"/>
    <s v="Texas A&amp;M University-San Antonio"/>
    <s v="Met the requirments for 4-Year 4 in 2021-22"/>
    <n v="870501"/>
    <x v="3"/>
    <n v="134983"/>
    <n v="133102"/>
    <n v="45530"/>
    <n v="25164"/>
    <n v="807"/>
    <n v="0"/>
    <n v="88493"/>
    <n v="0"/>
    <n v="153"/>
    <n v="107489"/>
    <n v="0"/>
    <n v="449"/>
    <m/>
    <m/>
    <n v="10713"/>
    <n v="8326"/>
    <n v="2115"/>
    <n v="1063"/>
    <n v="0"/>
    <n v="0"/>
    <n v="7482"/>
    <n v="0"/>
    <n v="1116"/>
    <n v="7263"/>
    <n v="0"/>
    <n v="0"/>
    <m/>
    <m/>
  </r>
  <r>
    <x v="13"/>
    <s v="Brazosport College "/>
    <s v="Met the criteria Two-Year 2 in 2020-21, and 2021-22"/>
    <n v="223506"/>
    <x v="12"/>
    <n v="66819"/>
    <n v="66450"/>
    <n v="22631"/>
    <n v="14106"/>
    <n v="1074"/>
    <n v="991"/>
    <n v="43114"/>
    <n v="0"/>
    <n v="0"/>
    <n v="51353"/>
    <n v="0"/>
    <n v="0"/>
    <m/>
    <m/>
    <n v="0"/>
    <n v="0"/>
    <n v="0"/>
    <n v="0"/>
    <n v="0"/>
    <n v="0"/>
    <n v="0"/>
    <n v="0"/>
    <n v="0"/>
    <n v="0"/>
    <n v="0"/>
    <n v="0"/>
    <m/>
    <m/>
  </r>
  <r>
    <x v="13"/>
    <s v="Midland College "/>
    <s v="Met the criteria Two-Year 2 in 2020-21, and 2021-22"/>
    <n v="226806"/>
    <x v="12"/>
    <n v="87722"/>
    <n v="86243"/>
    <n v="28881"/>
    <n v="30732"/>
    <n v="9972"/>
    <n v="10367"/>
    <n v="48230"/>
    <n v="639"/>
    <n v="0"/>
    <n v="44670"/>
    <n v="474"/>
    <n v="0"/>
    <m/>
    <m/>
    <n v="0"/>
    <n v="0"/>
    <n v="0"/>
    <n v="0"/>
    <n v="0"/>
    <n v="0"/>
    <n v="0"/>
    <n v="0"/>
    <n v="0"/>
    <n v="0"/>
    <n v="0"/>
    <n v="0"/>
    <m/>
    <m/>
  </r>
  <r>
    <x v="13"/>
    <s v="South Texas College"/>
    <s v="Met the critera for Two-Year 1 in 2020-21, and 2021-22"/>
    <n v="409315"/>
    <x v="12"/>
    <n v="591272"/>
    <n v="524265"/>
    <n v="213381"/>
    <n v="119684"/>
    <n v="0"/>
    <n v="0"/>
    <n v="377891"/>
    <n v="0"/>
    <n v="0"/>
    <n v="404581"/>
    <n v="0"/>
    <n v="0"/>
    <m/>
    <m/>
    <n v="0"/>
    <n v="0"/>
    <n v="0"/>
    <n v="0"/>
    <n v="0"/>
    <n v="0"/>
    <n v="0"/>
    <n v="0"/>
    <n v="0"/>
    <n v="0"/>
    <n v="0"/>
    <n v="0"/>
    <m/>
    <m/>
  </r>
  <r>
    <x v="13"/>
    <s v="Amarillo College "/>
    <m/>
    <n v="222576"/>
    <x v="5"/>
    <n v="166868"/>
    <n v="160783"/>
    <n v="77187"/>
    <n v="67059"/>
    <n v="7069"/>
    <n v="9694"/>
    <n v="82306"/>
    <n v="306"/>
    <n v="0"/>
    <n v="83922"/>
    <n v="108"/>
    <n v="0"/>
    <m/>
    <m/>
    <n v="0"/>
    <n v="0"/>
    <n v="0"/>
    <n v="0"/>
    <n v="0"/>
    <n v="0"/>
    <n v="0"/>
    <n v="0"/>
    <n v="0"/>
    <n v="0"/>
    <n v="0"/>
    <n v="0"/>
    <m/>
    <m/>
  </r>
  <r>
    <x v="13"/>
    <s v="Austin Community College "/>
    <m/>
    <n v="222992"/>
    <x v="5"/>
    <n v="722940"/>
    <n v="674400"/>
    <n v="231307"/>
    <n v="73995"/>
    <n v="20846"/>
    <n v="18690"/>
    <n v="470787"/>
    <n v="0"/>
    <n v="0"/>
    <n v="581715"/>
    <n v="0"/>
    <n v="0"/>
    <m/>
    <m/>
    <n v="0"/>
    <n v="0"/>
    <n v="0"/>
    <n v="0"/>
    <n v="0"/>
    <n v="0"/>
    <n v="0"/>
    <n v="0"/>
    <n v="0"/>
    <n v="0"/>
    <n v="0"/>
    <n v="0"/>
    <m/>
    <m/>
  </r>
  <r>
    <x v="13"/>
    <s v="Blinn College"/>
    <s v="Met the criteria Two-Year 3 in 2021-22"/>
    <n v="223427"/>
    <x v="5"/>
    <n v="408413"/>
    <n v="361863"/>
    <n v="25308"/>
    <n v="20582"/>
    <n v="107915"/>
    <n v="89735"/>
    <n v="265522"/>
    <n v="9665"/>
    <n v="3"/>
    <n v="230622"/>
    <n v="16607"/>
    <n v="4317"/>
    <m/>
    <m/>
    <n v="0"/>
    <n v="0"/>
    <n v="0"/>
    <n v="0"/>
    <n v="0"/>
    <n v="0"/>
    <n v="0"/>
    <n v="0"/>
    <n v="0"/>
    <n v="0"/>
    <n v="0"/>
    <n v="0"/>
    <m/>
    <m/>
  </r>
  <r>
    <x v="13"/>
    <s v="Brookhaven College (DCCCD)"/>
    <m/>
    <n v="223524"/>
    <x v="5"/>
    <n v="135968"/>
    <n v="0"/>
    <n v="50660"/>
    <m/>
    <n v="4186"/>
    <m/>
    <n v="81122"/>
    <n v="0"/>
    <n v="0"/>
    <m/>
    <m/>
    <m/>
    <m/>
    <m/>
    <n v="0"/>
    <n v="0"/>
    <n v="0"/>
    <n v="0"/>
    <n v="0"/>
    <n v="0"/>
    <n v="0"/>
    <n v="0"/>
    <n v="0"/>
    <n v="0"/>
    <n v="0"/>
    <n v="0"/>
    <m/>
    <m/>
  </r>
  <r>
    <x v="13"/>
    <s v="Central Texas College "/>
    <m/>
    <n v="223816"/>
    <x v="5"/>
    <n v="201609"/>
    <n v="168756"/>
    <n v="32259"/>
    <n v="21547"/>
    <n v="13078"/>
    <n v="5786"/>
    <n v="136438"/>
    <n v="19647"/>
    <n v="187"/>
    <n v="122333"/>
    <n v="18838"/>
    <n v="252"/>
    <m/>
    <m/>
    <n v="0"/>
    <n v="0"/>
    <n v="0"/>
    <n v="0"/>
    <n v="0"/>
    <n v="0"/>
    <n v="0"/>
    <n v="0"/>
    <n v="0"/>
    <n v="0"/>
    <n v="0"/>
    <n v="0"/>
    <m/>
    <m/>
  </r>
  <r>
    <x v="13"/>
    <s v="Collin County Community College District"/>
    <m/>
    <n v="247834"/>
    <x v="5"/>
    <n v="640606"/>
    <n v="627448"/>
    <n v="208802"/>
    <n v="181981"/>
    <n v="41879"/>
    <n v="40409"/>
    <n v="389835"/>
    <n v="0"/>
    <n v="90"/>
    <n v="405058"/>
    <n v="0"/>
    <n v="0"/>
    <m/>
    <m/>
    <n v="0"/>
    <n v="0"/>
    <n v="0"/>
    <n v="0"/>
    <n v="0"/>
    <n v="0"/>
    <n v="0"/>
    <n v="0"/>
    <n v="0"/>
    <n v="0"/>
    <n v="0"/>
    <n v="0"/>
    <m/>
    <m/>
  </r>
  <r>
    <x v="13"/>
    <s v="Del Mar College "/>
    <m/>
    <n v="224350"/>
    <x v="5"/>
    <n v="193052"/>
    <n v="193040"/>
    <n v="95810"/>
    <n v="57901"/>
    <n v="4207"/>
    <n v="3175"/>
    <n v="91076"/>
    <n v="1959"/>
    <n v="0"/>
    <n v="130374"/>
    <n v="1590"/>
    <n v="0"/>
    <m/>
    <m/>
    <n v="0"/>
    <n v="0"/>
    <n v="0"/>
    <n v="0"/>
    <n v="0"/>
    <n v="0"/>
    <n v="0"/>
    <n v="0"/>
    <n v="0"/>
    <n v="0"/>
    <n v="0"/>
    <n v="0"/>
    <m/>
    <m/>
  </r>
  <r>
    <x v="13"/>
    <s v="Eastfield College (DCCCD)"/>
    <s v="Met the criteria Two-Year 3 2021-22"/>
    <n v="224572"/>
    <x v="5"/>
    <n v="193615"/>
    <n v="0"/>
    <n v="70359"/>
    <m/>
    <n v="21301"/>
    <m/>
    <n v="101834"/>
    <n v="0"/>
    <n v="121"/>
    <m/>
    <m/>
    <m/>
    <m/>
    <m/>
    <n v="0"/>
    <n v="0"/>
    <n v="0"/>
    <n v="0"/>
    <n v="0"/>
    <n v="0"/>
    <n v="0"/>
    <n v="0"/>
    <n v="0"/>
    <n v="0"/>
    <n v="0"/>
    <n v="0"/>
    <m/>
    <m/>
  </r>
  <r>
    <x v="13"/>
    <s v="El Centro College  (DCCCD)"/>
    <s v="Met the criteria Two-Year 3 2021-22"/>
    <n v="224615"/>
    <x v="5"/>
    <n v="107210"/>
    <n v="0"/>
    <n v="39319"/>
    <m/>
    <n v="7960"/>
    <m/>
    <n v="59931"/>
    <n v="0"/>
    <n v="0"/>
    <m/>
    <m/>
    <m/>
    <m/>
    <m/>
    <n v="0"/>
    <n v="0"/>
    <n v="0"/>
    <n v="0"/>
    <n v="0"/>
    <n v="0"/>
    <n v="0"/>
    <n v="0"/>
    <n v="0"/>
    <n v="0"/>
    <n v="0"/>
    <n v="0"/>
    <m/>
    <m/>
  </r>
  <r>
    <x v="13"/>
    <s v="El Paso County Community College District"/>
    <m/>
    <n v="224642"/>
    <x v="5"/>
    <n v="489541"/>
    <n v="420247"/>
    <n v="144491"/>
    <n v="25421"/>
    <n v="34137"/>
    <n v="37999"/>
    <n v="310913"/>
    <n v="0"/>
    <n v="0"/>
    <n v="356827"/>
    <n v="0"/>
    <n v="0"/>
    <m/>
    <m/>
    <n v="0"/>
    <n v="0"/>
    <n v="0"/>
    <n v="0"/>
    <n v="0"/>
    <n v="0"/>
    <n v="0"/>
    <n v="0"/>
    <n v="0"/>
    <n v="0"/>
    <n v="0"/>
    <n v="0"/>
    <m/>
    <m/>
  </r>
  <r>
    <x v="13"/>
    <s v="Houston Community College"/>
    <m/>
    <n v="225423"/>
    <x v="5"/>
    <n v="955174"/>
    <n v="866165"/>
    <n v="223918"/>
    <n v="57821"/>
    <n v="75957"/>
    <n v="26518"/>
    <n v="655299"/>
    <n v="0"/>
    <n v="0"/>
    <n v="781826"/>
    <n v="0"/>
    <n v="0"/>
    <m/>
    <m/>
    <n v="0"/>
    <n v="0"/>
    <n v="0"/>
    <n v="0"/>
    <n v="0"/>
    <n v="0"/>
    <n v="0"/>
    <n v="0"/>
    <n v="0"/>
    <n v="0"/>
    <n v="0"/>
    <n v="0"/>
    <m/>
    <m/>
  </r>
  <r>
    <x v="13"/>
    <s v="Laredo College "/>
    <m/>
    <n v="226134"/>
    <x v="5"/>
    <n v="145391"/>
    <n v="183455"/>
    <n v="47717"/>
    <n v="19501"/>
    <n v="23119"/>
    <n v="18873"/>
    <n v="74246"/>
    <n v="309"/>
    <n v="0"/>
    <n v="142284"/>
    <n v="2797"/>
    <n v="0"/>
    <m/>
    <m/>
    <n v="0"/>
    <n v="0"/>
    <n v="0"/>
    <n v="0"/>
    <n v="0"/>
    <n v="0"/>
    <n v="0"/>
    <n v="0"/>
    <n v="0"/>
    <n v="0"/>
    <n v="0"/>
    <n v="0"/>
    <m/>
    <m/>
  </r>
  <r>
    <x v="13"/>
    <s v="Lone Star College System District"/>
    <m/>
    <n v="227182"/>
    <x v="5"/>
    <n v="1236648"/>
    <n v="1268558"/>
    <n v="314472"/>
    <n v="86904"/>
    <n v="90811"/>
    <n v="72123"/>
    <n v="831365"/>
    <n v="0"/>
    <n v="0"/>
    <n v="1109531"/>
    <n v="0"/>
    <n v="0"/>
    <m/>
    <m/>
    <n v="0"/>
    <n v="0"/>
    <n v="0"/>
    <n v="0"/>
    <n v="0"/>
    <n v="0"/>
    <n v="0"/>
    <n v="0"/>
    <n v="0"/>
    <n v="0"/>
    <n v="0"/>
    <n v="0"/>
    <m/>
    <m/>
  </r>
  <r>
    <x v="13"/>
    <s v="McLennan Community College "/>
    <m/>
    <n v="226578"/>
    <x v="5"/>
    <n v="168316"/>
    <n v="151035"/>
    <n v="41760"/>
    <n v="24926"/>
    <n v="0"/>
    <n v="0"/>
    <n v="126385"/>
    <n v="171"/>
    <n v="0"/>
    <n v="126109"/>
    <n v="0"/>
    <n v="0"/>
    <m/>
    <m/>
    <n v="0"/>
    <n v="0"/>
    <n v="0"/>
    <n v="0"/>
    <n v="0"/>
    <n v="0"/>
    <n v="0"/>
    <n v="0"/>
    <n v="0"/>
    <n v="0"/>
    <n v="0"/>
    <n v="0"/>
    <m/>
    <m/>
  </r>
  <r>
    <x v="13"/>
    <s v="Mountain View College  (DCCCD)"/>
    <s v="Met the criteria Two-Year 3 2021-22"/>
    <n v="226930"/>
    <x v="5"/>
    <n v="119701"/>
    <n v="0"/>
    <n v="45733"/>
    <m/>
    <n v="6261"/>
    <m/>
    <n v="67707"/>
    <n v="0"/>
    <n v="0"/>
    <m/>
    <m/>
    <m/>
    <m/>
    <m/>
    <n v="0"/>
    <n v="0"/>
    <n v="0"/>
    <n v="0"/>
    <n v="0"/>
    <n v="0"/>
    <n v="0"/>
    <n v="0"/>
    <n v="0"/>
    <n v="0"/>
    <n v="0"/>
    <n v="0"/>
    <m/>
    <m/>
  </r>
  <r>
    <x v="13"/>
    <s v="Navarro College "/>
    <s v="Met the criteria Two-Year 2 2021-22"/>
    <n v="227146"/>
    <x v="5"/>
    <n v="151825"/>
    <n v="134849"/>
    <n v="35423"/>
    <n v="26353"/>
    <n v="54239"/>
    <n v="35440"/>
    <n v="62163"/>
    <n v="0"/>
    <n v="0"/>
    <n v="72960"/>
    <n v="96"/>
    <n v="0"/>
    <m/>
    <m/>
    <n v="0"/>
    <n v="0"/>
    <n v="0"/>
    <n v="0"/>
    <n v="0"/>
    <n v="0"/>
    <n v="0"/>
    <n v="0"/>
    <n v="0"/>
    <n v="0"/>
    <n v="0"/>
    <n v="0"/>
    <m/>
    <m/>
  </r>
  <r>
    <x v="13"/>
    <s v="North Central Texas Community College"/>
    <m/>
    <n v="224110"/>
    <x v="5"/>
    <n v="168484"/>
    <n v="150323"/>
    <n v="12104"/>
    <n v="10326"/>
    <n v="42060"/>
    <n v="23801"/>
    <n v="114155"/>
    <n v="150"/>
    <n v="15"/>
    <n v="116022"/>
    <n v="171"/>
    <n v="3"/>
    <m/>
    <m/>
    <n v="0"/>
    <n v="0"/>
    <n v="0"/>
    <n v="0"/>
    <n v="0"/>
    <n v="0"/>
    <n v="0"/>
    <n v="0"/>
    <n v="0"/>
    <n v="0"/>
    <n v="0"/>
    <n v="0"/>
    <m/>
    <m/>
  </r>
  <r>
    <x v="13"/>
    <s v="North Lake College (DCCCD)"/>
    <s v="Met the criteria Two-Year 3 2021-22"/>
    <n v="227191"/>
    <x v="5"/>
    <n v="123876"/>
    <n v="0"/>
    <n v="39947"/>
    <m/>
    <n v="2483"/>
    <m/>
    <n v="81446"/>
    <n v="0"/>
    <n v="0"/>
    <m/>
    <m/>
    <m/>
    <m/>
    <m/>
    <n v="0"/>
    <n v="0"/>
    <n v="0"/>
    <n v="0"/>
    <n v="0"/>
    <n v="0"/>
    <n v="0"/>
    <n v="0"/>
    <n v="0"/>
    <n v="0"/>
    <n v="0"/>
    <n v="0"/>
    <m/>
    <m/>
  </r>
  <r>
    <x v="13"/>
    <s v="Northwest Vista College (ACCD)"/>
    <m/>
    <n v="420398"/>
    <x v="5"/>
    <n v="286134"/>
    <n v="252191"/>
    <n v="153586"/>
    <n v="20267"/>
    <n v="41752"/>
    <n v="39361"/>
    <n v="90796"/>
    <n v="0"/>
    <n v="0"/>
    <n v="100079"/>
    <n v="0"/>
    <n v="92484"/>
    <m/>
    <m/>
    <n v="0"/>
    <n v="0"/>
    <n v="0"/>
    <n v="0"/>
    <n v="0"/>
    <n v="0"/>
    <n v="0"/>
    <n v="0"/>
    <n v="0"/>
    <n v="0"/>
    <n v="0"/>
    <n v="0"/>
    <m/>
    <m/>
  </r>
  <r>
    <x v="13"/>
    <s v="Palo Alto College (ACCD)"/>
    <s v="Met the criteria Two-Year 2 2021-22"/>
    <n v="246354"/>
    <x v="5"/>
    <n v="163134"/>
    <n v="145243"/>
    <n v="77970"/>
    <n v="20943"/>
    <n v="10838"/>
    <n v="12685"/>
    <n v="74326"/>
    <n v="0"/>
    <n v="0"/>
    <n v="72871"/>
    <n v="0"/>
    <n v="38744"/>
    <m/>
    <m/>
    <n v="0"/>
    <n v="0"/>
    <n v="0"/>
    <n v="0"/>
    <n v="0"/>
    <n v="0"/>
    <n v="0"/>
    <n v="0"/>
    <n v="0"/>
    <n v="0"/>
    <n v="0"/>
    <n v="0"/>
    <m/>
    <m/>
  </r>
  <r>
    <x v="13"/>
    <s v="Richland College (DCCCD)"/>
    <s v="Met the criteria Two-Year 3 2021-22"/>
    <n v="227766"/>
    <x v="5"/>
    <n v="220780"/>
    <n v="0"/>
    <n v="79724"/>
    <m/>
    <n v="13223"/>
    <m/>
    <n v="127833"/>
    <n v="0"/>
    <n v="0"/>
    <m/>
    <m/>
    <m/>
    <m/>
    <m/>
    <n v="0"/>
    <n v="0"/>
    <n v="0"/>
    <n v="0"/>
    <n v="0"/>
    <n v="0"/>
    <n v="0"/>
    <n v="0"/>
    <n v="0"/>
    <n v="0"/>
    <n v="0"/>
    <n v="0"/>
    <m/>
    <m/>
  </r>
  <r>
    <x v="13"/>
    <s v="San Antonio College (ACCD)"/>
    <m/>
    <n v="227924"/>
    <x v="5"/>
    <n v="303452"/>
    <n v="268707"/>
    <n v="160935"/>
    <n v="57061"/>
    <n v="15653"/>
    <n v="12837"/>
    <n v="126864"/>
    <n v="0"/>
    <n v="0"/>
    <n v="133632"/>
    <n v="0"/>
    <n v="65177"/>
    <m/>
    <m/>
    <n v="0"/>
    <n v="0"/>
    <n v="0"/>
    <n v="0"/>
    <n v="0"/>
    <n v="0"/>
    <n v="0"/>
    <n v="0"/>
    <n v="0"/>
    <n v="0"/>
    <n v="0"/>
    <n v="0"/>
    <m/>
    <m/>
  </r>
  <r>
    <x v="13"/>
    <s v="San Jacinto College"/>
    <m/>
    <n v="227979"/>
    <x v="5"/>
    <n v="589014"/>
    <n v="575198"/>
    <n v="192338"/>
    <n v="143253"/>
    <n v="7029"/>
    <n v="7289"/>
    <n v="389623"/>
    <n v="24"/>
    <n v="0"/>
    <n v="424656"/>
    <n v="0"/>
    <n v="0"/>
    <m/>
    <m/>
    <n v="0"/>
    <n v="0"/>
    <n v="0"/>
    <n v="0"/>
    <n v="0"/>
    <n v="0"/>
    <n v="0"/>
    <n v="0"/>
    <n v="0"/>
    <n v="0"/>
    <n v="0"/>
    <n v="0"/>
    <m/>
    <m/>
  </r>
  <r>
    <x v="13"/>
    <s v="South Plains College "/>
    <m/>
    <n v="228158"/>
    <x v="5"/>
    <n v="178439"/>
    <n v="173949"/>
    <n v="51481"/>
    <n v="49501"/>
    <n v="46399"/>
    <n v="42490"/>
    <n v="78021"/>
    <n v="2538"/>
    <n v="0"/>
    <n v="80761"/>
    <n v="1197"/>
    <n v="0"/>
    <m/>
    <m/>
    <n v="0"/>
    <n v="0"/>
    <n v="0"/>
    <n v="0"/>
    <n v="0"/>
    <n v="0"/>
    <n v="0"/>
    <n v="0"/>
    <n v="0"/>
    <n v="0"/>
    <n v="0"/>
    <n v="0"/>
    <m/>
    <m/>
  </r>
  <r>
    <x v="13"/>
    <s v="St. Philip's College (ACCD)"/>
    <m/>
    <n v="227854"/>
    <x v="5"/>
    <n v="183846"/>
    <n v="177159"/>
    <n v="81995"/>
    <n v="27888"/>
    <n v="28339"/>
    <n v="23955"/>
    <n v="73512"/>
    <n v="0"/>
    <n v="0"/>
    <n v="70773"/>
    <n v="0"/>
    <n v="54543"/>
    <m/>
    <m/>
    <n v="0"/>
    <n v="0"/>
    <n v="0"/>
    <n v="0"/>
    <n v="0"/>
    <n v="0"/>
    <n v="0"/>
    <n v="0"/>
    <n v="0"/>
    <n v="0"/>
    <n v="0"/>
    <n v="0"/>
    <m/>
    <m/>
  </r>
  <r>
    <x v="13"/>
    <s v="Tarrant County College"/>
    <m/>
    <n v="228547"/>
    <x v="5"/>
    <n v="892273"/>
    <n v="777956"/>
    <n v="661403"/>
    <n v="233999"/>
    <n v="37574"/>
    <n v="28617"/>
    <n v="193296"/>
    <n v="0"/>
    <n v="0"/>
    <n v="515340"/>
    <n v="0"/>
    <n v="0"/>
    <m/>
    <m/>
    <n v="0"/>
    <n v="0"/>
    <n v="0"/>
    <n v="0"/>
    <n v="0"/>
    <n v="0"/>
    <n v="0"/>
    <n v="0"/>
    <n v="0"/>
    <n v="0"/>
    <n v="0"/>
    <n v="0"/>
    <m/>
    <m/>
  </r>
  <r>
    <x v="13"/>
    <s v="Trinity Valley Community College"/>
    <s v="Met the criteria Two-Year 2 2021-22"/>
    <n v="225308"/>
    <x v="5"/>
    <n v="119610"/>
    <n v="111238"/>
    <n v="20933"/>
    <n v="21106"/>
    <n v="12142"/>
    <n v="13309"/>
    <n v="80902"/>
    <n v="5633"/>
    <n v="0"/>
    <n v="73448"/>
    <n v="3375"/>
    <n v="0"/>
    <m/>
    <m/>
    <n v="0"/>
    <n v="0"/>
    <n v="0"/>
    <n v="0"/>
    <n v="0"/>
    <n v="0"/>
    <n v="0"/>
    <n v="0"/>
    <n v="0"/>
    <n v="0"/>
    <n v="0"/>
    <n v="0"/>
    <m/>
    <m/>
  </r>
  <r>
    <x v="13"/>
    <s v="Tyler Junior College "/>
    <m/>
    <n v="229355"/>
    <x v="5"/>
    <n v="247920"/>
    <n v="238589"/>
    <n v="104136"/>
    <n v="98796"/>
    <n v="13223"/>
    <n v="15841"/>
    <n v="130561"/>
    <n v="0"/>
    <n v="0"/>
    <n v="123952"/>
    <n v="0"/>
    <n v="0"/>
    <m/>
    <m/>
    <n v="0"/>
    <n v="0"/>
    <n v="0"/>
    <n v="0"/>
    <n v="0"/>
    <n v="0"/>
    <n v="0"/>
    <n v="0"/>
    <n v="0"/>
    <n v="0"/>
    <n v="0"/>
    <n v="0"/>
    <m/>
    <m/>
  </r>
  <r>
    <x v="13"/>
    <s v="Alvin Community College "/>
    <m/>
    <n v="222567"/>
    <x v="6"/>
    <n v="101159"/>
    <n v="90181"/>
    <n v="27836"/>
    <n v="15931"/>
    <n v="19998"/>
    <n v="12867"/>
    <n v="29107"/>
    <n v="24218"/>
    <n v="0"/>
    <n v="36312"/>
    <n v="25071"/>
    <n v="0"/>
    <m/>
    <m/>
    <n v="0"/>
    <n v="0"/>
    <n v="0"/>
    <n v="0"/>
    <n v="0"/>
    <n v="0"/>
    <n v="0"/>
    <n v="0"/>
    <n v="0"/>
    <n v="0"/>
    <n v="0"/>
    <n v="0"/>
    <m/>
    <m/>
  </r>
  <r>
    <x v="13"/>
    <s v="Angelina College "/>
    <m/>
    <n v="222822"/>
    <x v="6"/>
    <n v="77650"/>
    <n v="73448"/>
    <n v="17455"/>
    <n v="12126"/>
    <n v="6627"/>
    <n v="8485"/>
    <n v="53480"/>
    <n v="70"/>
    <n v="18"/>
    <n v="52837"/>
    <n v="0"/>
    <n v="0"/>
    <m/>
    <m/>
    <n v="0"/>
    <n v="0"/>
    <n v="0"/>
    <n v="0"/>
    <n v="0"/>
    <n v="0"/>
    <n v="0"/>
    <n v="0"/>
    <n v="0"/>
    <n v="0"/>
    <n v="0"/>
    <n v="0"/>
    <m/>
    <m/>
  </r>
  <r>
    <x v="13"/>
    <s v="Cedar Valley College (DCCCD)"/>
    <s v="Met the criteria Two-Year 3 2021-22"/>
    <n v="223773"/>
    <x v="6"/>
    <n v="95881"/>
    <n v="0"/>
    <n v="22988"/>
    <m/>
    <n v="7267"/>
    <m/>
    <n v="65626"/>
    <n v="0"/>
    <n v="0"/>
    <m/>
    <m/>
    <m/>
    <m/>
    <m/>
    <n v="0"/>
    <n v="0"/>
    <n v="0"/>
    <n v="0"/>
    <n v="0"/>
    <n v="0"/>
    <n v="0"/>
    <n v="0"/>
    <n v="0"/>
    <n v="0"/>
    <n v="0"/>
    <n v="0"/>
    <m/>
    <m/>
  </r>
  <r>
    <x v="13"/>
    <s v="Cisco Junior College "/>
    <m/>
    <n v="223898"/>
    <x v="6"/>
    <n v="66147"/>
    <n v="61493"/>
    <n v="792"/>
    <n v="5140"/>
    <n v="1784"/>
    <n v="12019"/>
    <n v="63487"/>
    <n v="84"/>
    <n v="0"/>
    <n v="42667"/>
    <n v="231"/>
    <n v="1436"/>
    <m/>
    <m/>
    <n v="0"/>
    <n v="0"/>
    <n v="0"/>
    <n v="0"/>
    <n v="0"/>
    <n v="0"/>
    <n v="0"/>
    <n v="0"/>
    <n v="0"/>
    <n v="0"/>
    <n v="0"/>
    <n v="0"/>
    <m/>
    <m/>
  </r>
  <r>
    <x v="13"/>
    <s v="Coastal Bend College"/>
    <m/>
    <n v="223320"/>
    <x v="6"/>
    <n v="76389"/>
    <n v="64245"/>
    <n v="6750"/>
    <n v="6560"/>
    <n v="15128"/>
    <n v="11378"/>
    <n v="51377"/>
    <n v="2813"/>
    <n v="321"/>
    <n v="45029"/>
    <n v="351"/>
    <n v="927"/>
    <m/>
    <m/>
    <n v="0"/>
    <n v="0"/>
    <n v="0"/>
    <n v="0"/>
    <n v="0"/>
    <n v="0"/>
    <n v="0"/>
    <n v="0"/>
    <n v="0"/>
    <n v="0"/>
    <n v="0"/>
    <n v="0"/>
    <m/>
    <m/>
  </r>
  <r>
    <x v="13"/>
    <s v="College of the Mainland"/>
    <m/>
    <n v="226408"/>
    <x v="6"/>
    <n v="85885"/>
    <n v="76165"/>
    <n v="50038"/>
    <n v="32638"/>
    <n v="3140"/>
    <n v="2528"/>
    <n v="32707"/>
    <n v="0"/>
    <n v="0"/>
    <n v="40999"/>
    <n v="0"/>
    <n v="0"/>
    <m/>
    <m/>
    <n v="0"/>
    <n v="0"/>
    <n v="0"/>
    <n v="0"/>
    <n v="0"/>
    <n v="0"/>
    <n v="0"/>
    <n v="0"/>
    <n v="0"/>
    <n v="0"/>
    <n v="0"/>
    <n v="0"/>
    <m/>
    <m/>
  </r>
  <r>
    <x v="13"/>
    <s v="Grayson County College "/>
    <m/>
    <n v="225070"/>
    <x v="6"/>
    <n v="76820"/>
    <n v="70406"/>
    <n v="25184"/>
    <n v="24599"/>
    <n v="0"/>
    <n v="0"/>
    <n v="51126"/>
    <n v="366"/>
    <n v="144"/>
    <n v="45557"/>
    <n v="250"/>
    <n v="0"/>
    <m/>
    <m/>
    <n v="0"/>
    <n v="0"/>
    <n v="0"/>
    <n v="0"/>
    <n v="0"/>
    <n v="0"/>
    <n v="0"/>
    <n v="0"/>
    <n v="0"/>
    <n v="0"/>
    <n v="0"/>
    <n v="0"/>
    <m/>
    <m/>
  </r>
  <r>
    <x v="13"/>
    <s v="Hill College"/>
    <m/>
    <n v="225371"/>
    <x v="6"/>
    <n v="81875"/>
    <n v="74411"/>
    <n v="12834"/>
    <n v="15620"/>
    <n v="22198"/>
    <n v="12394"/>
    <n v="46402"/>
    <n v="441"/>
    <n v="0"/>
    <n v="46009"/>
    <n v="388"/>
    <n v="0"/>
    <m/>
    <m/>
    <n v="0"/>
    <n v="0"/>
    <n v="0"/>
    <n v="0"/>
    <n v="0"/>
    <n v="0"/>
    <n v="0"/>
    <n v="0"/>
    <n v="0"/>
    <n v="0"/>
    <n v="0"/>
    <n v="0"/>
    <m/>
    <m/>
  </r>
  <r>
    <x v="13"/>
    <s v="Howard College (HCJCD)"/>
    <m/>
    <n v="225520"/>
    <x v="6"/>
    <n v="59738"/>
    <n v="58065"/>
    <n v="2345"/>
    <n v="7982"/>
    <n v="11837"/>
    <n v="18178"/>
    <n v="44800"/>
    <n v="756"/>
    <n v="0"/>
    <n v="31167"/>
    <n v="738"/>
    <n v="0"/>
    <m/>
    <m/>
    <n v="0"/>
    <n v="0"/>
    <n v="0"/>
    <n v="0"/>
    <n v="0"/>
    <n v="0"/>
    <n v="0"/>
    <n v="0"/>
    <n v="0"/>
    <n v="0"/>
    <n v="0"/>
    <n v="0"/>
    <m/>
    <m/>
  </r>
  <r>
    <x v="13"/>
    <s v="Kilgore College "/>
    <m/>
    <n v="226019"/>
    <x v="6"/>
    <n v="120776"/>
    <n v="97841"/>
    <n v="37493"/>
    <n v="23882"/>
    <n v="26883"/>
    <n v="22464"/>
    <n v="56400"/>
    <n v="0"/>
    <n v="0"/>
    <n v="51495"/>
    <n v="0"/>
    <n v="0"/>
    <m/>
    <m/>
    <n v="0"/>
    <n v="0"/>
    <n v="0"/>
    <n v="0"/>
    <n v="0"/>
    <n v="0"/>
    <n v="0"/>
    <n v="0"/>
    <n v="0"/>
    <n v="0"/>
    <n v="0"/>
    <n v="0"/>
    <m/>
    <m/>
  </r>
  <r>
    <x v="13"/>
    <s v="Lamar Institute of Technology"/>
    <m/>
    <n v="441760"/>
    <x v="6"/>
    <n v="77358"/>
    <n v="78719"/>
    <n v="39512"/>
    <n v="34894"/>
    <n v="7089"/>
    <n v="10398"/>
    <n v="30727"/>
    <n v="30"/>
    <n v="0"/>
    <n v="33400"/>
    <n v="27"/>
    <n v="0"/>
    <m/>
    <m/>
    <n v="0"/>
    <n v="0"/>
    <n v="0"/>
    <n v="0"/>
    <n v="0"/>
    <n v="0"/>
    <n v="0"/>
    <n v="0"/>
    <n v="0"/>
    <n v="0"/>
    <n v="0"/>
    <n v="0"/>
    <m/>
    <m/>
  </r>
  <r>
    <x v="13"/>
    <s v="Lee College "/>
    <s v="Met the criteria Two-Year 1 2021-22"/>
    <n v="226204"/>
    <x v="6"/>
    <n v="130215"/>
    <n v="162054"/>
    <n v="31383"/>
    <n v="22880"/>
    <n v="30578"/>
    <n v="46950"/>
    <n v="68254"/>
    <n v="0"/>
    <n v="0"/>
    <n v="92224"/>
    <n v="0"/>
    <n v="0"/>
    <m/>
    <m/>
    <n v="0"/>
    <n v="0"/>
    <n v="0"/>
    <n v="0"/>
    <n v="0"/>
    <n v="0"/>
    <n v="0"/>
    <n v="0"/>
    <n v="0"/>
    <n v="0"/>
    <n v="0"/>
    <n v="0"/>
    <m/>
    <m/>
  </r>
  <r>
    <x v="13"/>
    <s v="Northeast Texas Community College "/>
    <s v="Met the requirments for  Two-year 3 in 2020-21, and 2021-22"/>
    <n v="227225"/>
    <x v="6"/>
    <n v="58522"/>
    <n v="56068"/>
    <n v="15087"/>
    <n v="15423"/>
    <n v="3657"/>
    <n v="4424"/>
    <n v="39778"/>
    <n v="0"/>
    <n v="0"/>
    <n v="36221"/>
    <n v="0"/>
    <n v="0"/>
    <m/>
    <m/>
    <n v="0"/>
    <n v="0"/>
    <n v="0"/>
    <n v="0"/>
    <n v="0"/>
    <n v="0"/>
    <n v="0"/>
    <n v="0"/>
    <n v="0"/>
    <n v="0"/>
    <n v="0"/>
    <n v="0"/>
    <m/>
    <m/>
  </r>
  <r>
    <x v="13"/>
    <s v="Odessa College "/>
    <m/>
    <n v="227304"/>
    <x v="6"/>
    <n v="128094"/>
    <n v="138005"/>
    <n v="47960"/>
    <n v="44372"/>
    <n v="11892"/>
    <n v="12935"/>
    <n v="68242"/>
    <n v="0"/>
    <n v="0"/>
    <n v="80698"/>
    <n v="0"/>
    <n v="0"/>
    <m/>
    <m/>
    <n v="0"/>
    <n v="0"/>
    <n v="0"/>
    <n v="0"/>
    <n v="0"/>
    <n v="0"/>
    <n v="0"/>
    <n v="0"/>
    <n v="0"/>
    <n v="0"/>
    <n v="0"/>
    <n v="0"/>
    <m/>
    <m/>
  </r>
  <r>
    <x v="13"/>
    <s v="Paris Junior College"/>
    <m/>
    <n v="227401"/>
    <x v="6"/>
    <n v="88913"/>
    <n v="83214"/>
    <n v="27875"/>
    <n v="27770"/>
    <n v="10861"/>
    <n v="7770"/>
    <n v="47453"/>
    <n v="2724"/>
    <n v="0"/>
    <n v="44472"/>
    <n v="3202"/>
    <n v="0"/>
    <m/>
    <m/>
    <n v="0"/>
    <n v="0"/>
    <n v="0"/>
    <n v="0"/>
    <n v="0"/>
    <n v="0"/>
    <n v="0"/>
    <n v="0"/>
    <n v="0"/>
    <n v="0"/>
    <n v="0"/>
    <n v="0"/>
    <m/>
    <m/>
  </r>
  <r>
    <x v="13"/>
    <s v="Southwest Texas Junior College "/>
    <m/>
    <n v="228316"/>
    <x v="6"/>
    <n v="121546"/>
    <n v="108250"/>
    <n v="12406"/>
    <n v="8099"/>
    <n v="46543"/>
    <n v="33818"/>
    <n v="27752"/>
    <n v="34845"/>
    <n v="0"/>
    <n v="24713"/>
    <n v="41620"/>
    <n v="0"/>
    <m/>
    <m/>
    <n v="0"/>
    <n v="0"/>
    <n v="0"/>
    <n v="0"/>
    <n v="0"/>
    <n v="0"/>
    <n v="0"/>
    <n v="0"/>
    <n v="0"/>
    <n v="0"/>
    <n v="0"/>
    <n v="0"/>
    <m/>
    <m/>
  </r>
  <r>
    <x v="13"/>
    <s v="Temple College "/>
    <m/>
    <n v="228608"/>
    <x v="6"/>
    <n v="85093"/>
    <n v="85453"/>
    <n v="30319"/>
    <n v="23943"/>
    <n v="7820"/>
    <n v="4417"/>
    <n v="46954"/>
    <n v="0"/>
    <n v="0"/>
    <n v="57093"/>
    <n v="0"/>
    <n v="0"/>
    <m/>
    <m/>
    <n v="0"/>
    <n v="0"/>
    <n v="0"/>
    <n v="0"/>
    <n v="0"/>
    <n v="0"/>
    <n v="0"/>
    <n v="0"/>
    <n v="0"/>
    <n v="0"/>
    <n v="0"/>
    <n v="0"/>
    <m/>
    <m/>
  </r>
  <r>
    <x v="13"/>
    <s v="Texarkana College "/>
    <m/>
    <n v="228699"/>
    <x v="6"/>
    <n v="71649"/>
    <n v="63787"/>
    <n v="19490"/>
    <n v="12188"/>
    <n v="4951"/>
    <n v="7867"/>
    <n v="47169"/>
    <n v="0"/>
    <n v="39"/>
    <n v="43708"/>
    <n v="0"/>
    <n v="24"/>
    <m/>
    <m/>
    <n v="0"/>
    <n v="0"/>
    <n v="0"/>
    <n v="0"/>
    <n v="0"/>
    <n v="0"/>
    <n v="0"/>
    <n v="0"/>
    <n v="0"/>
    <n v="0"/>
    <n v="0"/>
    <n v="0"/>
    <m/>
    <m/>
  </r>
  <r>
    <x v="13"/>
    <s v="Texas Southmost College "/>
    <s v="Changed IPEDS # from 229072"/>
    <n v="227377"/>
    <x v="6"/>
    <n v="144896"/>
    <n v="133610"/>
    <n v="37270"/>
    <n v="62998"/>
    <n v="24982"/>
    <n v="17244"/>
    <n v="82644"/>
    <n v="0"/>
    <n v="0"/>
    <n v="53368"/>
    <n v="0"/>
    <n v="0"/>
    <m/>
    <m/>
    <n v="0"/>
    <n v="0"/>
    <n v="0"/>
    <n v="0"/>
    <n v="0"/>
    <n v="0"/>
    <n v="0"/>
    <n v="0"/>
    <n v="0"/>
    <n v="0"/>
    <n v="0"/>
    <n v="0"/>
    <m/>
    <m/>
  </r>
  <r>
    <x v="13"/>
    <s v="Texas State Technical College-Harlingen "/>
    <m/>
    <n v="229319"/>
    <x v="6"/>
    <n v="80431"/>
    <n v="73586"/>
    <n v="1776"/>
    <n v="164"/>
    <n v="1339"/>
    <n v="1503"/>
    <n v="75270"/>
    <n v="0"/>
    <n v="2046"/>
    <n v="50951"/>
    <n v="0"/>
    <n v="20968"/>
    <m/>
    <m/>
    <n v="0"/>
    <n v="0"/>
    <n v="0"/>
    <n v="0"/>
    <n v="0"/>
    <n v="0"/>
    <n v="0"/>
    <n v="0"/>
    <n v="0"/>
    <n v="0"/>
    <n v="0"/>
    <n v="0"/>
    <m/>
    <m/>
  </r>
  <r>
    <x v="13"/>
    <s v="Texas State Technical College-Waco"/>
    <m/>
    <n v="228680"/>
    <x v="6"/>
    <n v="88872"/>
    <n v="80136"/>
    <n v="3185"/>
    <n v="354"/>
    <n v="977"/>
    <n v="1137"/>
    <n v="81911"/>
    <n v="0"/>
    <n v="2799"/>
    <n v="27697"/>
    <n v="0"/>
    <n v="50948"/>
    <m/>
    <m/>
    <n v="0"/>
    <n v="0"/>
    <n v="0"/>
    <n v="0"/>
    <n v="0"/>
    <n v="0"/>
    <n v="0"/>
    <n v="0"/>
    <n v="0"/>
    <n v="0"/>
    <n v="0"/>
    <n v="0"/>
    <m/>
    <m/>
  </r>
  <r>
    <x v="13"/>
    <s v="Vernon College "/>
    <s v="Met the requirments for  Two-year 3 in 2020-21, and 2021-22"/>
    <n v="229504"/>
    <x v="6"/>
    <n v="53493"/>
    <n v="45830"/>
    <n v="7083"/>
    <n v="5272"/>
    <n v="25906"/>
    <n v="18942"/>
    <n v="18529"/>
    <n v="1975"/>
    <n v="0"/>
    <n v="19884"/>
    <n v="1726"/>
    <n v="6"/>
    <m/>
    <m/>
    <n v="0"/>
    <n v="0"/>
    <n v="0"/>
    <n v="0"/>
    <n v="0"/>
    <n v="0"/>
    <n v="0"/>
    <n v="0"/>
    <n v="0"/>
    <n v="0"/>
    <n v="0"/>
    <n v="0"/>
    <m/>
    <m/>
  </r>
  <r>
    <x v="13"/>
    <s v="Victoria College "/>
    <s v="Met the requirments for  Two-year 3 in 021-22"/>
    <n v="229540"/>
    <x v="6"/>
    <n v="57116"/>
    <n v="51536"/>
    <n v="19347"/>
    <n v="15663"/>
    <n v="1725"/>
    <n v="1401"/>
    <n v="28354"/>
    <n v="7690"/>
    <n v="0"/>
    <n v="31836"/>
    <n v="1689"/>
    <n v="947"/>
    <m/>
    <m/>
    <n v="0"/>
    <n v="0"/>
    <n v="0"/>
    <n v="0"/>
    <n v="0"/>
    <n v="0"/>
    <n v="0"/>
    <n v="0"/>
    <n v="0"/>
    <n v="0"/>
    <n v="0"/>
    <n v="0"/>
    <m/>
    <m/>
  </r>
  <r>
    <x v="13"/>
    <s v="Weatherford College "/>
    <m/>
    <n v="229799"/>
    <x v="6"/>
    <n v="104886"/>
    <n v="99895"/>
    <n v="40780"/>
    <n v="32561"/>
    <n v="16034"/>
    <n v="16154"/>
    <n v="48033"/>
    <n v="39"/>
    <n v="0"/>
    <n v="50252"/>
    <n v="928"/>
    <n v="0"/>
    <m/>
    <m/>
    <n v="0"/>
    <n v="0"/>
    <n v="0"/>
    <n v="0"/>
    <n v="0"/>
    <n v="0"/>
    <n v="0"/>
    <n v="0"/>
    <n v="0"/>
    <n v="0"/>
    <n v="0"/>
    <n v="0"/>
    <m/>
    <m/>
  </r>
  <r>
    <x v="13"/>
    <s v="Wharton County Junior College "/>
    <m/>
    <n v="229841"/>
    <x v="6"/>
    <n v="133573"/>
    <n v="116562"/>
    <n v="19374"/>
    <n v="20780"/>
    <n v="38638"/>
    <n v="28021"/>
    <n v="74697"/>
    <n v="864"/>
    <n v="0"/>
    <n v="67439"/>
    <n v="322"/>
    <n v="0"/>
    <m/>
    <m/>
    <n v="0"/>
    <n v="0"/>
    <n v="0"/>
    <n v="0"/>
    <n v="0"/>
    <n v="0"/>
    <n v="0"/>
    <n v="0"/>
    <n v="0"/>
    <n v="0"/>
    <n v="0"/>
    <n v="0"/>
    <m/>
    <m/>
  </r>
  <r>
    <x v="13"/>
    <s v="Clarendon College "/>
    <m/>
    <n v="223922"/>
    <x v="7"/>
    <n v="29010"/>
    <n v="27954"/>
    <n v="7801"/>
    <n v="9003"/>
    <n v="7308"/>
    <n v="6763"/>
    <n v="13764"/>
    <n v="137"/>
    <n v="0"/>
    <n v="12062"/>
    <n v="126"/>
    <n v="0"/>
    <m/>
    <m/>
    <n v="0"/>
    <n v="0"/>
    <n v="0"/>
    <n v="0"/>
    <n v="0"/>
    <n v="0"/>
    <n v="0"/>
    <n v="0"/>
    <n v="0"/>
    <n v="0"/>
    <n v="0"/>
    <n v="0"/>
    <m/>
    <m/>
  </r>
  <r>
    <x v="13"/>
    <s v="Frank Phillips College "/>
    <m/>
    <n v="224891"/>
    <x v="7"/>
    <n v="28407"/>
    <n v="30904"/>
    <n v="12824"/>
    <n v="14995"/>
    <n v="2795"/>
    <n v="2570"/>
    <n v="11241"/>
    <n v="512"/>
    <n v="1035"/>
    <n v="11846"/>
    <n v="481"/>
    <n v="1012"/>
    <m/>
    <m/>
    <n v="0"/>
    <n v="0"/>
    <n v="0"/>
    <n v="0"/>
    <n v="0"/>
    <n v="0"/>
    <n v="0"/>
    <n v="0"/>
    <n v="0"/>
    <n v="0"/>
    <n v="0"/>
    <n v="0"/>
    <m/>
    <m/>
  </r>
  <r>
    <x v="13"/>
    <s v="Galveston College "/>
    <m/>
    <n v="224961"/>
    <x v="7"/>
    <n v="44725"/>
    <n v="42499"/>
    <n v="17154"/>
    <n v="15086"/>
    <n v="66"/>
    <n v="7"/>
    <n v="27505"/>
    <n v="0"/>
    <n v="0"/>
    <n v="27406"/>
    <n v="0"/>
    <n v="0"/>
    <m/>
    <m/>
    <n v="0"/>
    <n v="0"/>
    <n v="0"/>
    <n v="0"/>
    <n v="0"/>
    <n v="0"/>
    <n v="0"/>
    <n v="0"/>
    <n v="0"/>
    <n v="0"/>
    <n v="0"/>
    <n v="0"/>
    <m/>
    <m/>
  </r>
  <r>
    <x v="13"/>
    <s v="Lamar State College-Orange"/>
    <m/>
    <n v="226107"/>
    <x v="7"/>
    <n v="48327"/>
    <n v="45502"/>
    <n v="17520"/>
    <n v="12791"/>
    <n v="2349"/>
    <n v="2814"/>
    <n v="28458"/>
    <n v="0"/>
    <n v="0"/>
    <n v="29828"/>
    <n v="0"/>
    <n v="69"/>
    <m/>
    <m/>
    <n v="0"/>
    <n v="0"/>
    <n v="0"/>
    <n v="0"/>
    <n v="0"/>
    <n v="0"/>
    <n v="0"/>
    <n v="0"/>
    <n v="0"/>
    <n v="0"/>
    <n v="0"/>
    <n v="0"/>
    <m/>
    <m/>
  </r>
  <r>
    <x v="13"/>
    <s v="Lamar State College-Port Arthur"/>
    <m/>
    <n v="226116"/>
    <x v="7"/>
    <n v="54149"/>
    <n v="45825"/>
    <n v="19743"/>
    <n v="13163"/>
    <n v="6412"/>
    <n v="4983"/>
    <n v="27994"/>
    <n v="0"/>
    <n v="0"/>
    <n v="27679"/>
    <n v="0"/>
    <n v="0"/>
    <m/>
    <m/>
    <n v="0"/>
    <n v="0"/>
    <n v="0"/>
    <n v="0"/>
    <n v="0"/>
    <n v="0"/>
    <n v="0"/>
    <n v="0"/>
    <n v="0"/>
    <n v="0"/>
    <n v="0"/>
    <n v="0"/>
    <m/>
    <m/>
  </r>
  <r>
    <x v="13"/>
    <s v="Northeast Lakeview College (ACCD)"/>
    <m/>
    <n v="488730"/>
    <x v="6"/>
    <n v="102345"/>
    <n v="90934"/>
    <n v="68266"/>
    <n v="21302"/>
    <n v="1161"/>
    <n v="4653"/>
    <n v="32918"/>
    <n v="0"/>
    <n v="0"/>
    <n v="37652"/>
    <n v="0"/>
    <n v="27327"/>
    <m/>
    <m/>
    <n v="0"/>
    <n v="0"/>
    <n v="0"/>
    <n v="0"/>
    <n v="0"/>
    <n v="0"/>
    <n v="0"/>
    <n v="0"/>
    <n v="0"/>
    <n v="0"/>
    <n v="0"/>
    <n v="0"/>
    <m/>
    <m/>
  </r>
  <r>
    <x v="13"/>
    <s v="Panola College"/>
    <m/>
    <n v="227386"/>
    <x v="7"/>
    <n v="48742"/>
    <n v="49410"/>
    <n v="15598"/>
    <n v="13902"/>
    <n v="6660"/>
    <n v="6890"/>
    <n v="26346"/>
    <n v="138"/>
    <n v="0"/>
    <n v="28498"/>
    <n v="120"/>
    <n v="0"/>
    <m/>
    <m/>
    <n v="0"/>
    <n v="0"/>
    <n v="0"/>
    <n v="0"/>
    <n v="0"/>
    <n v="0"/>
    <n v="0"/>
    <n v="0"/>
    <n v="0"/>
    <n v="0"/>
    <n v="0"/>
    <n v="0"/>
    <m/>
    <m/>
  </r>
  <r>
    <x v="13"/>
    <s v="Ranger College "/>
    <m/>
    <n v="227687"/>
    <x v="7"/>
    <n v="44838"/>
    <n v="43220"/>
    <n v="8671"/>
    <n v="7319"/>
    <n v="17220"/>
    <n v="16020"/>
    <n v="17837"/>
    <n v="1110"/>
    <n v="0"/>
    <n v="18723"/>
    <n v="1109"/>
    <n v="49"/>
    <m/>
    <m/>
    <n v="0"/>
    <n v="0"/>
    <n v="0"/>
    <n v="0"/>
    <n v="0"/>
    <n v="0"/>
    <n v="0"/>
    <n v="0"/>
    <n v="0"/>
    <n v="0"/>
    <n v="0"/>
    <n v="0"/>
    <m/>
    <m/>
  </r>
  <r>
    <x v="13"/>
    <s v="Southwest Collegiate Institute for the Deaf (HCJCD)"/>
    <m/>
    <n v="382911"/>
    <x v="7"/>
    <n v="1096"/>
    <n v="1159"/>
    <n v="767"/>
    <n v="776"/>
    <n v="60"/>
    <n v="261"/>
    <n v="18"/>
    <n v="251"/>
    <n v="0"/>
    <n v="24"/>
    <n v="98"/>
    <n v="0"/>
    <m/>
    <m/>
    <n v="0"/>
    <n v="0"/>
    <n v="0"/>
    <n v="0"/>
    <n v="0"/>
    <n v="0"/>
    <n v="0"/>
    <n v="0"/>
    <n v="0"/>
    <n v="0"/>
    <n v="0"/>
    <n v="0"/>
    <m/>
    <m/>
  </r>
  <r>
    <x v="13"/>
    <s v="Texas State Technical College-Fort Bend"/>
    <m/>
    <s v="N/A"/>
    <x v="7"/>
    <n v="12482"/>
    <n v="15016"/>
    <n v="178"/>
    <n v="0"/>
    <n v="80"/>
    <n v="269"/>
    <n v="11538"/>
    <n v="0"/>
    <n v="686"/>
    <n v="2151"/>
    <n v="0"/>
    <n v="12596"/>
    <m/>
    <m/>
    <n v="0"/>
    <n v="0"/>
    <n v="0"/>
    <n v="0"/>
    <n v="0"/>
    <n v="0"/>
    <n v="0"/>
    <n v="0"/>
    <n v="0"/>
    <n v="0"/>
    <n v="0"/>
    <n v="0"/>
    <m/>
    <m/>
  </r>
  <r>
    <x v="13"/>
    <s v="Texas State Technical College-Marshall"/>
    <m/>
    <n v="408394"/>
    <x v="7"/>
    <n v="13125"/>
    <n v="13198"/>
    <n v="315"/>
    <n v="0"/>
    <n v="159"/>
    <n v="123"/>
    <n v="11468"/>
    <n v="0"/>
    <n v="1183"/>
    <n v="4358"/>
    <n v="0"/>
    <n v="8717"/>
    <m/>
    <m/>
    <n v="0"/>
    <n v="0"/>
    <n v="0"/>
    <n v="0"/>
    <n v="0"/>
    <n v="0"/>
    <n v="0"/>
    <n v="0"/>
    <n v="0"/>
    <n v="0"/>
    <n v="0"/>
    <n v="0"/>
    <m/>
    <m/>
  </r>
  <r>
    <x v="13"/>
    <s v="Texas State Technical College-North Texas"/>
    <m/>
    <s v="N/A"/>
    <x v="7"/>
    <n v="5856"/>
    <n v="5952"/>
    <n v="0"/>
    <n v="0"/>
    <n v="207"/>
    <n v="48"/>
    <n v="5388"/>
    <n v="0"/>
    <n v="261"/>
    <n v="1201"/>
    <n v="0"/>
    <n v="4703"/>
    <m/>
    <m/>
    <n v="0"/>
    <n v="0"/>
    <n v="0"/>
    <n v="0"/>
    <n v="0"/>
    <n v="0"/>
    <n v="0"/>
    <n v="0"/>
    <n v="0"/>
    <n v="0"/>
    <n v="0"/>
    <n v="0"/>
    <m/>
    <m/>
  </r>
  <r>
    <x v="13"/>
    <s v="Texas State Technical College-West Texas"/>
    <m/>
    <n v="229328"/>
    <x v="7"/>
    <n v="32847"/>
    <n v="26322"/>
    <n v="1424"/>
    <n v="6"/>
    <n v="2727"/>
    <n v="1090"/>
    <n v="27548"/>
    <n v="0"/>
    <n v="1148"/>
    <n v="14939"/>
    <n v="0"/>
    <n v="10287"/>
    <m/>
    <m/>
    <n v="0"/>
    <n v="0"/>
    <n v="0"/>
    <n v="0"/>
    <n v="0"/>
    <n v="0"/>
    <n v="0"/>
    <n v="0"/>
    <n v="0"/>
    <n v="0"/>
    <n v="0"/>
    <n v="0"/>
    <m/>
    <m/>
  </r>
  <r>
    <x v="13"/>
    <s v="Western Texas College "/>
    <m/>
    <n v="229832"/>
    <x v="7"/>
    <n v="35425"/>
    <n v="30766"/>
    <n v="10949"/>
    <n v="9896"/>
    <n v="3089"/>
    <n v="4209"/>
    <n v="20364"/>
    <n v="1023"/>
    <n v="0"/>
    <n v="15950"/>
    <n v="711"/>
    <n v="0"/>
    <m/>
    <m/>
    <n v="0"/>
    <n v="0"/>
    <n v="0"/>
    <n v="0"/>
    <n v="0"/>
    <n v="0"/>
    <n v="0"/>
    <n v="0"/>
    <n v="0"/>
    <n v="0"/>
    <n v="0"/>
    <n v="0"/>
    <m/>
    <m/>
  </r>
  <r>
    <x v="13"/>
    <s v="University of North Texas at Dallas"/>
    <m/>
    <n v="484905"/>
    <x v="3"/>
    <n v="79775"/>
    <n v="81052"/>
    <n v="38350"/>
    <n v="43000"/>
    <n v="0"/>
    <n v="0"/>
    <n v="41181"/>
    <n v="0"/>
    <n v="244"/>
    <n v="37860"/>
    <n v="0"/>
    <n v="192"/>
    <m/>
    <m/>
    <n v="17267"/>
    <n v="17211"/>
    <n v="6844"/>
    <n v="12201"/>
    <n v="4976"/>
    <n v="360"/>
    <n v="5447"/>
    <n v="0"/>
    <n v="0"/>
    <n v="4650"/>
    <n v="0"/>
    <n v="0"/>
    <m/>
    <m/>
  </r>
  <r>
    <x v="13"/>
    <s v="Dallas College"/>
    <m/>
    <n v="224615"/>
    <x v="5"/>
    <n v="380470"/>
    <n v="1292750"/>
    <n v="2765"/>
    <n v="176742"/>
    <n v="675"/>
    <n v="54007"/>
    <n v="377024"/>
    <n v="0"/>
    <n v="6"/>
    <n v="1061989"/>
    <n v="0"/>
    <n v="12"/>
    <m/>
    <m/>
    <n v="0"/>
    <n v="0"/>
    <n v="0"/>
    <n v="0"/>
    <n v="0"/>
    <n v="0"/>
    <n v="0"/>
    <n v="0"/>
    <n v="0"/>
    <n v="0"/>
    <n v="0"/>
    <n v="0"/>
    <m/>
    <m/>
  </r>
  <r>
    <x v="13"/>
    <s v="Texas State Technical College-Connect (Online only)"/>
    <m/>
    <m/>
    <x v="7"/>
    <n v="0"/>
    <n v="18069"/>
    <m/>
    <m/>
    <m/>
    <n v="453"/>
    <m/>
    <m/>
    <m/>
    <n v="17550"/>
    <n v="0"/>
    <n v="66"/>
    <m/>
    <m/>
    <n v="0"/>
    <n v="0"/>
    <m/>
    <m/>
    <m/>
    <n v="0"/>
    <m/>
    <m/>
    <m/>
    <n v="0"/>
    <n v="0"/>
    <n v="0"/>
    <m/>
    <m/>
  </r>
  <r>
    <x v="14"/>
    <s v="George Mason University "/>
    <m/>
    <n v="232186"/>
    <x v="0"/>
    <n v="759225.5"/>
    <n v="758489.5"/>
    <n v="330381.5"/>
    <n v="193358.5"/>
    <n v="18097"/>
    <n v="7093"/>
    <n v="404189"/>
    <n v="6558"/>
    <n v="0"/>
    <n v="536064"/>
    <n v="21974"/>
    <n v="0"/>
    <m/>
    <m/>
    <n v="173111.5"/>
    <n v="183632.5"/>
    <n v="74645.5"/>
    <n v="56108"/>
    <n v="8649"/>
    <n v="3196"/>
    <n v="87061.5"/>
    <n v="2755.5"/>
    <n v="0"/>
    <n v="119663.5"/>
    <n v="4665"/>
    <n v="0"/>
    <m/>
    <m/>
  </r>
  <r>
    <x v="14"/>
    <s v="Old Dominion University "/>
    <m/>
    <n v="232982"/>
    <x v="0"/>
    <n v="510637"/>
    <n v="487991"/>
    <n v="193340"/>
    <n v="145312"/>
    <n v="5068"/>
    <n v="1787"/>
    <n v="219655"/>
    <n v="92569"/>
    <n v="5"/>
    <n v="239020"/>
    <n v="101869"/>
    <n v="3"/>
    <m/>
    <m/>
    <n v="68263"/>
    <n v="72409"/>
    <n v="23166"/>
    <n v="20377"/>
    <n v="570"/>
    <n v="942"/>
    <n v="27193"/>
    <n v="15455"/>
    <n v="1879"/>
    <n v="28789"/>
    <n v="20860"/>
    <n v="1441"/>
    <m/>
    <m/>
  </r>
  <r>
    <x v="14"/>
    <s v="University of Virginia"/>
    <m/>
    <n v="234076"/>
    <x v="0"/>
    <n v="502424"/>
    <n v="519652.5"/>
    <n v="256936.5"/>
    <n v="248607"/>
    <n v="6017.5"/>
    <n v="2186"/>
    <n v="40621.5"/>
    <n v="198848.5"/>
    <n v="0"/>
    <n v="41096"/>
    <n v="227763.5"/>
    <n v="0"/>
    <m/>
    <m/>
    <n v="200911.5"/>
    <n v="206552.5"/>
    <n v="127664"/>
    <n v="121794.5"/>
    <n v="5723.5"/>
    <n v="1589.5"/>
    <n v="20953"/>
    <n v="46571"/>
    <n v="0"/>
    <n v="24527.5"/>
    <n v="58641"/>
    <n v="0"/>
    <m/>
    <m/>
  </r>
  <r>
    <x v="14"/>
    <s v="Virginia Commonwealth University"/>
    <m/>
    <n v="234030"/>
    <x v="0"/>
    <n v="623201.5"/>
    <n v="602868"/>
    <n v="290369"/>
    <n v="120460.5"/>
    <n v="4865"/>
    <n v="3427.5"/>
    <n v="173474"/>
    <n v="154493.5"/>
    <n v="0"/>
    <n v="202927"/>
    <n v="276053"/>
    <n v="0"/>
    <m/>
    <m/>
    <n v="134150"/>
    <n v="138987.5"/>
    <n v="82179"/>
    <n v="53509.5"/>
    <n v="2967"/>
    <n v="2474"/>
    <n v="21677"/>
    <n v="27327"/>
    <n v="0"/>
    <n v="24449"/>
    <n v="58555"/>
    <n v="0"/>
    <m/>
    <m/>
  </r>
  <r>
    <x v="14"/>
    <s v="Virginia Tech "/>
    <m/>
    <n v="233921"/>
    <x v="0"/>
    <n v="922288"/>
    <n v="926770"/>
    <n v="750028"/>
    <n v="688151"/>
    <n v="53"/>
    <n v="156"/>
    <n v="78890"/>
    <n v="93317"/>
    <n v="0"/>
    <n v="102511"/>
    <n v="135952"/>
    <n v="0"/>
    <m/>
    <m/>
    <n v="143731"/>
    <n v="150692"/>
    <n v="102218"/>
    <n v="85010"/>
    <n v="12753"/>
    <n v="6782"/>
    <n v="18029"/>
    <n v="10731"/>
    <n v="0"/>
    <n v="48731"/>
    <n v="10169"/>
    <n v="0"/>
    <m/>
    <m/>
  </r>
  <r>
    <x v="14"/>
    <s v="William &amp; Mary"/>
    <m/>
    <n v="231624"/>
    <x v="1"/>
    <n v="182600.3"/>
    <n v="186084.5"/>
    <n v="99756.5"/>
    <n v="98008.5"/>
    <n v="4038.3"/>
    <n v="1478"/>
    <n v="62603"/>
    <n v="16202.5"/>
    <n v="0"/>
    <n v="74580"/>
    <n v="12018"/>
    <n v="0"/>
    <m/>
    <m/>
    <n v="62133.5"/>
    <n v="67359"/>
    <n v="28399"/>
    <n v="23302"/>
    <n v="3452.5"/>
    <n v="2266.5"/>
    <n v="25868.5"/>
    <n v="4413.5"/>
    <n v="0"/>
    <n v="38994.5"/>
    <n v="2796"/>
    <n v="0"/>
    <m/>
    <m/>
  </r>
  <r>
    <x v="14"/>
    <s v="James Madison University"/>
    <s v="Met the requirments for 4-Year 2 in 2021-22"/>
    <n v="232423"/>
    <x v="2"/>
    <n v="589265"/>
    <n v="597687"/>
    <n v="296761"/>
    <n v="282745"/>
    <n v="8845"/>
    <n v="3119"/>
    <n v="283659"/>
    <n v="0"/>
    <n v="0"/>
    <n v="311823"/>
    <n v="0"/>
    <n v="0"/>
    <m/>
    <m/>
    <n v="35561"/>
    <n v="37373"/>
    <n v="18205"/>
    <n v="16469"/>
    <n v="2357"/>
    <n v="1309"/>
    <n v="14999"/>
    <n v="0"/>
    <n v="0"/>
    <n v="19595"/>
    <n v="0"/>
    <n v="0"/>
    <m/>
    <m/>
  </r>
  <r>
    <x v="14"/>
    <s v="Longwood University "/>
    <m/>
    <n v="232566"/>
    <x v="4"/>
    <n v="109575"/>
    <n v="101537"/>
    <n v="81487"/>
    <n v="72257"/>
    <n v="704"/>
    <n v="1354"/>
    <n v="24846"/>
    <n v="2538"/>
    <n v="0"/>
    <n v="25866"/>
    <n v="2060"/>
    <n v="0"/>
    <m/>
    <m/>
    <n v="14553"/>
    <n v="20396"/>
    <n v="1589"/>
    <n v="1986"/>
    <n v="795"/>
    <n v="591"/>
    <n v="12169"/>
    <n v="0"/>
    <n v="0"/>
    <n v="17819"/>
    <n v="0"/>
    <n v="0"/>
    <m/>
    <m/>
  </r>
  <r>
    <x v="14"/>
    <s v="Norfolk State University "/>
    <m/>
    <n v="232937"/>
    <x v="3"/>
    <n v="136802"/>
    <n v="133357"/>
    <n v="93223"/>
    <n v="68889"/>
    <n v="80"/>
    <n v="0"/>
    <n v="43499"/>
    <n v="0"/>
    <n v="0"/>
    <n v="64468"/>
    <n v="0"/>
    <n v="0"/>
    <m/>
    <m/>
    <n v="8473"/>
    <n v="8173"/>
    <n v="6106"/>
    <n v="4606"/>
    <n v="0"/>
    <n v="0"/>
    <n v="2367"/>
    <n v="0"/>
    <n v="0"/>
    <n v="3567"/>
    <n v="0"/>
    <n v="0"/>
    <m/>
    <m/>
  </r>
  <r>
    <x v="14"/>
    <s v="Radford University"/>
    <m/>
    <n v="233277"/>
    <x v="2"/>
    <n v="219564"/>
    <n v="192180"/>
    <n v="130018"/>
    <n v="77867"/>
    <n v="14187"/>
    <n v="14523"/>
    <n v="70615"/>
    <n v="4744"/>
    <n v="0"/>
    <n v="80768"/>
    <n v="19022"/>
    <n v="0"/>
    <m/>
    <m/>
    <n v="40716"/>
    <n v="36857.199999999997"/>
    <n v="7111"/>
    <n v="6356"/>
    <n v="7869"/>
    <n v="7548"/>
    <n v="25459"/>
    <n v="277"/>
    <n v="0"/>
    <n v="19564.2"/>
    <n v="3389"/>
    <n v="0"/>
    <m/>
    <m/>
  </r>
  <r>
    <x v="14"/>
    <s v="University of Mary Washington "/>
    <m/>
    <n v="232681"/>
    <x v="4"/>
    <n v="115162"/>
    <n v="104295"/>
    <n v="55643"/>
    <n v="47160"/>
    <n v="0"/>
    <n v="0"/>
    <n v="16992"/>
    <n v="42527"/>
    <n v="0"/>
    <n v="18735"/>
    <n v="38400"/>
    <n v="0"/>
    <m/>
    <m/>
    <n v="5170.6000000000004"/>
    <n v="5132.8"/>
    <n v="1570.6"/>
    <n v="1859.4"/>
    <n v="0"/>
    <n v="69"/>
    <n v="1974"/>
    <n v="1626"/>
    <n v="0"/>
    <n v="1762.4"/>
    <n v="1442"/>
    <n v="0"/>
    <m/>
    <m/>
  </r>
  <r>
    <x v="14"/>
    <s v="Virginia State University "/>
    <m/>
    <n v="234155"/>
    <x v="2"/>
    <n v="113695"/>
    <n v="109595"/>
    <n v="97870"/>
    <n v="91498"/>
    <n v="117"/>
    <n v="212"/>
    <n v="15708"/>
    <n v="0"/>
    <n v="0"/>
    <n v="17885"/>
    <n v="0"/>
    <n v="0"/>
    <m/>
    <m/>
    <n v="6016"/>
    <n v="6771"/>
    <n v="5536"/>
    <n v="5976"/>
    <n v="0"/>
    <n v="186"/>
    <n v="480"/>
    <n v="0"/>
    <n v="0"/>
    <n v="609"/>
    <n v="0"/>
    <n v="0"/>
    <m/>
    <m/>
  </r>
  <r>
    <x v="14"/>
    <s v="Christopher Newport University"/>
    <m/>
    <n v="231712"/>
    <x v="4"/>
    <n v="139327"/>
    <n v="132230"/>
    <n v="103475"/>
    <n v="105391"/>
    <n v="854"/>
    <n v="0"/>
    <n v="34998"/>
    <n v="0"/>
    <n v="0"/>
    <n v="26839"/>
    <n v="0"/>
    <n v="0"/>
    <m/>
    <m/>
    <n v="2776"/>
    <n v="3251"/>
    <n v="2080"/>
    <n v="2625"/>
    <n v="0"/>
    <n v="0"/>
    <n v="696"/>
    <n v="0"/>
    <n v="0"/>
    <n v="626"/>
    <n v="0"/>
    <n v="0"/>
    <m/>
    <m/>
  </r>
  <r>
    <x v="14"/>
    <s v="University of Virginia's College at Wise"/>
    <s v="Was University of Virginia's College Wise"/>
    <n v="233897"/>
    <x v="11"/>
    <n v="45821"/>
    <n v="46290"/>
    <n v="32708"/>
    <n v="33373"/>
    <n v="717"/>
    <n v="0"/>
    <n v="12396"/>
    <n v="0"/>
    <n v="0"/>
    <n v="12917"/>
    <n v="0"/>
    <n v="0"/>
    <m/>
    <m/>
    <n v="0"/>
    <n v="0"/>
    <n v="0"/>
    <m/>
    <m/>
    <m/>
    <m/>
    <m/>
    <m/>
    <m/>
    <m/>
    <m/>
    <m/>
    <m/>
  </r>
  <r>
    <x v="14"/>
    <s v="J.S. Reynolds Community College"/>
    <m/>
    <n v="232414"/>
    <x v="5"/>
    <n v="157772"/>
    <n v="146315"/>
    <n v="39668"/>
    <n v="10342"/>
    <n v="18462"/>
    <n v="20660"/>
    <n v="96819"/>
    <n v="92"/>
    <n v="2731"/>
    <n v="113361"/>
    <n v="357"/>
    <n v="1595"/>
    <m/>
    <m/>
    <n v="0"/>
    <n v="0"/>
    <n v="0"/>
    <m/>
    <m/>
    <m/>
    <m/>
    <m/>
    <m/>
    <m/>
    <m/>
    <m/>
    <m/>
    <m/>
  </r>
  <r>
    <x v="14"/>
    <s v="Brightpoint Community College"/>
    <s v="Was John Tyler Community College"/>
    <n v="232450"/>
    <x v="5"/>
    <n v="158949"/>
    <n v="149393"/>
    <n v="43773"/>
    <n v="19352"/>
    <n v="26931"/>
    <n v="25410"/>
    <n v="75827"/>
    <n v="5812"/>
    <n v="6606"/>
    <n v="83819"/>
    <n v="14387"/>
    <n v="6425"/>
    <m/>
    <m/>
    <n v="0"/>
    <n v="0"/>
    <n v="0"/>
    <m/>
    <m/>
    <m/>
    <m/>
    <m/>
    <m/>
    <m/>
    <m/>
    <m/>
    <m/>
    <m/>
  </r>
  <r>
    <x v="14"/>
    <s v="Northern Virginia Community College "/>
    <m/>
    <n v="232946"/>
    <x v="5"/>
    <n v="923343"/>
    <n v="929298"/>
    <n v="348674"/>
    <n v="218357"/>
    <n v="108807"/>
    <n v="108523"/>
    <n v="420022"/>
    <n v="45757"/>
    <n v="83"/>
    <n v="599656"/>
    <n v="2576"/>
    <n v="186"/>
    <m/>
    <m/>
    <n v="0"/>
    <n v="0"/>
    <n v="0"/>
    <m/>
    <m/>
    <m/>
    <m/>
    <m/>
    <m/>
    <m/>
    <m/>
    <m/>
    <m/>
    <m/>
  </r>
  <r>
    <x v="14"/>
    <s v="Virginia Peninsula Community College"/>
    <s v="Reclassifed: Met the criteria for Two-Year 2 in 2019-20 and 2020-21 and 2021-22 was Thomas Nelson Community College"/>
    <n v="233754"/>
    <x v="6"/>
    <n v="132345"/>
    <n v="118434"/>
    <n v="45693"/>
    <n v="4071"/>
    <n v="6657"/>
    <n v="7361"/>
    <n v="78682"/>
    <n v="184"/>
    <n v="1129"/>
    <n v="100756"/>
    <n v="947"/>
    <n v="5299"/>
    <m/>
    <m/>
    <n v="0"/>
    <n v="0"/>
    <n v="0"/>
    <m/>
    <m/>
    <m/>
    <m/>
    <m/>
    <m/>
    <m/>
    <m/>
    <m/>
    <m/>
    <m/>
  </r>
  <r>
    <x v="14"/>
    <s v="Tidewater Community College "/>
    <m/>
    <n v="233772"/>
    <x v="5"/>
    <n v="359351"/>
    <n v="325714"/>
    <n v="119520"/>
    <n v="25237"/>
    <n v="15817"/>
    <n v="12698"/>
    <n v="218874"/>
    <n v="3243"/>
    <n v="1897"/>
    <n v="275413"/>
    <n v="9674"/>
    <n v="2692"/>
    <m/>
    <m/>
    <n v="0"/>
    <n v="0"/>
    <n v="0"/>
    <m/>
    <m/>
    <m/>
    <m/>
    <m/>
    <m/>
    <m/>
    <m/>
    <m/>
    <m/>
    <m/>
  </r>
  <r>
    <x v="14"/>
    <s v="Blue Ridge Community College "/>
    <m/>
    <n v="231536"/>
    <x v="6"/>
    <n v="64957"/>
    <n v="59883"/>
    <n v="15647"/>
    <n v="9250"/>
    <n v="3842"/>
    <n v="5003"/>
    <n v="44823"/>
    <n v="574"/>
    <n v="71"/>
    <n v="44545"/>
    <n v="634"/>
    <n v="451"/>
    <m/>
    <m/>
    <n v="0"/>
    <n v="0"/>
    <n v="0"/>
    <m/>
    <m/>
    <m/>
    <m/>
    <m/>
    <m/>
    <m/>
    <m/>
    <m/>
    <m/>
    <m/>
  </r>
  <r>
    <x v="14"/>
    <s v="Central Virginia Community College "/>
    <m/>
    <n v="231697"/>
    <x v="6"/>
    <n v="64772"/>
    <n v="61162"/>
    <n v="17305"/>
    <n v="9858"/>
    <n v="8530"/>
    <n v="6726"/>
    <n v="34671"/>
    <n v="4226"/>
    <n v="40"/>
    <n v="40008"/>
    <n v="4501"/>
    <n v="69"/>
    <m/>
    <m/>
    <n v="0"/>
    <n v="0"/>
    <n v="0"/>
    <m/>
    <m/>
    <m/>
    <m/>
    <m/>
    <m/>
    <m/>
    <m/>
    <m/>
    <m/>
    <m/>
  </r>
  <r>
    <x v="14"/>
    <s v="Germanna Community College"/>
    <m/>
    <n v="232195"/>
    <x v="6"/>
    <n v="135978"/>
    <n v="141104"/>
    <n v="27812"/>
    <n v="3887"/>
    <n v="17979"/>
    <n v="12801"/>
    <n v="83065"/>
    <n v="7122"/>
    <n v="0"/>
    <n v="121759"/>
    <n v="2591"/>
    <n v="66"/>
    <m/>
    <m/>
    <n v="0"/>
    <n v="0"/>
    <n v="0"/>
    <m/>
    <m/>
    <m/>
    <m/>
    <m/>
    <m/>
    <m/>
    <m/>
    <m/>
    <m/>
    <m/>
  </r>
  <r>
    <x v="14"/>
    <s v="Laurel Ridge Community College"/>
    <s v="Was Lord Fairfax Community College"/>
    <n v="232575"/>
    <x v="6"/>
    <n v="115532"/>
    <n v="107077"/>
    <n v="17496"/>
    <n v="8847"/>
    <n v="33298"/>
    <n v="31885"/>
    <n v="49793"/>
    <n v="14945"/>
    <n v="0"/>
    <n v="60732"/>
    <n v="5383"/>
    <n v="230"/>
    <m/>
    <m/>
    <n v="0"/>
    <n v="0"/>
    <n v="0"/>
    <m/>
    <m/>
    <m/>
    <m/>
    <m/>
    <m/>
    <m/>
    <m/>
    <m/>
    <m/>
    <m/>
  </r>
  <r>
    <x v="14"/>
    <s v="New River Community College "/>
    <m/>
    <n v="232867"/>
    <x v="6"/>
    <n v="78768"/>
    <n v="74857"/>
    <n v="10406"/>
    <n v="9209"/>
    <n v="26416"/>
    <n v="17121"/>
    <n v="41104"/>
    <n v="842"/>
    <n v="0"/>
    <n v="48300"/>
    <n v="227"/>
    <n v="0"/>
    <m/>
    <m/>
    <n v="0"/>
    <n v="0"/>
    <n v="0"/>
    <m/>
    <m/>
    <m/>
    <m/>
    <m/>
    <m/>
    <m/>
    <m/>
    <m/>
    <m/>
    <m/>
  </r>
  <r>
    <x v="14"/>
    <s v="Piedmont Virginia Community College "/>
    <m/>
    <n v="233116"/>
    <x v="6"/>
    <n v="82065"/>
    <n v="79882"/>
    <n v="20828"/>
    <n v="10981"/>
    <n v="18212"/>
    <n v="16843"/>
    <n v="41019"/>
    <n v="1941"/>
    <n v="65"/>
    <n v="50131"/>
    <n v="1893"/>
    <n v="34"/>
    <m/>
    <m/>
    <n v="0"/>
    <n v="0"/>
    <n v="0"/>
    <m/>
    <m/>
    <m/>
    <m/>
    <m/>
    <m/>
    <m/>
    <m/>
    <m/>
    <m/>
    <m/>
  </r>
  <r>
    <x v="14"/>
    <s v="Southside Virginia Community College"/>
    <s v="Reclassifed Met the criteria for Two-Year 3 in 2019-20 and 2020-21, and 2021-22"/>
    <n v="233639"/>
    <x v="7"/>
    <n v="59742"/>
    <n v="56309"/>
    <n v="5380"/>
    <n v="3905"/>
    <n v="13603"/>
    <n v="9575"/>
    <n v="37427"/>
    <n v="2224"/>
    <n v="1108"/>
    <n v="40586"/>
    <n v="990"/>
    <n v="1253"/>
    <m/>
    <m/>
    <n v="0"/>
    <n v="0"/>
    <n v="0"/>
    <m/>
    <m/>
    <m/>
    <m/>
    <m/>
    <m/>
    <m/>
    <m/>
    <m/>
    <m/>
    <m/>
  </r>
  <r>
    <x v="14"/>
    <s v="Virginia Western Community College "/>
    <m/>
    <n v="233949"/>
    <x v="6"/>
    <n v="103122"/>
    <n v="99605"/>
    <n v="26919"/>
    <n v="13001"/>
    <n v="19742"/>
    <n v="19203"/>
    <n v="51025"/>
    <n v="5436"/>
    <n v="0"/>
    <n v="64335"/>
    <n v="3066"/>
    <n v="0"/>
    <m/>
    <m/>
    <n v="0"/>
    <n v="0"/>
    <n v="0"/>
    <m/>
    <m/>
    <m/>
    <m/>
    <m/>
    <m/>
    <m/>
    <m/>
    <m/>
    <m/>
    <m/>
  </r>
  <r>
    <x v="14"/>
    <s v="Mountain Gateway Community College"/>
    <s v="Was D.S. Lancaster Community College "/>
    <n v="231873"/>
    <x v="7"/>
    <n v="18656"/>
    <n v="19403"/>
    <n v="3845"/>
    <n v="3999"/>
    <n v="4773"/>
    <n v="4635"/>
    <n v="8993"/>
    <n v="769"/>
    <n v="276"/>
    <n v="10469"/>
    <n v="182"/>
    <n v="118"/>
    <m/>
    <m/>
    <n v="0"/>
    <n v="0"/>
    <n v="0"/>
    <m/>
    <m/>
    <m/>
    <m/>
    <m/>
    <m/>
    <m/>
    <m/>
    <m/>
    <m/>
    <m/>
  </r>
  <r>
    <x v="14"/>
    <s v="Danville Community College "/>
    <m/>
    <n v="231882"/>
    <x v="7"/>
    <n v="49488"/>
    <n v="44130"/>
    <n v="17149"/>
    <n v="6741"/>
    <n v="6726"/>
    <n v="11097"/>
    <n v="17911"/>
    <n v="4678"/>
    <n v="3024"/>
    <n v="17989"/>
    <n v="4469"/>
    <n v="3834"/>
    <m/>
    <m/>
    <n v="0"/>
    <n v="0"/>
    <n v="0"/>
    <m/>
    <m/>
    <m/>
    <m/>
    <m/>
    <m/>
    <m/>
    <m/>
    <m/>
    <m/>
    <m/>
  </r>
  <r>
    <x v="14"/>
    <s v="Eastern Shore Community College"/>
    <m/>
    <n v="232052"/>
    <x v="7"/>
    <n v="12182"/>
    <n v="11724"/>
    <n v="3463"/>
    <n v="1277"/>
    <n v="3126"/>
    <n v="2919"/>
    <n v="4217"/>
    <n v="286"/>
    <n v="1090"/>
    <n v="5922"/>
    <n v="429"/>
    <n v="1177"/>
    <m/>
    <m/>
    <n v="0"/>
    <n v="0"/>
    <n v="0"/>
    <m/>
    <m/>
    <m/>
    <m/>
    <m/>
    <m/>
    <m/>
    <m/>
    <m/>
    <m/>
    <m/>
  </r>
  <r>
    <x v="14"/>
    <s v="Mountain Empire Community College"/>
    <m/>
    <n v="232788"/>
    <x v="7"/>
    <n v="45237"/>
    <n v="43685"/>
    <n v="9040"/>
    <n v="1655"/>
    <n v="6919"/>
    <n v="6819"/>
    <n v="24467"/>
    <n v="3364"/>
    <n v="1447"/>
    <n v="30458"/>
    <n v="1750"/>
    <n v="3003"/>
    <m/>
    <m/>
    <n v="0"/>
    <n v="0"/>
    <n v="0"/>
    <m/>
    <m/>
    <m/>
    <m/>
    <m/>
    <m/>
    <m/>
    <m/>
    <m/>
    <m/>
    <m/>
  </r>
  <r>
    <x v="14"/>
    <s v="Patrick &amp; Henry Community College"/>
    <s v="Was  Patrick Henry Community College"/>
    <n v="233019"/>
    <x v="7"/>
    <n v="46085"/>
    <n v="42537"/>
    <n v="15750"/>
    <n v="12312"/>
    <n v="3742"/>
    <n v="2516"/>
    <n v="23902"/>
    <n v="2673"/>
    <n v="18"/>
    <n v="25937"/>
    <n v="1772"/>
    <n v="0"/>
    <m/>
    <m/>
    <n v="0"/>
    <n v="0"/>
    <n v="0"/>
    <m/>
    <m/>
    <m/>
    <m/>
    <m/>
    <m/>
    <m/>
    <m/>
    <m/>
    <m/>
    <m/>
  </r>
  <r>
    <x v="14"/>
    <s v="Paul D. Camp Community College"/>
    <m/>
    <n v="233037"/>
    <x v="7"/>
    <n v="22936"/>
    <n v="22047"/>
    <n v="2699"/>
    <n v="2095"/>
    <n v="5967"/>
    <n v="5791"/>
    <n v="10869"/>
    <n v="2384"/>
    <n v="1017"/>
    <n v="10884"/>
    <n v="2210"/>
    <n v="1067"/>
    <m/>
    <m/>
    <n v="0"/>
    <n v="0"/>
    <n v="0"/>
    <m/>
    <m/>
    <m/>
    <m/>
    <m/>
    <m/>
    <m/>
    <m/>
    <m/>
    <m/>
    <m/>
  </r>
  <r>
    <x v="14"/>
    <s v="Rappahannock Community College"/>
    <m/>
    <n v="233310"/>
    <x v="7"/>
    <n v="47910"/>
    <n v="45196"/>
    <n v="6538"/>
    <n v="5764"/>
    <n v="14042"/>
    <n v="13694"/>
    <n v="20616"/>
    <n v="6714"/>
    <n v="0"/>
    <n v="22035"/>
    <n v="3703"/>
    <n v="0"/>
    <m/>
    <m/>
    <n v="0"/>
    <n v="0"/>
    <n v="0"/>
    <m/>
    <m/>
    <m/>
    <m/>
    <m/>
    <m/>
    <m/>
    <m/>
    <m/>
    <m/>
    <m/>
  </r>
  <r>
    <x v="14"/>
    <s v="Richard Bland College "/>
    <m/>
    <n v="233338"/>
    <x v="7"/>
    <n v="36848"/>
    <n v="32546"/>
    <n v="19540"/>
    <n v="22855"/>
    <n v="11435"/>
    <n v="0"/>
    <n v="5873"/>
    <n v="0"/>
    <n v="0"/>
    <n v="9685"/>
    <n v="6"/>
    <n v="0"/>
    <m/>
    <m/>
    <n v="0"/>
    <n v="0"/>
    <n v="0"/>
    <m/>
    <m/>
    <m/>
    <m/>
    <m/>
    <m/>
    <m/>
    <m/>
    <m/>
    <m/>
    <m/>
  </r>
  <r>
    <x v="14"/>
    <s v="Southwest Virginia Community College "/>
    <m/>
    <n v="233648"/>
    <x v="7"/>
    <n v="48714"/>
    <n v="48246"/>
    <n v="7865"/>
    <n v="2763"/>
    <n v="4481"/>
    <n v="1039"/>
    <n v="31726"/>
    <n v="4642"/>
    <n v="0"/>
    <n v="39582"/>
    <n v="4834"/>
    <n v="28"/>
    <m/>
    <m/>
    <n v="0"/>
    <n v="0"/>
    <n v="0"/>
    <m/>
    <m/>
    <m/>
    <m/>
    <m/>
    <m/>
    <m/>
    <m/>
    <m/>
    <m/>
    <m/>
  </r>
  <r>
    <x v="14"/>
    <s v="Virginia Highlands Community College "/>
    <m/>
    <n v="233903"/>
    <x v="7"/>
    <n v="41985"/>
    <n v="44775"/>
    <n v="9096"/>
    <n v="8807"/>
    <n v="6396"/>
    <n v="6919"/>
    <n v="20767"/>
    <n v="5360"/>
    <n v="366"/>
    <n v="23940"/>
    <n v="2807"/>
    <n v="2302"/>
    <m/>
    <m/>
    <n v="0"/>
    <n v="0"/>
    <n v="0"/>
    <m/>
    <m/>
    <m/>
    <m/>
    <m/>
    <m/>
    <m/>
    <m/>
    <m/>
    <m/>
    <m/>
  </r>
  <r>
    <x v="14"/>
    <s v="Wytheville Community College "/>
    <m/>
    <n v="234377"/>
    <x v="7"/>
    <n v="44087"/>
    <n v="41551.5"/>
    <n v="3528"/>
    <n v="2415"/>
    <n v="11184"/>
    <n v="10455"/>
    <n v="24909"/>
    <n v="4466"/>
    <n v="0"/>
    <n v="27146.5"/>
    <n v="1448"/>
    <n v="87"/>
    <m/>
    <m/>
    <n v="0"/>
    <n v="0"/>
    <n v="0"/>
    <m/>
    <m/>
    <m/>
    <m/>
    <m/>
    <m/>
    <m/>
    <m/>
    <m/>
    <m/>
    <m/>
  </r>
  <r>
    <x v="15"/>
    <s v="West Virginia University"/>
    <m/>
    <n v="238032"/>
    <x v="0"/>
    <n v="598709"/>
    <n v="563952"/>
    <n v="329095"/>
    <n v="286171"/>
    <n v="9465"/>
    <n v="1256"/>
    <n v="259318"/>
    <m/>
    <n v="831"/>
    <n v="276402"/>
    <m/>
    <n v="123"/>
    <m/>
    <m/>
    <n v="88595"/>
    <n v="90458"/>
    <n v="51120"/>
    <n v="48997"/>
    <n v="1213"/>
    <n v="111"/>
    <n v="35462"/>
    <n v="21"/>
    <n v="779"/>
    <n v="41227"/>
    <n v="0"/>
    <n v="123"/>
    <m/>
    <m/>
  </r>
  <r>
    <x v="15"/>
    <s v="Marshall University "/>
    <m/>
    <n v="237525"/>
    <x v="2"/>
    <n v="237987"/>
    <n v="220322"/>
    <n v="107586"/>
    <n v="95527"/>
    <n v="15655"/>
    <n v="15848"/>
    <n v="111493"/>
    <n v="3253"/>
    <m/>
    <n v="106483"/>
    <n v="2464"/>
    <m/>
    <m/>
    <m/>
    <n v="61591"/>
    <n v="61970"/>
    <n v="18142"/>
    <n v="22985"/>
    <n v="5728"/>
    <n v="9022"/>
    <n v="36941"/>
    <n v="780"/>
    <m/>
    <n v="29733"/>
    <n v="230"/>
    <m/>
    <m/>
    <m/>
  </r>
  <r>
    <x v="15"/>
    <s v="Concord University "/>
    <m/>
    <n v="237330"/>
    <x v="4"/>
    <n v="43427"/>
    <n v="41098"/>
    <n v="13278"/>
    <n v="10529"/>
    <n v="1618"/>
    <n v="392"/>
    <n v="27936"/>
    <n v="595"/>
    <m/>
    <n v="29607"/>
    <n v="570"/>
    <m/>
    <m/>
    <m/>
    <n v="6552"/>
    <n v="7536"/>
    <n v="375"/>
    <n v="309"/>
    <m/>
    <n v="0"/>
    <n v="6177"/>
    <m/>
    <m/>
    <n v="7227"/>
    <m/>
    <m/>
    <m/>
    <m/>
  </r>
  <r>
    <x v="15"/>
    <s v="Fairmont State University"/>
    <s v="Met the Requirment for Four-Year 4 in 2021-22"/>
    <n v="237367"/>
    <x v="4"/>
    <n v="94745"/>
    <n v="86232"/>
    <n v="62937"/>
    <n v="50414"/>
    <n v="2117"/>
    <n v="2701"/>
    <n v="29691"/>
    <m/>
    <m/>
    <n v="33117"/>
    <m/>
    <m/>
    <m/>
    <m/>
    <n v="3930"/>
    <n v="4592"/>
    <n v="654"/>
    <n v="785"/>
    <n v="3"/>
    <n v="0"/>
    <n v="3273"/>
    <m/>
    <m/>
    <n v="3807"/>
    <m/>
    <m/>
    <m/>
    <m/>
  </r>
  <r>
    <x v="15"/>
    <s v="Shepherd University "/>
    <m/>
    <n v="237792"/>
    <x v="4"/>
    <n v="75437"/>
    <n v="68523"/>
    <n v="39954"/>
    <n v="28081"/>
    <n v="0"/>
    <n v="0"/>
    <n v="35483"/>
    <m/>
    <m/>
    <n v="40442"/>
    <m/>
    <m/>
    <m/>
    <m/>
    <n v="11322"/>
    <n v="16947"/>
    <n v="3894"/>
    <n v="1784"/>
    <m/>
    <n v="0"/>
    <n v="7428"/>
    <m/>
    <m/>
    <n v="15163"/>
    <m/>
    <m/>
    <m/>
    <m/>
  </r>
  <r>
    <x v="15"/>
    <s v="West Liberty University"/>
    <s v="Reclassifed: Met the criteria for Four-Year 4 in 2019-20 2020-21, and 2021-22"/>
    <n v="237932"/>
    <x v="3"/>
    <n v="59963"/>
    <n v="54625"/>
    <n v="49687"/>
    <n v="48601"/>
    <n v="2309"/>
    <n v="1907"/>
    <n v="7967"/>
    <m/>
    <m/>
    <n v="4117"/>
    <m/>
    <m/>
    <m/>
    <m/>
    <n v="7340"/>
    <n v="8037"/>
    <n v="3345"/>
    <n v="4987"/>
    <n v="1035"/>
    <n v="969"/>
    <n v="2960"/>
    <m/>
    <m/>
    <n v="2081"/>
    <m/>
    <m/>
    <m/>
    <m/>
  </r>
  <r>
    <x v="15"/>
    <s v="Bluefield State College "/>
    <m/>
    <n v="237215"/>
    <x v="11"/>
    <n v="31533"/>
    <n v="30840"/>
    <n v="11407"/>
    <n v="10114"/>
    <n v="2918"/>
    <n v="1819"/>
    <n v="17208"/>
    <m/>
    <m/>
    <n v="18907"/>
    <m/>
    <m/>
    <m/>
    <m/>
    <n v="0"/>
    <n v="0"/>
    <m/>
    <m/>
    <m/>
    <m/>
    <m/>
    <m/>
    <m/>
    <m/>
    <m/>
    <m/>
    <m/>
    <m/>
  </r>
  <r>
    <x v="15"/>
    <s v="Glenville State College "/>
    <m/>
    <n v="237385"/>
    <x v="11"/>
    <n v="36888"/>
    <n v="35555"/>
    <n v="17265"/>
    <n v="15896"/>
    <n v="6778"/>
    <n v="6113"/>
    <n v="12845"/>
    <m/>
    <m/>
    <n v="13546"/>
    <m/>
    <m/>
    <m/>
    <m/>
    <n v="0"/>
    <n v="0"/>
    <m/>
    <m/>
    <m/>
    <m/>
    <m/>
    <m/>
    <m/>
    <m/>
    <m/>
    <m/>
    <m/>
    <m/>
  </r>
  <r>
    <x v="15"/>
    <s v="West Virginia State University "/>
    <s v="Reclassifed: Met the criteria for Four-Year 4 in 2019-20 2020-21, and 2021-22"/>
    <n v="237899"/>
    <x v="3"/>
    <n v="65039"/>
    <n v="57139"/>
    <n v="26195"/>
    <n v="21668"/>
    <n v="13817"/>
    <n v="14786"/>
    <n v="25027"/>
    <m/>
    <m/>
    <n v="20685"/>
    <m/>
    <m/>
    <m/>
    <m/>
    <n v="2353"/>
    <n v="3017"/>
    <n v="1696"/>
    <n v="1598"/>
    <n v="0"/>
    <n v="0"/>
    <n v="657"/>
    <m/>
    <m/>
    <n v="1419"/>
    <m/>
    <m/>
    <m/>
    <m/>
  </r>
  <r>
    <x v="15"/>
    <s v="West Virginia University Institute of Technology"/>
    <m/>
    <n v="237950"/>
    <x v="11"/>
    <n v="39462"/>
    <n v="37180"/>
    <n v="28265"/>
    <n v="25774"/>
    <n v="125"/>
    <n v="66"/>
    <n v="11072"/>
    <m/>
    <m/>
    <n v="11334"/>
    <m/>
    <n v="6"/>
    <m/>
    <m/>
    <n v="0"/>
    <n v="0"/>
    <m/>
    <m/>
    <m/>
    <m/>
    <m/>
    <m/>
    <m/>
    <m/>
    <m/>
    <m/>
    <m/>
    <m/>
  </r>
  <r>
    <x v="15"/>
    <s v="Potomac State College of West Virginia University"/>
    <m/>
    <n v="237701"/>
    <x v="12"/>
    <n v="31688"/>
    <n v="30545"/>
    <n v="21400"/>
    <n v="18462"/>
    <n v="1886"/>
    <n v="1302"/>
    <n v="8399"/>
    <m/>
    <n v="3"/>
    <n v="10781"/>
    <m/>
    <n v="0"/>
    <m/>
    <m/>
    <n v="0"/>
    <n v="0"/>
    <m/>
    <m/>
    <m/>
    <m/>
    <m/>
    <m/>
    <m/>
    <m/>
    <m/>
    <m/>
    <m/>
    <m/>
  </r>
  <r>
    <x v="15"/>
    <s v="West Virginia University at Parkersburg"/>
    <m/>
    <n v="237686"/>
    <x v="12"/>
    <n v="54053"/>
    <n v="48804"/>
    <n v="26296"/>
    <n v="19812"/>
    <n v="3738"/>
    <n v="3128"/>
    <n v="24019"/>
    <m/>
    <m/>
    <n v="25864"/>
    <m/>
    <m/>
    <m/>
    <m/>
    <n v="0"/>
    <n v="0"/>
    <m/>
    <m/>
    <m/>
    <m/>
    <m/>
    <m/>
    <m/>
    <m/>
    <m/>
    <m/>
    <m/>
    <m/>
  </r>
  <r>
    <x v="15"/>
    <s v="Blue Ridge Community &amp; Technical College"/>
    <s v="Met the criteria for Two-Year 3 in 2020-21, and 2021-22"/>
    <n v="446774"/>
    <x v="6"/>
    <n v="50852"/>
    <n v="39810"/>
    <n v="17828"/>
    <n v="4969"/>
    <n v="4962"/>
    <n v="2661"/>
    <n v="28062"/>
    <m/>
    <m/>
    <n v="32180"/>
    <m/>
    <m/>
    <m/>
    <m/>
    <n v="0"/>
    <n v="0"/>
    <m/>
    <m/>
    <m/>
    <m/>
    <m/>
    <m/>
    <m/>
    <m/>
    <m/>
    <m/>
    <m/>
    <m/>
  </r>
  <r>
    <x v="15"/>
    <s v="BridgeValley Community &amp; Technical College"/>
    <m/>
    <n v="484932"/>
    <x v="7"/>
    <n v="36783"/>
    <n v="35141"/>
    <n v="25317"/>
    <n v="21840"/>
    <n v="14"/>
    <n v="87"/>
    <n v="11452"/>
    <m/>
    <m/>
    <n v="13214"/>
    <m/>
    <m/>
    <m/>
    <m/>
    <n v="0"/>
    <n v="0"/>
    <m/>
    <m/>
    <m/>
    <m/>
    <m/>
    <m/>
    <m/>
    <m/>
    <m/>
    <m/>
    <m/>
    <m/>
  </r>
  <r>
    <x v="15"/>
    <s v="Eastern West Virginia Community &amp; Technical College"/>
    <m/>
    <n v="438708"/>
    <x v="7"/>
    <n v="6596"/>
    <n v="5750"/>
    <n v="2126"/>
    <n v="1542"/>
    <n v="1140"/>
    <n v="447"/>
    <n v="3330"/>
    <m/>
    <m/>
    <n v="3761"/>
    <m/>
    <m/>
    <m/>
    <m/>
    <n v="0"/>
    <n v="0"/>
    <m/>
    <m/>
    <m/>
    <m/>
    <m/>
    <m/>
    <m/>
    <m/>
    <m/>
    <m/>
    <m/>
    <m/>
  </r>
  <r>
    <x v="15"/>
    <s v="Mountwest Community &amp; Technical College"/>
    <m/>
    <n v="444954"/>
    <x v="7"/>
    <n v="33709"/>
    <n v="27720"/>
    <n v="18883"/>
    <n v="15403"/>
    <n v="2207"/>
    <n v="984"/>
    <n v="12619"/>
    <m/>
    <m/>
    <n v="11333"/>
    <m/>
    <m/>
    <m/>
    <m/>
    <n v="0"/>
    <n v="0"/>
    <m/>
    <m/>
    <m/>
    <m/>
    <m/>
    <m/>
    <m/>
    <m/>
    <m/>
    <m/>
    <m/>
    <m/>
  </r>
  <r>
    <x v="15"/>
    <s v="New River Community &amp; Technical College"/>
    <m/>
    <n v="447582"/>
    <x v="7"/>
    <n v="25411"/>
    <n v="23609"/>
    <n v="14346"/>
    <n v="12225"/>
    <n v="0"/>
    <n v="0"/>
    <n v="11065"/>
    <m/>
    <m/>
    <n v="11384"/>
    <m/>
    <m/>
    <m/>
    <m/>
    <n v="0"/>
    <n v="0"/>
    <m/>
    <m/>
    <m/>
    <m/>
    <m/>
    <m/>
    <m/>
    <m/>
    <m/>
    <m/>
    <m/>
    <m/>
  </r>
  <r>
    <x v="15"/>
    <s v="Pierpont Community &amp; Technical College"/>
    <m/>
    <n v="443492"/>
    <x v="7"/>
    <n v="35579"/>
    <n v="32402"/>
    <n v="3272"/>
    <n v="1499"/>
    <n v="7798"/>
    <n v="9717"/>
    <n v="23102"/>
    <m/>
    <n v="1407"/>
    <n v="19662"/>
    <m/>
    <n v="1524"/>
    <m/>
    <m/>
    <n v="0"/>
    <n v="0"/>
    <m/>
    <m/>
    <m/>
    <m/>
    <m/>
    <m/>
    <m/>
    <m/>
    <m/>
    <m/>
    <m/>
    <m/>
  </r>
  <r>
    <x v="15"/>
    <s v="Southern West Virginia Community &amp; Technical College "/>
    <m/>
    <n v="237817"/>
    <x v="7"/>
    <n v="33407"/>
    <n v="31026"/>
    <n v="14149"/>
    <n v="6607"/>
    <n v="1100"/>
    <n v="630"/>
    <n v="16514"/>
    <n v="1644"/>
    <m/>
    <n v="23789"/>
    <n v="0"/>
    <m/>
    <m/>
    <m/>
    <n v="0"/>
    <n v="0"/>
    <m/>
    <m/>
    <m/>
    <m/>
    <m/>
    <m/>
    <m/>
    <m/>
    <m/>
    <m/>
    <m/>
    <m/>
  </r>
  <r>
    <x v="15"/>
    <s v="West Virginia Northern Community College"/>
    <m/>
    <n v="238014"/>
    <x v="7"/>
    <n v="27865"/>
    <n v="25000"/>
    <n v="6648"/>
    <n v="3632"/>
    <n v="0"/>
    <n v="0"/>
    <n v="20010"/>
    <n v="1207"/>
    <m/>
    <n v="20846"/>
    <n v="522"/>
    <m/>
    <m/>
    <m/>
    <n v="0"/>
    <n v="0"/>
    <m/>
    <m/>
    <m/>
    <m/>
    <m/>
    <m/>
    <m/>
    <m/>
    <m/>
    <m/>
    <m/>
    <m/>
  </r>
  <r>
    <x v="15"/>
    <s v="Academy of Careers and Technology"/>
    <m/>
    <n v="237729"/>
    <x v="14"/>
    <n v="0"/>
    <n v="0"/>
    <m/>
    <n v="0"/>
    <m/>
    <m/>
    <m/>
    <m/>
    <m/>
    <m/>
    <m/>
    <m/>
    <m/>
    <m/>
    <n v="0"/>
    <n v="0"/>
    <m/>
    <m/>
    <m/>
    <m/>
    <m/>
    <m/>
    <m/>
    <m/>
    <m/>
    <m/>
    <m/>
    <m/>
  </r>
  <r>
    <x v="15"/>
    <s v="Ben Franklin Career Center"/>
    <m/>
    <n v="237172"/>
    <x v="14"/>
    <n v="0"/>
    <n v="0"/>
    <m/>
    <n v="0"/>
    <m/>
    <m/>
    <m/>
    <m/>
    <m/>
    <m/>
    <m/>
    <m/>
    <m/>
    <m/>
    <n v="0"/>
    <n v="0"/>
    <m/>
    <m/>
    <m/>
    <m/>
    <m/>
    <m/>
    <m/>
    <m/>
    <m/>
    <m/>
    <m/>
    <m/>
  </r>
  <r>
    <x v="15"/>
    <s v="Boone Career and Technical Center"/>
    <m/>
    <n v="237224"/>
    <x v="14"/>
    <n v="0"/>
    <n v="0"/>
    <m/>
    <n v="0"/>
    <m/>
    <m/>
    <m/>
    <m/>
    <m/>
    <m/>
    <m/>
    <m/>
    <m/>
    <m/>
    <n v="0"/>
    <n v="0"/>
    <m/>
    <m/>
    <m/>
    <m/>
    <m/>
    <m/>
    <m/>
    <m/>
    <m/>
    <m/>
    <m/>
    <m/>
  </r>
  <r>
    <x v="15"/>
    <s v="Cabell County Career Technology Center"/>
    <m/>
    <n v="237242"/>
    <x v="14"/>
    <n v="0"/>
    <n v="0"/>
    <m/>
    <n v="0"/>
    <m/>
    <m/>
    <m/>
    <m/>
    <m/>
    <m/>
    <m/>
    <m/>
    <m/>
    <m/>
    <n v="0"/>
    <n v="0"/>
    <m/>
    <m/>
    <m/>
    <m/>
    <m/>
    <m/>
    <m/>
    <m/>
    <m/>
    <m/>
    <m/>
    <m/>
  </r>
  <r>
    <x v="15"/>
    <s v="Carver Career and Technical Education Center"/>
    <m/>
    <n v="430795"/>
    <x v="14"/>
    <n v="0"/>
    <n v="0"/>
    <m/>
    <n v="0"/>
    <m/>
    <m/>
    <m/>
    <m/>
    <m/>
    <m/>
    <m/>
    <m/>
    <m/>
    <m/>
    <n v="0"/>
    <n v="0"/>
    <m/>
    <m/>
    <m/>
    <m/>
    <m/>
    <m/>
    <m/>
    <m/>
    <m/>
    <m/>
    <m/>
    <m/>
  </r>
  <r>
    <x v="15"/>
    <s v="Fayette Institute of Technology"/>
    <m/>
    <n v="413176"/>
    <x v="14"/>
    <n v="0"/>
    <n v="0"/>
    <m/>
    <n v="0"/>
    <m/>
    <m/>
    <m/>
    <m/>
    <m/>
    <m/>
    <m/>
    <m/>
    <m/>
    <m/>
    <n v="0"/>
    <n v="0"/>
    <m/>
    <m/>
    <m/>
    <m/>
    <m/>
    <m/>
    <m/>
    <m/>
    <m/>
    <m/>
    <m/>
    <m/>
  </r>
  <r>
    <x v="15"/>
    <s v="Fred W. Eberle Technical Center "/>
    <m/>
    <n v="237844"/>
    <x v="14"/>
    <n v="0"/>
    <n v="0"/>
    <m/>
    <n v="0"/>
    <m/>
    <m/>
    <m/>
    <m/>
    <m/>
    <m/>
    <m/>
    <m/>
    <m/>
    <m/>
    <n v="0"/>
    <n v="0"/>
    <m/>
    <m/>
    <m/>
    <m/>
    <m/>
    <m/>
    <m/>
    <m/>
    <m/>
    <m/>
    <m/>
    <m/>
  </r>
  <r>
    <x v="15"/>
    <s v="Garnet Career Center "/>
    <m/>
    <n v="431169"/>
    <x v="14"/>
    <n v="0"/>
    <n v="0"/>
    <m/>
    <n v="0"/>
    <m/>
    <m/>
    <m/>
    <m/>
    <m/>
    <m/>
    <m/>
    <m/>
    <m/>
    <m/>
    <n v="0"/>
    <n v="0"/>
    <m/>
    <m/>
    <m/>
    <m/>
    <m/>
    <m/>
    <m/>
    <m/>
    <m/>
    <m/>
    <m/>
    <m/>
  </r>
  <r>
    <x v="15"/>
    <s v="James Rumsey Technical Institute"/>
    <m/>
    <n v="237473"/>
    <x v="14"/>
    <n v="0"/>
    <n v="0"/>
    <m/>
    <n v="0"/>
    <m/>
    <m/>
    <m/>
    <m/>
    <m/>
    <m/>
    <m/>
    <m/>
    <m/>
    <m/>
    <n v="0"/>
    <n v="0"/>
    <m/>
    <m/>
    <m/>
    <m/>
    <m/>
    <m/>
    <m/>
    <m/>
    <m/>
    <m/>
    <m/>
    <m/>
  </r>
  <r>
    <x v="15"/>
    <s v="John D. Rockefeller IV Career Center"/>
    <m/>
    <n v="446349"/>
    <x v="14"/>
    <n v="0"/>
    <n v="0"/>
    <m/>
    <n v="0"/>
    <m/>
    <m/>
    <m/>
    <m/>
    <m/>
    <m/>
    <m/>
    <m/>
    <m/>
    <m/>
    <n v="0"/>
    <n v="0"/>
    <m/>
    <m/>
    <m/>
    <m/>
    <m/>
    <m/>
    <m/>
    <m/>
    <m/>
    <m/>
    <m/>
    <m/>
  </r>
  <r>
    <x v="15"/>
    <s v="Marion County Technical Center"/>
    <m/>
    <n v="237516"/>
    <x v="14"/>
    <n v="0"/>
    <n v="0"/>
    <m/>
    <n v="0"/>
    <m/>
    <m/>
    <m/>
    <m/>
    <m/>
    <m/>
    <m/>
    <m/>
    <m/>
    <m/>
    <n v="0"/>
    <n v="0"/>
    <m/>
    <m/>
    <m/>
    <m/>
    <m/>
    <m/>
    <m/>
    <m/>
    <m/>
    <m/>
    <m/>
    <m/>
  </r>
  <r>
    <x v="15"/>
    <s v="McDowell County Career and Technology Center"/>
    <m/>
    <n v="237534"/>
    <x v="14"/>
    <n v="0"/>
    <n v="0"/>
    <m/>
    <n v="0"/>
    <m/>
    <m/>
    <m/>
    <m/>
    <m/>
    <m/>
    <m/>
    <m/>
    <m/>
    <m/>
    <n v="0"/>
    <n v="0"/>
    <m/>
    <m/>
    <m/>
    <m/>
    <m/>
    <m/>
    <m/>
    <m/>
    <m/>
    <m/>
    <m/>
    <m/>
  </r>
  <r>
    <x v="15"/>
    <s v="Mercer County Technical Education Center"/>
    <m/>
    <n v="237543"/>
    <x v="14"/>
    <n v="0"/>
    <n v="0"/>
    <m/>
    <n v="0"/>
    <m/>
    <m/>
    <m/>
    <m/>
    <m/>
    <m/>
    <m/>
    <m/>
    <m/>
    <m/>
    <n v="0"/>
    <n v="0"/>
    <m/>
    <m/>
    <m/>
    <m/>
    <m/>
    <m/>
    <m/>
    <m/>
    <m/>
    <m/>
    <m/>
    <m/>
  </r>
  <r>
    <x v="15"/>
    <s v="Mineral County Technical Center"/>
    <m/>
    <n v="368647"/>
    <x v="14"/>
    <n v="0"/>
    <n v="0"/>
    <m/>
    <n v="0"/>
    <m/>
    <m/>
    <m/>
    <m/>
    <m/>
    <m/>
    <m/>
    <m/>
    <m/>
    <m/>
    <n v="0"/>
    <n v="0"/>
    <m/>
    <m/>
    <m/>
    <m/>
    <m/>
    <m/>
    <m/>
    <m/>
    <m/>
    <m/>
    <m/>
    <m/>
  </r>
  <r>
    <x v="15"/>
    <s v="Monongalia County Technical Education Center "/>
    <m/>
    <n v="237561"/>
    <x v="14"/>
    <n v="0"/>
    <n v="0"/>
    <m/>
    <n v="0"/>
    <m/>
    <m/>
    <m/>
    <m/>
    <m/>
    <m/>
    <m/>
    <m/>
    <m/>
    <m/>
    <n v="0"/>
    <n v="0"/>
    <m/>
    <m/>
    <m/>
    <m/>
    <m/>
    <m/>
    <m/>
    <m/>
    <m/>
    <m/>
    <m/>
    <m/>
  </r>
  <r>
    <x v="15"/>
    <s v="Putnam Career and Technical Center"/>
    <m/>
    <n v="419420"/>
    <x v="14"/>
    <n v="0"/>
    <n v="0"/>
    <m/>
    <n v="0"/>
    <m/>
    <m/>
    <m/>
    <m/>
    <m/>
    <m/>
    <m/>
    <m/>
    <m/>
    <m/>
    <n v="0"/>
    <n v="0"/>
    <m/>
    <m/>
    <m/>
    <m/>
    <m/>
    <m/>
    <m/>
    <m/>
    <m/>
    <m/>
    <m/>
    <m/>
  </r>
  <r>
    <x v="15"/>
    <s v="Ralph R. Willis Career and Technical Center"/>
    <m/>
    <n v="237491"/>
    <x v="14"/>
    <n v="0"/>
    <n v="0"/>
    <m/>
    <n v="0"/>
    <m/>
    <m/>
    <m/>
    <m/>
    <m/>
    <m/>
    <m/>
    <m/>
    <m/>
    <m/>
    <n v="0"/>
    <n v="0"/>
    <m/>
    <m/>
    <m/>
    <m/>
    <m/>
    <m/>
    <m/>
    <m/>
    <m/>
    <m/>
    <m/>
    <m/>
  </r>
  <r>
    <x v="15"/>
    <s v="Roane-Jackson Technical Center"/>
    <m/>
    <n v="364575"/>
    <x v="14"/>
    <n v="0"/>
    <n v="0"/>
    <m/>
    <n v="0"/>
    <m/>
    <m/>
    <m/>
    <m/>
    <m/>
    <m/>
    <m/>
    <m/>
    <m/>
    <m/>
    <n v="0"/>
    <n v="0"/>
    <m/>
    <m/>
    <m/>
    <m/>
    <m/>
    <m/>
    <m/>
    <m/>
    <m/>
    <m/>
    <m/>
    <m/>
  </r>
  <r>
    <x v="15"/>
    <s v="South Branch Career &amp; Technical Center"/>
    <m/>
    <n v="441894"/>
    <x v="14"/>
    <n v="0"/>
    <n v="0"/>
    <m/>
    <n v="0"/>
    <m/>
    <m/>
    <m/>
    <m/>
    <m/>
    <m/>
    <m/>
    <m/>
    <m/>
    <m/>
    <n v="0"/>
    <n v="0"/>
    <m/>
    <m/>
    <m/>
    <m/>
    <m/>
    <m/>
    <m/>
    <m/>
    <m/>
    <m/>
    <m/>
    <m/>
  </r>
  <r>
    <x v="15"/>
    <s v="United Technical Center"/>
    <m/>
    <n v="419031"/>
    <x v="14"/>
    <n v="0"/>
    <n v="0"/>
    <m/>
    <n v="0"/>
    <m/>
    <m/>
    <m/>
    <m/>
    <m/>
    <m/>
    <m/>
    <m/>
    <m/>
    <m/>
    <n v="0"/>
    <n v="0"/>
    <m/>
    <m/>
    <m/>
    <m/>
    <m/>
    <m/>
    <m/>
    <m/>
    <m/>
    <m/>
    <m/>
    <m/>
  </r>
  <r>
    <x v="15"/>
    <s v="Wyoming County Career &amp; Technical Center"/>
    <m/>
    <s v="N/A"/>
    <x v="14"/>
    <n v="0"/>
    <n v="0"/>
    <m/>
    <n v="0"/>
    <m/>
    <m/>
    <m/>
    <m/>
    <m/>
    <m/>
    <m/>
    <m/>
    <m/>
    <m/>
    <n v="0"/>
    <n v="0"/>
    <m/>
    <m/>
    <m/>
    <m/>
    <m/>
    <m/>
    <m/>
    <m/>
    <m/>
    <m/>
    <m/>
    <m/>
  </r>
  <r>
    <x v="15"/>
    <s v="Greenbrier School of Practical Nursing"/>
    <m/>
    <s v="N/A"/>
    <x v="10"/>
    <n v="0"/>
    <n v="0"/>
    <m/>
    <n v="0"/>
    <m/>
    <m/>
    <m/>
    <m/>
    <m/>
    <m/>
    <m/>
    <m/>
    <m/>
    <m/>
    <n v="0"/>
    <n v="0"/>
    <m/>
    <m/>
    <m/>
    <m/>
    <m/>
    <m/>
    <m/>
    <m/>
    <m/>
    <m/>
    <m/>
    <m/>
  </r>
  <r>
    <x v="15"/>
    <s v="Mingo Extended Learning Center"/>
    <m/>
    <n v="486202"/>
    <x v="10"/>
    <n v="0"/>
    <n v="0"/>
    <m/>
    <n v="0"/>
    <m/>
    <m/>
    <m/>
    <m/>
    <m/>
    <m/>
    <m/>
    <m/>
    <m/>
    <m/>
    <n v="0"/>
    <n v="0"/>
    <m/>
    <m/>
    <m/>
    <m/>
    <m/>
    <m/>
    <m/>
    <m/>
    <m/>
    <m/>
    <m/>
    <m/>
  </r>
  <r>
    <x v="15"/>
    <s v="Randolph Technical Center"/>
    <m/>
    <n v="486406"/>
    <x v="10"/>
    <n v="0"/>
    <n v="0"/>
    <m/>
    <n v="0"/>
    <m/>
    <m/>
    <m/>
    <m/>
    <m/>
    <m/>
    <m/>
    <m/>
    <m/>
    <m/>
    <n v="0"/>
    <n v="0"/>
    <m/>
    <m/>
    <m/>
    <m/>
    <m/>
    <m/>
    <m/>
    <m/>
    <m/>
    <m/>
    <m/>
    <m/>
  </r>
  <r>
    <x v="15"/>
    <s v="Summers County School of Practical Nursing"/>
    <m/>
    <s v="N/A"/>
    <x v="10"/>
    <n v="0"/>
    <n v="0"/>
    <m/>
    <n v="0"/>
    <m/>
    <m/>
    <m/>
    <m/>
    <m/>
    <m/>
    <m/>
    <m/>
    <m/>
    <m/>
    <n v="0"/>
    <n v="0"/>
    <m/>
    <m/>
    <m/>
    <m/>
    <m/>
    <m/>
    <m/>
    <m/>
    <m/>
    <m/>
    <m/>
    <m/>
  </r>
  <r>
    <x v="15"/>
    <s v="Wood County School of Practical Nursing"/>
    <m/>
    <n v="238096"/>
    <x v="10"/>
    <n v="0"/>
    <n v="0"/>
    <m/>
    <n v="0"/>
    <m/>
    <m/>
    <m/>
    <m/>
    <m/>
    <m/>
    <m/>
    <m/>
    <m/>
    <m/>
    <n v="0"/>
    <n v="0"/>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3">
  <r>
    <x v="0"/>
    <s v="Auburn University"/>
    <m/>
    <n v="100858"/>
    <x v="0"/>
    <n v="739203"/>
    <n v="728575"/>
    <n v="648751"/>
    <n v="539905"/>
    <m/>
    <m/>
    <n v="90452"/>
    <m/>
    <m/>
    <n v="188670"/>
    <m/>
    <m/>
    <m/>
    <m/>
    <n v="113362"/>
    <n v="140816"/>
    <n v="84915"/>
    <n v="99879"/>
    <n v="2562"/>
    <n v="2291"/>
    <n v="25885"/>
    <m/>
    <m/>
    <n v="38646"/>
    <m/>
    <m/>
    <m/>
    <m/>
  </r>
  <r>
    <x v="0"/>
    <s v="University of Alabama "/>
    <m/>
    <n v="100751"/>
    <x v="0"/>
    <n v="888610"/>
    <n v="852132"/>
    <n v="544088"/>
    <n v="591056"/>
    <n v="15638"/>
    <n v="14700"/>
    <n v="219966"/>
    <n v="108918"/>
    <m/>
    <n v="128179"/>
    <n v="118197"/>
    <m/>
    <m/>
    <m/>
    <n v="104483"/>
    <n v="114696"/>
    <n v="58333"/>
    <n v="65279"/>
    <n v="8735"/>
    <n v="9554"/>
    <n v="30844"/>
    <n v="6571"/>
    <m/>
    <n v="30603"/>
    <n v="9260"/>
    <m/>
    <m/>
    <m/>
  </r>
  <r>
    <x v="0"/>
    <s v="University of Alabama at Birmingham"/>
    <m/>
    <n v="100663"/>
    <x v="0"/>
    <n v="321593"/>
    <n v="313734"/>
    <n v="203878"/>
    <n v="184801"/>
    <n v="83"/>
    <n v="135"/>
    <n v="117620"/>
    <n v="12"/>
    <m/>
    <n v="128765"/>
    <n v="33"/>
    <m/>
    <m/>
    <m/>
    <n v="55924"/>
    <n v="60668"/>
    <n v="28200"/>
    <n v="26565"/>
    <m/>
    <n v="14"/>
    <n v="27697"/>
    <n v="27"/>
    <m/>
    <n v="34035"/>
    <n v="54"/>
    <m/>
    <m/>
    <m/>
  </r>
  <r>
    <x v="0"/>
    <s v="University of Alabama in Huntsville"/>
    <m/>
    <n v="100706"/>
    <x v="1"/>
    <n v="220554"/>
    <n v="212025"/>
    <n v="116460"/>
    <n v="97210"/>
    <m/>
    <m/>
    <n v="104094"/>
    <m/>
    <m/>
    <n v="114815"/>
    <m/>
    <m/>
    <m/>
    <m/>
    <n v="30156"/>
    <n v="31793"/>
    <n v="13992"/>
    <n v="13181"/>
    <m/>
    <m/>
    <n v="16164"/>
    <m/>
    <m/>
    <n v="18612"/>
    <m/>
    <m/>
    <m/>
    <m/>
  </r>
  <r>
    <x v="0"/>
    <s v="University of South Alabama"/>
    <m/>
    <n v="102094"/>
    <x v="1"/>
    <n v="231181"/>
    <n v="216947"/>
    <n v="182430"/>
    <n v="165599"/>
    <n v="246"/>
    <n v="20"/>
    <n v="48505"/>
    <m/>
    <m/>
    <n v="51328"/>
    <m/>
    <m/>
    <m/>
    <m/>
    <n v="19964"/>
    <n v="20935"/>
    <n v="12602"/>
    <n v="13270"/>
    <m/>
    <n v="0"/>
    <n v="7362"/>
    <m/>
    <m/>
    <n v="7665"/>
    <m/>
    <m/>
    <m/>
    <m/>
  </r>
  <r>
    <x v="0"/>
    <s v="Alabama Agricultural &amp; Mechanical University"/>
    <m/>
    <n v="100654"/>
    <x v="2"/>
    <n v="150414"/>
    <n v="133316"/>
    <n v="88756"/>
    <n v="64202"/>
    <n v="89"/>
    <n v="88"/>
    <n v="61569"/>
    <m/>
    <m/>
    <n v="69026"/>
    <m/>
    <m/>
    <m/>
    <m/>
    <n v="17926"/>
    <n v="16399"/>
    <n v="6967"/>
    <n v="5366"/>
    <n v="1393"/>
    <n v="593"/>
    <n v="9566"/>
    <m/>
    <m/>
    <n v="10440"/>
    <m/>
    <m/>
    <m/>
    <m/>
  </r>
  <r>
    <x v="0"/>
    <s v="Jacksonville State University "/>
    <m/>
    <n v="101480"/>
    <x v="2"/>
    <n v="205277"/>
    <n v="205725"/>
    <n v="62503"/>
    <n v="71243"/>
    <n v="2397"/>
    <n v="2946"/>
    <n v="140377"/>
    <m/>
    <m/>
    <n v="131536"/>
    <m/>
    <m/>
    <m/>
    <m/>
    <n v="24869"/>
    <n v="25896"/>
    <n v="1821"/>
    <n v="2772"/>
    <n v="0"/>
    <n v="0"/>
    <n v="23048"/>
    <m/>
    <m/>
    <n v="23124"/>
    <m/>
    <m/>
    <m/>
    <m/>
  </r>
  <r>
    <x v="0"/>
    <s v="Troy University"/>
    <m/>
    <n v="102368"/>
    <x v="2"/>
    <n v="313997"/>
    <n v="284057"/>
    <n v="156059"/>
    <n v="133930"/>
    <n v="2"/>
    <n v="0"/>
    <n v="149098"/>
    <n v="0"/>
    <n v="8838"/>
    <n v="141746"/>
    <n v="0"/>
    <n v="8381"/>
    <m/>
    <n v="0"/>
    <n v="53405"/>
    <n v="54116"/>
    <n v="11016"/>
    <n v="7493"/>
    <n v="0"/>
    <n v="0"/>
    <n v="41300"/>
    <n v="0"/>
    <n v="1089"/>
    <n v="45171"/>
    <n v="0"/>
    <n v="1452"/>
    <n v="0"/>
    <n v="0"/>
  </r>
  <r>
    <x v="0"/>
    <s v="University of North Alabama"/>
    <m/>
    <n v="101879"/>
    <x v="2"/>
    <n v="160804"/>
    <n v="155013"/>
    <n v="98108"/>
    <n v="85150"/>
    <m/>
    <n v="1777"/>
    <n v="62696"/>
    <m/>
    <m/>
    <n v="68086"/>
    <m/>
    <m/>
    <m/>
    <m/>
    <n v="30344"/>
    <n v="38830"/>
    <n v="3118"/>
    <n v="3999"/>
    <m/>
    <m/>
    <n v="27226"/>
    <m/>
    <m/>
    <n v="34831"/>
    <m/>
    <m/>
    <m/>
    <m/>
  </r>
  <r>
    <x v="0"/>
    <s v="Alabama State University "/>
    <m/>
    <n v="100724"/>
    <x v="3"/>
    <n v="109486"/>
    <n v="102268"/>
    <n v="53196"/>
    <n v="40538"/>
    <m/>
    <m/>
    <n v="56290"/>
    <m/>
    <m/>
    <n v="61730"/>
    <m/>
    <m/>
    <m/>
    <m/>
    <n v="12084"/>
    <n v="12685"/>
    <n v="6031"/>
    <n v="6291"/>
    <m/>
    <m/>
    <n v="6053"/>
    <m/>
    <m/>
    <n v="6394"/>
    <m/>
    <m/>
    <m/>
    <m/>
  </r>
  <r>
    <x v="0"/>
    <s v="Auburn University at Montgomery"/>
    <m/>
    <n v="100830"/>
    <x v="2"/>
    <n v="114790"/>
    <n v="103768"/>
    <n v="78377"/>
    <n v="65381"/>
    <n v="312"/>
    <n v="326"/>
    <n v="36101"/>
    <m/>
    <m/>
    <n v="38061"/>
    <m/>
    <m/>
    <m/>
    <m/>
    <n v="13696"/>
    <n v="15670"/>
    <n v="4822"/>
    <n v="5431"/>
    <n v="0"/>
    <n v="0"/>
    <n v="8874"/>
    <m/>
    <m/>
    <n v="10239"/>
    <m/>
    <m/>
    <m/>
    <m/>
  </r>
  <r>
    <x v="0"/>
    <s v="University of Montevallo"/>
    <m/>
    <n v="101709"/>
    <x v="4"/>
    <n v="62260"/>
    <n v="61185"/>
    <n v="42965"/>
    <n v="43725"/>
    <n v="6"/>
    <n v="12"/>
    <n v="19289"/>
    <m/>
    <m/>
    <n v="17448"/>
    <m/>
    <m/>
    <m/>
    <m/>
    <n v="6659"/>
    <n v="7643"/>
    <n v="3873"/>
    <n v="4609"/>
    <n v="0"/>
    <n v="159"/>
    <n v="2786"/>
    <m/>
    <m/>
    <n v="2875"/>
    <m/>
    <m/>
    <m/>
    <m/>
  </r>
  <r>
    <x v="0"/>
    <s v="University of West Alabama"/>
    <m/>
    <n v="101587"/>
    <x v="3"/>
    <n v="63964"/>
    <n v="63685"/>
    <n v="34485"/>
    <n v="28565"/>
    <n v="210"/>
    <n v="174"/>
    <n v="29269"/>
    <m/>
    <m/>
    <n v="34946"/>
    <m/>
    <m/>
    <m/>
    <m/>
    <n v="68129"/>
    <n v="67160"/>
    <n v="722"/>
    <n v="671"/>
    <m/>
    <n v="99"/>
    <n v="67407"/>
    <m/>
    <m/>
    <n v="66390"/>
    <m/>
    <m/>
    <m/>
    <m/>
  </r>
  <r>
    <x v="0"/>
    <s v="Athens State University"/>
    <s v="Reclassified: Met the criteria for Four-Year 5 in 2019-20 and 2020-21, and 2021-22"/>
    <n v="100812"/>
    <x v="4"/>
    <n v="65049"/>
    <n v="61616"/>
    <n v="7390"/>
    <n v="5566"/>
    <n v="1051"/>
    <n v="1034"/>
    <n v="56608"/>
    <m/>
    <m/>
    <n v="55016"/>
    <m/>
    <m/>
    <m/>
    <m/>
    <n v="2982"/>
    <n v="3729"/>
    <n v="63"/>
    <n v="36"/>
    <m/>
    <m/>
    <n v="2919"/>
    <m/>
    <m/>
    <n v="3693"/>
    <m/>
    <m/>
    <m/>
    <m/>
  </r>
  <r>
    <x v="0"/>
    <s v="Jefferson State Community College"/>
    <m/>
    <n v="101505"/>
    <x v="5"/>
    <n v="161295"/>
    <n v="158618"/>
    <n v="54889"/>
    <n v="45846"/>
    <m/>
    <n v="0"/>
    <n v="105724"/>
    <m/>
    <n v="682"/>
    <n v="112772"/>
    <m/>
    <m/>
    <m/>
    <m/>
    <n v="0"/>
    <n v="0"/>
    <m/>
    <m/>
    <m/>
    <m/>
    <m/>
    <m/>
    <m/>
    <m/>
    <m/>
    <m/>
    <m/>
    <m/>
  </r>
  <r>
    <x v="0"/>
    <s v="John C. Calhoun Community College "/>
    <m/>
    <n v="101514"/>
    <x v="5"/>
    <n v="176934"/>
    <n v="168202"/>
    <n v="79956"/>
    <n v="57971"/>
    <m/>
    <n v="0"/>
    <n v="96978"/>
    <m/>
    <m/>
    <n v="110231"/>
    <m/>
    <m/>
    <m/>
    <m/>
    <n v="0"/>
    <n v="0"/>
    <m/>
    <m/>
    <m/>
    <m/>
    <m/>
    <m/>
    <m/>
    <m/>
    <m/>
    <m/>
    <m/>
    <m/>
  </r>
  <r>
    <x v="0"/>
    <s v="Bevill State Community College"/>
    <s v="Met the criteria for Two-Year 3 in 2020-21, and 2021-22"/>
    <n v="102429"/>
    <x v="6"/>
    <n v="70747"/>
    <n v="65693"/>
    <n v="33898"/>
    <n v="41411"/>
    <n v="2868"/>
    <n v="0"/>
    <n v="31891"/>
    <n v="2090"/>
    <m/>
    <n v="22019"/>
    <n v="2263"/>
    <m/>
    <m/>
    <m/>
    <n v="0"/>
    <n v="0"/>
    <m/>
    <m/>
    <m/>
    <m/>
    <m/>
    <m/>
    <m/>
    <m/>
    <m/>
    <m/>
    <m/>
    <m/>
  </r>
  <r>
    <x v="0"/>
    <s v="Bishop State Community College"/>
    <s v="Met the criteria for Two-Year 3 in 2020-21 and 2021,22"/>
    <n v="102030"/>
    <x v="6"/>
    <n v="54962"/>
    <n v="49598"/>
    <n v="30222"/>
    <n v="30894"/>
    <n v="30"/>
    <n v="174"/>
    <n v="20271"/>
    <m/>
    <n v="4439"/>
    <n v="18529"/>
    <m/>
    <m/>
    <m/>
    <n v="1"/>
    <n v="0"/>
    <n v="0"/>
    <m/>
    <m/>
    <m/>
    <m/>
    <m/>
    <m/>
    <m/>
    <m/>
    <m/>
    <m/>
    <m/>
    <m/>
  </r>
  <r>
    <x v="0"/>
    <s v="Coastal Alabama Community College"/>
    <s v="Met the criteria for Two-Year 2 in 2021-22"/>
    <s v="101161"/>
    <x v="5"/>
    <n v="155707"/>
    <n v="148053"/>
    <n v="62239"/>
    <n v="83315"/>
    <n v="20558"/>
    <n v="0"/>
    <n v="72910"/>
    <m/>
    <m/>
    <n v="64738"/>
    <m/>
    <m/>
    <m/>
    <m/>
    <n v="0"/>
    <n v="0"/>
    <m/>
    <m/>
    <m/>
    <m/>
    <m/>
    <m/>
    <m/>
    <m/>
    <m/>
    <m/>
    <m/>
    <m/>
  </r>
  <r>
    <x v="0"/>
    <s v="Gadsden State Community College"/>
    <m/>
    <n v="101240"/>
    <x v="6"/>
    <n v="97135"/>
    <n v="95762"/>
    <n v="52282"/>
    <n v="48380"/>
    <m/>
    <n v="0"/>
    <n v="44853"/>
    <m/>
    <m/>
    <n v="47382"/>
    <m/>
    <m/>
    <m/>
    <m/>
    <n v="0"/>
    <n v="0"/>
    <m/>
    <m/>
    <m/>
    <m/>
    <m/>
    <m/>
    <m/>
    <m/>
    <m/>
    <m/>
    <m/>
    <m/>
  </r>
  <r>
    <x v="0"/>
    <s v="George C. Wallace Community College-Dothan"/>
    <m/>
    <n v="101286"/>
    <x v="6"/>
    <n v="86139"/>
    <n v="79389"/>
    <n v="48117"/>
    <n v="49243"/>
    <n v="3045"/>
    <n v="1358"/>
    <n v="34977"/>
    <m/>
    <m/>
    <n v="28788"/>
    <m/>
    <m/>
    <m/>
    <m/>
    <n v="0"/>
    <n v="0"/>
    <m/>
    <m/>
    <m/>
    <m/>
    <m/>
    <m/>
    <m/>
    <m/>
    <m/>
    <m/>
    <m/>
    <m/>
  </r>
  <r>
    <x v="0"/>
    <s v="George C. Wallace State Community College-Hanceville"/>
    <m/>
    <n v="101295"/>
    <x v="6"/>
    <n v="119234"/>
    <n v="112994"/>
    <n v="80964"/>
    <n v="65521"/>
    <m/>
    <n v="0"/>
    <n v="38270"/>
    <m/>
    <m/>
    <n v="47473"/>
    <m/>
    <m/>
    <m/>
    <m/>
    <n v="0"/>
    <n v="0"/>
    <m/>
    <m/>
    <m/>
    <m/>
    <m/>
    <m/>
    <m/>
    <m/>
    <m/>
    <m/>
    <m/>
    <m/>
  </r>
  <r>
    <x v="0"/>
    <s v="Lawson State Community College "/>
    <m/>
    <n v="101569"/>
    <x v="6"/>
    <n v="68517"/>
    <n v="66086"/>
    <n v="30307"/>
    <n v="21052"/>
    <n v="740"/>
    <n v="522"/>
    <n v="37470"/>
    <m/>
    <m/>
    <n v="44126"/>
    <m/>
    <n v="386"/>
    <m/>
    <m/>
    <n v="0"/>
    <n v="0"/>
    <m/>
    <m/>
    <m/>
    <m/>
    <m/>
    <m/>
    <m/>
    <m/>
    <m/>
    <m/>
    <m/>
    <m/>
  </r>
  <r>
    <x v="0"/>
    <s v="Northwest-Shoals Community College"/>
    <s v="Met the criteria for Two-Year 3 in 2021-22"/>
    <n v="101736"/>
    <x v="6"/>
    <n v="62327"/>
    <n v="58998"/>
    <n v="45059"/>
    <n v="38528"/>
    <m/>
    <n v="0"/>
    <n v="17268"/>
    <m/>
    <m/>
    <n v="20470"/>
    <m/>
    <m/>
    <m/>
    <m/>
    <n v="0"/>
    <n v="0"/>
    <m/>
    <m/>
    <m/>
    <m/>
    <m/>
    <m/>
    <m/>
    <m/>
    <m/>
    <m/>
    <m/>
    <m/>
  </r>
  <r>
    <x v="0"/>
    <s v="Shelton State Community College"/>
    <m/>
    <n v="102067"/>
    <x v="6"/>
    <n v="91902"/>
    <n v="88841"/>
    <n v="41063"/>
    <n v="40778"/>
    <m/>
    <n v="0"/>
    <n v="50839"/>
    <m/>
    <m/>
    <n v="48063"/>
    <m/>
    <m/>
    <m/>
    <m/>
    <n v="0"/>
    <n v="0"/>
    <m/>
    <m/>
    <m/>
    <m/>
    <m/>
    <m/>
    <m/>
    <m/>
    <m/>
    <m/>
    <m/>
    <m/>
  </r>
  <r>
    <x v="0"/>
    <s v="Southern Union State Community College"/>
    <m/>
    <n v="251260"/>
    <x v="6"/>
    <n v="104065"/>
    <n v="96103"/>
    <n v="13957"/>
    <n v="37781"/>
    <n v="41628"/>
    <n v="16457"/>
    <n v="47918"/>
    <n v="63"/>
    <m/>
    <n v="41081"/>
    <n v="9"/>
    <n v="0"/>
    <n v="499"/>
    <n v="775"/>
    <n v="0"/>
    <n v="0"/>
    <m/>
    <m/>
    <m/>
    <m/>
    <m/>
    <m/>
    <m/>
    <m/>
    <m/>
    <m/>
    <m/>
    <m/>
  </r>
  <r>
    <x v="0"/>
    <s v="Central Alabama Community College"/>
    <m/>
    <n v="100760"/>
    <x v="7"/>
    <n v="32016"/>
    <n v="29197"/>
    <n v="11305"/>
    <n v="10216"/>
    <m/>
    <n v="0"/>
    <n v="20711"/>
    <m/>
    <m/>
    <n v="18981"/>
    <m/>
    <m/>
    <m/>
    <m/>
    <n v="0"/>
    <n v="0"/>
    <m/>
    <m/>
    <m/>
    <m/>
    <m/>
    <m/>
    <m/>
    <m/>
    <m/>
    <m/>
    <m/>
    <m/>
  </r>
  <r>
    <x v="0"/>
    <s v="Chattahoochee Valley Community College"/>
    <m/>
    <n v="101028"/>
    <x v="7"/>
    <n v="34657"/>
    <n v="29478"/>
    <n v="12781"/>
    <n v="12130"/>
    <n v="4192"/>
    <n v="5446"/>
    <n v="17607"/>
    <m/>
    <m/>
    <n v="11768"/>
    <n v="0"/>
    <n v="65"/>
    <n v="77"/>
    <n v="69"/>
    <n v="0"/>
    <n v="0"/>
    <m/>
    <m/>
    <m/>
    <m/>
    <m/>
    <m/>
    <m/>
    <m/>
    <m/>
    <m/>
    <m/>
    <m/>
  </r>
  <r>
    <x v="0"/>
    <s v="Enterprise State Community College"/>
    <m/>
    <n v="101143"/>
    <x v="7"/>
    <n v="41035"/>
    <n v="42949"/>
    <n v="22170"/>
    <n v="23093"/>
    <n v="77"/>
    <n v="0"/>
    <n v="18727"/>
    <m/>
    <n v="61"/>
    <n v="19856"/>
    <m/>
    <m/>
    <m/>
    <m/>
    <n v="0"/>
    <n v="0"/>
    <m/>
    <m/>
    <m/>
    <m/>
    <m/>
    <m/>
    <m/>
    <m/>
    <m/>
    <m/>
    <m/>
    <m/>
  </r>
  <r>
    <x v="0"/>
    <s v="George Corley Wallace State Community College - Selma"/>
    <m/>
    <n v="101301"/>
    <x v="7"/>
    <n v="31509"/>
    <n v="30959"/>
    <n v="14061"/>
    <n v="14416"/>
    <m/>
    <n v="0"/>
    <n v="17448"/>
    <m/>
    <m/>
    <n v="16543"/>
    <m/>
    <m/>
    <m/>
    <m/>
    <n v="0"/>
    <n v="0"/>
    <m/>
    <m/>
    <m/>
    <m/>
    <m/>
    <m/>
    <m/>
    <m/>
    <m/>
    <m/>
    <m/>
    <m/>
  </r>
  <r>
    <x v="0"/>
    <s v="Lurleen B. Wallace Community College "/>
    <m/>
    <n v="101602"/>
    <x v="7"/>
    <n v="37853"/>
    <n v="38610"/>
    <n v="18618"/>
    <n v="21127"/>
    <n v="963"/>
    <n v="486"/>
    <n v="18272"/>
    <m/>
    <m/>
    <n v="16997"/>
    <m/>
    <m/>
    <m/>
    <m/>
    <n v="0"/>
    <n v="0"/>
    <m/>
    <m/>
    <m/>
    <m/>
    <m/>
    <m/>
    <m/>
    <m/>
    <m/>
    <m/>
    <m/>
    <m/>
  </r>
  <r>
    <x v="0"/>
    <s v="Northeast Alabama Community College"/>
    <m/>
    <n v="101897"/>
    <x v="7"/>
    <n v="56491"/>
    <n v="49137"/>
    <n v="21613"/>
    <n v="21832"/>
    <n v="2459"/>
    <n v="212"/>
    <n v="32419"/>
    <m/>
    <m/>
    <n v="27093"/>
    <m/>
    <m/>
    <m/>
    <m/>
    <n v="0"/>
    <n v="0"/>
    <m/>
    <m/>
    <m/>
    <m/>
    <m/>
    <m/>
    <m/>
    <m/>
    <m/>
    <m/>
    <m/>
    <m/>
  </r>
  <r>
    <x v="0"/>
    <s v="Snead State Community College "/>
    <m/>
    <n v="102076"/>
    <x v="7"/>
    <n v="56582"/>
    <n v="54059"/>
    <n v="18360"/>
    <n v="15106"/>
    <m/>
    <n v="0"/>
    <n v="38222"/>
    <m/>
    <m/>
    <n v="38953"/>
    <m/>
    <m/>
    <m/>
    <m/>
    <n v="0"/>
    <n v="0"/>
    <m/>
    <m/>
    <m/>
    <m/>
    <m/>
    <m/>
    <m/>
    <m/>
    <m/>
    <m/>
    <m/>
    <m/>
  </r>
  <r>
    <x v="0"/>
    <s v="H. Councill Trenholm State Community College"/>
    <m/>
    <n v="102313"/>
    <x v="8"/>
    <n v="40736"/>
    <n v="39698"/>
    <n v="17420"/>
    <n v="16648"/>
    <n v="1148"/>
    <n v="1376"/>
    <n v="22168"/>
    <m/>
    <m/>
    <n v="21674"/>
    <m/>
    <m/>
    <m/>
    <m/>
    <n v="0"/>
    <n v="0"/>
    <m/>
    <m/>
    <m/>
    <m/>
    <m/>
    <m/>
    <m/>
    <m/>
    <m/>
    <m/>
    <m/>
    <m/>
  </r>
  <r>
    <x v="0"/>
    <s v="J.F. Drake State Community and Technical College"/>
    <m/>
    <n v="101462"/>
    <x v="9"/>
    <n v="16483"/>
    <n v="16838"/>
    <n v="11136"/>
    <n v="9718"/>
    <m/>
    <n v="0"/>
    <n v="5347"/>
    <m/>
    <m/>
    <n v="7120"/>
    <m/>
    <m/>
    <m/>
    <m/>
    <n v="0"/>
    <n v="0"/>
    <m/>
    <m/>
    <m/>
    <m/>
    <m/>
    <m/>
    <m/>
    <m/>
    <m/>
    <m/>
    <m/>
    <m/>
  </r>
  <r>
    <x v="0"/>
    <s v="J.F. Ingram State Technical College "/>
    <m/>
    <n v="101471"/>
    <x v="9"/>
    <n v="11298"/>
    <n v="12753"/>
    <n v="5978"/>
    <n v="83"/>
    <n v="5320"/>
    <n v="12670"/>
    <m/>
    <m/>
    <m/>
    <n v="0"/>
    <m/>
    <m/>
    <m/>
    <m/>
    <n v="0"/>
    <n v="0"/>
    <m/>
    <m/>
    <m/>
    <m/>
    <m/>
    <m/>
    <m/>
    <m/>
    <m/>
    <m/>
    <m/>
    <m/>
  </r>
  <r>
    <x v="0"/>
    <s v="Reid State Technical College "/>
    <m/>
    <n v="101994"/>
    <x v="9"/>
    <n v="9397"/>
    <n v="8607"/>
    <n v="6922"/>
    <n v="7238"/>
    <n v="2078"/>
    <n v="0"/>
    <n v="397"/>
    <m/>
    <m/>
    <n v="1369"/>
    <m/>
    <m/>
    <m/>
    <m/>
    <n v="0"/>
    <n v="0"/>
    <m/>
    <m/>
    <m/>
    <m/>
    <m/>
    <m/>
    <m/>
    <m/>
    <m/>
    <m/>
    <m/>
    <m/>
  </r>
  <r>
    <x v="0"/>
    <s v="Marion Military Institute"/>
    <m/>
    <n v="101648"/>
    <x v="10"/>
    <n v="12708"/>
    <n v="10955"/>
    <n v="11896"/>
    <n v="10112"/>
    <m/>
    <n v="0"/>
    <n v="812"/>
    <m/>
    <m/>
    <n v="843"/>
    <m/>
    <m/>
    <m/>
    <m/>
    <n v="0"/>
    <n v="0"/>
    <m/>
    <m/>
    <m/>
    <m/>
    <m/>
    <m/>
    <m/>
    <m/>
    <m/>
    <m/>
    <m/>
    <m/>
  </r>
  <r>
    <x v="1"/>
    <s v="Arkansas State University"/>
    <m/>
    <n v="106458"/>
    <x v="2"/>
    <n v="245199"/>
    <n v="230485"/>
    <n v="153757"/>
    <n v="93910"/>
    <n v="10865"/>
    <n v="8558"/>
    <n v="79604"/>
    <n v="973"/>
    <m/>
    <n v="126350"/>
    <n v="1667"/>
    <m/>
    <m/>
    <m/>
    <n v="105992"/>
    <n v="108538"/>
    <n v="19766"/>
    <n v="14463"/>
    <m/>
    <n v="3"/>
    <n v="86226"/>
    <m/>
    <m/>
    <n v="94072"/>
    <m/>
    <m/>
    <m/>
    <m/>
  </r>
  <r>
    <x v="1"/>
    <s v="Arkansas Tech University"/>
    <m/>
    <n v="106467"/>
    <x v="2"/>
    <n v="240477"/>
    <n v="220615"/>
    <n v="149549"/>
    <n v="54508"/>
    <n v="18540"/>
    <n v="16689"/>
    <n v="69674"/>
    <m/>
    <n v="2714"/>
    <n v="139608"/>
    <m/>
    <n v="9810"/>
    <m/>
    <m/>
    <n v="11892"/>
    <n v="10691"/>
    <n v="2481"/>
    <n v="954"/>
    <n v="27"/>
    <m/>
    <n v="8895"/>
    <m/>
    <n v="489"/>
    <n v="8684"/>
    <m/>
    <n v="1053"/>
    <m/>
    <m/>
  </r>
  <r>
    <x v="1"/>
    <s v="Henderson State University"/>
    <m/>
    <n v="107071"/>
    <x v="3"/>
    <n v="91190"/>
    <n v="75260"/>
    <n v="48999"/>
    <n v="12997"/>
    <n v="5733"/>
    <n v="509"/>
    <n v="36458"/>
    <m/>
    <m/>
    <n v="61754"/>
    <m/>
    <m/>
    <m/>
    <m/>
    <n v="9789"/>
    <n v="9006"/>
    <n v="1086"/>
    <n v="402"/>
    <m/>
    <m/>
    <n v="8703"/>
    <m/>
    <m/>
    <n v="8604"/>
    <m/>
    <m/>
    <m/>
    <m/>
  </r>
  <r>
    <x v="1"/>
    <s v="Southern Arkansas University"/>
    <m/>
    <n v="107983"/>
    <x v="3"/>
    <n v="98593"/>
    <n v="95156"/>
    <n v="71515"/>
    <n v="26336"/>
    <n v="1579"/>
    <n v="1315"/>
    <n v="25499"/>
    <m/>
    <m/>
    <n v="67505"/>
    <m/>
    <m/>
    <m/>
    <m/>
    <n v="15069"/>
    <n v="17235"/>
    <n v="1269"/>
    <n v="318"/>
    <m/>
    <m/>
    <n v="13800"/>
    <m/>
    <m/>
    <n v="16917"/>
    <m/>
    <m/>
    <m/>
    <m/>
  </r>
  <r>
    <x v="1"/>
    <s v="University of Arkansas, Fayetteville"/>
    <m/>
    <n v="106397"/>
    <x v="0"/>
    <n v="657386"/>
    <n v="651379"/>
    <n v="564996"/>
    <n v="161331"/>
    <n v="4940"/>
    <n v="1826"/>
    <n v="84847"/>
    <n v="352"/>
    <m/>
    <n v="486061"/>
    <n v="280"/>
    <m/>
    <n v="2251"/>
    <n v="1881"/>
    <n v="79052"/>
    <n v="86525"/>
    <n v="47068"/>
    <n v="31943"/>
    <n v="363"/>
    <n v="484"/>
    <n v="31537"/>
    <n v="81"/>
    <n v="3"/>
    <n v="54026"/>
    <n v="72"/>
    <m/>
    <m/>
    <m/>
  </r>
  <r>
    <x v="1"/>
    <s v="University of Arkansas at Fort Smith"/>
    <m/>
    <n v="108092"/>
    <x v="11"/>
    <n v="148021"/>
    <n v="136161"/>
    <n v="85154"/>
    <n v="10455"/>
    <n v="15778"/>
    <n v="13213"/>
    <n v="47077"/>
    <n v="12"/>
    <m/>
    <n v="112493"/>
    <m/>
    <m/>
    <m/>
    <m/>
    <n v="582"/>
    <n v="852"/>
    <n v="0"/>
    <m/>
    <m/>
    <m/>
    <n v="582"/>
    <m/>
    <m/>
    <n v="852"/>
    <m/>
    <m/>
    <m/>
    <m/>
  </r>
  <r>
    <x v="1"/>
    <s v="University of Arkansas at Little Rock"/>
    <m/>
    <n v="106245"/>
    <x v="1"/>
    <n v="170986"/>
    <n v="157112"/>
    <n v="80394"/>
    <n v="8288"/>
    <n v="13149"/>
    <n v="8933"/>
    <n v="77443"/>
    <m/>
    <m/>
    <n v="139891"/>
    <m/>
    <m/>
    <m/>
    <m/>
    <n v="36529"/>
    <n v="36628"/>
    <n v="12170"/>
    <n v="4788"/>
    <n v="12187"/>
    <n v="12954"/>
    <n v="12172"/>
    <m/>
    <m/>
    <n v="18886"/>
    <m/>
    <m/>
    <m/>
    <m/>
  </r>
  <r>
    <x v="1"/>
    <s v="University of Arkansas at Monticello"/>
    <m/>
    <n v="106485"/>
    <x v="3"/>
    <n v="64047"/>
    <n v="62115"/>
    <n v="31890"/>
    <n v="27066"/>
    <n v="13431"/>
    <n v="13235"/>
    <n v="18726"/>
    <m/>
    <m/>
    <n v="21814"/>
    <m/>
    <m/>
    <m/>
    <m/>
    <n v="6913"/>
    <n v="7062"/>
    <n v="605"/>
    <n v="883"/>
    <n v="1497"/>
    <n v="1464"/>
    <n v="4811"/>
    <m/>
    <m/>
    <n v="4715"/>
    <m/>
    <m/>
    <m/>
    <m/>
  </r>
  <r>
    <x v="1"/>
    <s v="University of Arkansas for Medical Sciences"/>
    <m/>
    <n v="106263"/>
    <x v="10"/>
    <n v="19701"/>
    <n v="24170"/>
    <n v="11762"/>
    <n v="3589"/>
    <n v="236"/>
    <n v="292"/>
    <n v="4710"/>
    <n v="2993"/>
    <m/>
    <n v="15969"/>
    <n v="4320"/>
    <m/>
    <m/>
    <m/>
    <n v="63129"/>
    <n v="61434"/>
    <n v="43626"/>
    <n v="34121"/>
    <n v="3973"/>
    <n v="2888"/>
    <n v="9040"/>
    <n v="6490"/>
    <m/>
    <n v="22210"/>
    <n v="2215"/>
    <m/>
    <m/>
    <m/>
  </r>
  <r>
    <x v="1"/>
    <s v="University of Arkansas at Pine Bluff"/>
    <s v="Met the criteria for Four-Year 4 in 2020-21 and 2021-22"/>
    <n v="106412"/>
    <x v="11"/>
    <n v="66358"/>
    <n v="66530"/>
    <n v="50958"/>
    <n v="11030"/>
    <n v="107"/>
    <n v="0"/>
    <n v="15293"/>
    <m/>
    <m/>
    <n v="31231"/>
    <m/>
    <n v="24269"/>
    <m/>
    <m/>
    <n v="2010"/>
    <n v="2663"/>
    <n v="1158"/>
    <n v="520"/>
    <m/>
    <m/>
    <n v="852"/>
    <m/>
    <m/>
    <n v="1380"/>
    <m/>
    <n v="763"/>
    <m/>
    <m/>
  </r>
  <r>
    <x v="1"/>
    <s v="University of Central Arkansas "/>
    <m/>
    <n v="106704"/>
    <x v="2"/>
    <n v="252347"/>
    <n v="237704"/>
    <n v="196194"/>
    <n v="78707"/>
    <n v="4136"/>
    <n v="3117"/>
    <n v="47906"/>
    <n v="1105"/>
    <n v="3006"/>
    <n v="150992"/>
    <n v="2000"/>
    <n v="2888"/>
    <m/>
    <m/>
    <n v="36739"/>
    <n v="36411"/>
    <n v="16029"/>
    <n v="9200"/>
    <n v="15"/>
    <m/>
    <n v="17514"/>
    <n v="2019"/>
    <n v="1162"/>
    <n v="22452"/>
    <n v="2847"/>
    <n v="1912"/>
    <m/>
    <m/>
  </r>
  <r>
    <x v="1"/>
    <s v="Arkansas Northeastern College"/>
    <m/>
    <n v="107327"/>
    <x v="7"/>
    <n v="27031"/>
    <n v="24802"/>
    <n v="15595"/>
    <n v="4171"/>
    <n v="63"/>
    <n v="63"/>
    <n v="11373"/>
    <m/>
    <m/>
    <n v="20568"/>
    <m/>
    <m/>
    <m/>
    <m/>
    <n v="0"/>
    <n v="0"/>
    <m/>
    <m/>
    <m/>
    <m/>
    <m/>
    <m/>
    <m/>
    <m/>
    <m/>
    <m/>
    <m/>
    <m/>
  </r>
  <r>
    <x v="1"/>
    <s v="Arkansas State University-Beebe"/>
    <m/>
    <n v="106449"/>
    <x v="6"/>
    <n v="72387"/>
    <n v="64429"/>
    <n v="37125"/>
    <n v="15344"/>
    <n v="7470"/>
    <n v="5474"/>
    <n v="27686"/>
    <n v="106"/>
    <m/>
    <n v="43533"/>
    <n v="78"/>
    <m/>
    <m/>
    <m/>
    <n v="0"/>
    <n v="0"/>
    <m/>
    <m/>
    <m/>
    <m/>
    <m/>
    <m/>
    <m/>
    <m/>
    <m/>
    <m/>
    <m/>
    <m/>
  </r>
  <r>
    <x v="1"/>
    <s v="Arkansas State University Mountain Home"/>
    <m/>
    <n v="420538"/>
    <x v="7"/>
    <n v="27281"/>
    <n v="25209"/>
    <n v="14495"/>
    <n v="10241"/>
    <n v="641"/>
    <n v="471"/>
    <n v="11653"/>
    <n v="255"/>
    <n v="237"/>
    <n v="14407"/>
    <n v="90"/>
    <m/>
    <m/>
    <m/>
    <n v="0"/>
    <n v="0"/>
    <m/>
    <m/>
    <m/>
    <m/>
    <m/>
    <m/>
    <m/>
    <m/>
    <m/>
    <m/>
    <m/>
    <m/>
  </r>
  <r>
    <x v="1"/>
    <s v="Arkansas State University Mid-South"/>
    <m/>
    <n v="107318"/>
    <x v="7"/>
    <n v="22753"/>
    <n v="21068"/>
    <n v="15113"/>
    <n v="9332"/>
    <n v="6"/>
    <n v="6"/>
    <n v="7588"/>
    <n v="30"/>
    <n v="16"/>
    <n v="11730"/>
    <m/>
    <m/>
    <m/>
    <m/>
    <n v="0"/>
    <n v="0"/>
    <m/>
    <m/>
    <m/>
    <m/>
    <m/>
    <m/>
    <m/>
    <m/>
    <m/>
    <m/>
    <m/>
    <m/>
  </r>
  <r>
    <x v="1"/>
    <s v="Arkansas State University-Newport"/>
    <m/>
    <n v="440402"/>
    <x v="7"/>
    <n v="54706"/>
    <n v="48782"/>
    <n v="24324"/>
    <n v="19137"/>
    <n v="5623"/>
    <n v="4335"/>
    <n v="24759"/>
    <m/>
    <m/>
    <n v="25310"/>
    <m/>
    <m/>
    <m/>
    <m/>
    <n v="0"/>
    <n v="0"/>
    <m/>
    <m/>
    <m/>
    <m/>
    <m/>
    <m/>
    <m/>
    <m/>
    <m/>
    <m/>
    <m/>
    <m/>
  </r>
  <r>
    <x v="1"/>
    <s v="Arkansas State University Three Rivers"/>
    <s v="2019-20: Institution joined one of our university systems"/>
    <n v="107521"/>
    <x v="7"/>
    <n v="20316"/>
    <n v="20285"/>
    <n v="13450"/>
    <n v="8940"/>
    <n v="2778"/>
    <n v="6853"/>
    <n v="4088"/>
    <m/>
    <m/>
    <n v="4492"/>
    <m/>
    <m/>
    <m/>
    <m/>
    <n v="0"/>
    <n v="0"/>
    <m/>
    <m/>
    <m/>
    <m/>
    <m/>
    <m/>
    <m/>
    <m/>
    <m/>
    <m/>
    <m/>
    <m/>
  </r>
  <r>
    <x v="1"/>
    <s v="Black River Technical College"/>
    <m/>
    <n v="106625"/>
    <x v="7"/>
    <n v="33908"/>
    <n v="32688"/>
    <n v="17865"/>
    <n v="16134"/>
    <n v="2040"/>
    <n v="1257"/>
    <n v="13084"/>
    <n v="919"/>
    <m/>
    <n v="13858"/>
    <n v="1439"/>
    <m/>
    <m/>
    <m/>
    <n v="0"/>
    <n v="0"/>
    <m/>
    <m/>
    <m/>
    <m/>
    <m/>
    <m/>
    <m/>
    <m/>
    <m/>
    <m/>
    <m/>
    <m/>
  </r>
  <r>
    <x v="1"/>
    <s v="Cossatot Community College of the University of Arkansas"/>
    <m/>
    <n v="106795"/>
    <x v="7"/>
    <n v="28978"/>
    <n v="26791"/>
    <n v="11081"/>
    <n v="13349"/>
    <n v="5628"/>
    <n v="423"/>
    <n v="10115"/>
    <n v="1980"/>
    <n v="174"/>
    <n v="11248"/>
    <n v="1527"/>
    <n v="244"/>
    <m/>
    <m/>
    <n v="0"/>
    <n v="0"/>
    <m/>
    <m/>
    <m/>
    <m/>
    <m/>
    <m/>
    <m/>
    <m/>
    <m/>
    <m/>
    <m/>
    <m/>
  </r>
  <r>
    <x v="1"/>
    <s v="East Arkansas Community College "/>
    <m/>
    <n v="106883"/>
    <x v="7"/>
    <n v="26274"/>
    <n v="21139"/>
    <n v="11032"/>
    <n v="6484"/>
    <n v="4861"/>
    <n v="1886"/>
    <n v="10381"/>
    <m/>
    <m/>
    <n v="12769"/>
    <m/>
    <m/>
    <m/>
    <m/>
    <n v="0"/>
    <n v="0"/>
    <m/>
    <m/>
    <m/>
    <m/>
    <m/>
    <m/>
    <m/>
    <m/>
    <m/>
    <m/>
    <m/>
    <m/>
  </r>
  <r>
    <x v="1"/>
    <s v="North Arkansas College"/>
    <m/>
    <n v="107460"/>
    <x v="7"/>
    <n v="37304"/>
    <n v="34445"/>
    <n v="21052"/>
    <n v="8345"/>
    <n v="2149"/>
    <n v="1483"/>
    <n v="13753"/>
    <n v="350"/>
    <m/>
    <n v="14220"/>
    <n v="10397"/>
    <m/>
    <m/>
    <m/>
    <n v="0"/>
    <n v="0"/>
    <m/>
    <m/>
    <m/>
    <m/>
    <m/>
    <m/>
    <m/>
    <m/>
    <m/>
    <m/>
    <m/>
    <m/>
  </r>
  <r>
    <x v="1"/>
    <s v="National Park College"/>
    <m/>
    <n v="106980"/>
    <x v="7"/>
    <n v="55410"/>
    <n v="48645"/>
    <n v="29839"/>
    <n v="17931"/>
    <n v="4523"/>
    <n v="2865"/>
    <n v="21048"/>
    <m/>
    <m/>
    <n v="27849"/>
    <m/>
    <m/>
    <m/>
    <m/>
    <n v="0"/>
    <n v="0"/>
    <m/>
    <m/>
    <m/>
    <m/>
    <m/>
    <m/>
    <m/>
    <m/>
    <m/>
    <m/>
    <m/>
    <m/>
  </r>
  <r>
    <x v="1"/>
    <s v="Northwest Arkansas Community College "/>
    <s v="Met the criteria for Two-Year 2 in 2020-21 and 2021-22"/>
    <n v="367459"/>
    <x v="5"/>
    <n v="151510"/>
    <n v="131465"/>
    <n v="79893"/>
    <n v="9850"/>
    <n v="18095"/>
    <n v="9449"/>
    <n v="53522"/>
    <m/>
    <m/>
    <n v="68804"/>
    <n v="43362"/>
    <m/>
    <m/>
    <m/>
    <n v="0"/>
    <n v="0"/>
    <m/>
    <m/>
    <m/>
    <m/>
    <m/>
    <m/>
    <m/>
    <m/>
    <m/>
    <m/>
    <m/>
    <m/>
  </r>
  <r>
    <x v="1"/>
    <s v="Ozarka College "/>
    <m/>
    <n v="107549"/>
    <x v="7"/>
    <n v="23894"/>
    <n v="21826"/>
    <n v="9910"/>
    <n v="9134"/>
    <n v="1710"/>
    <n v="1231"/>
    <n v="12274"/>
    <m/>
    <m/>
    <n v="11461"/>
    <m/>
    <m/>
    <m/>
    <m/>
    <n v="0"/>
    <n v="0"/>
    <m/>
    <m/>
    <m/>
    <m/>
    <m/>
    <m/>
    <m/>
    <m/>
    <m/>
    <m/>
    <m/>
    <m/>
  </r>
  <r>
    <x v="1"/>
    <s v="Phillips Community College of the Univ of Arkansas"/>
    <m/>
    <n v="107619"/>
    <x v="7"/>
    <n v="27365"/>
    <n v="21349"/>
    <n v="14217"/>
    <n v="9511"/>
    <n v="5104"/>
    <n v="2920"/>
    <n v="5585"/>
    <n v="2459"/>
    <m/>
    <n v="6797"/>
    <n v="2121"/>
    <m/>
    <m/>
    <m/>
    <n v="0"/>
    <n v="0"/>
    <m/>
    <m/>
    <m/>
    <m/>
    <m/>
    <m/>
    <m/>
    <m/>
    <m/>
    <m/>
    <m/>
    <m/>
  </r>
  <r>
    <x v="1"/>
    <s v="South Arkansas Community College"/>
    <m/>
    <n v="107974"/>
    <x v="7"/>
    <n v="30273"/>
    <n v="26309"/>
    <n v="14621"/>
    <n v="9750"/>
    <n v="5561"/>
    <n v="4586"/>
    <n v="10091"/>
    <m/>
    <m/>
    <n v="11973"/>
    <m/>
    <m/>
    <m/>
    <m/>
    <n v="0"/>
    <n v="0"/>
    <m/>
    <m/>
    <m/>
    <m/>
    <m/>
    <m/>
    <m/>
    <m/>
    <m/>
    <m/>
    <m/>
    <m/>
  </r>
  <r>
    <x v="1"/>
    <s v="Southern Arkansas University Tech"/>
    <m/>
    <n v="107992"/>
    <x v="7"/>
    <n v="25409"/>
    <n v="24619"/>
    <n v="14991"/>
    <n v="13792"/>
    <n v="3486"/>
    <n v="2843"/>
    <n v="6932"/>
    <m/>
    <m/>
    <n v="7984"/>
    <m/>
    <m/>
    <m/>
    <m/>
    <n v="0"/>
    <n v="0"/>
    <m/>
    <m/>
    <m/>
    <m/>
    <m/>
    <m/>
    <m/>
    <m/>
    <m/>
    <m/>
    <m/>
    <m/>
  </r>
  <r>
    <x v="1"/>
    <s v="Southeast Arkansas College"/>
    <m/>
    <n v="107637"/>
    <x v="7"/>
    <n v="26630"/>
    <n v="22772"/>
    <n v="16767"/>
    <n v="10789"/>
    <n v="1071"/>
    <n v="1366"/>
    <n v="8792"/>
    <m/>
    <m/>
    <n v="10617"/>
    <m/>
    <m/>
    <m/>
    <m/>
    <n v="0"/>
    <n v="0"/>
    <m/>
    <m/>
    <m/>
    <m/>
    <m/>
    <m/>
    <m/>
    <m/>
    <m/>
    <m/>
    <m/>
    <m/>
  </r>
  <r>
    <x v="1"/>
    <s v="University of Arkansas Community College at Batesville"/>
    <m/>
    <n v="106999"/>
    <x v="7"/>
    <n v="29463"/>
    <n v="24532"/>
    <n v="19464"/>
    <n v="14788"/>
    <n v="1028"/>
    <n v="1128"/>
    <n v="8971"/>
    <m/>
    <m/>
    <n v="8616"/>
    <m/>
    <m/>
    <m/>
    <m/>
    <n v="0"/>
    <n v="0"/>
    <m/>
    <m/>
    <m/>
    <m/>
    <m/>
    <m/>
    <m/>
    <m/>
    <m/>
    <m/>
    <m/>
    <m/>
  </r>
  <r>
    <x v="1"/>
    <s v="University of Arkansas Community College at Hope-Texarkana"/>
    <m/>
    <n v="107725"/>
    <x v="7"/>
    <n v="28130"/>
    <n v="23947"/>
    <n v="14636"/>
    <n v="10515"/>
    <n v="5508"/>
    <n v="3514"/>
    <n v="5880"/>
    <n v="2106"/>
    <m/>
    <n v="8264"/>
    <n v="1654"/>
    <m/>
    <m/>
    <m/>
    <n v="0"/>
    <n v="0"/>
    <m/>
    <m/>
    <m/>
    <m/>
    <m/>
    <m/>
    <m/>
    <m/>
    <m/>
    <m/>
    <m/>
    <m/>
  </r>
  <r>
    <x v="1"/>
    <s v="University of Arkansas Community College at Morrilton"/>
    <m/>
    <n v="107585"/>
    <x v="7"/>
    <n v="40997"/>
    <n v="40716"/>
    <n v="31755"/>
    <n v="27999"/>
    <n v="0"/>
    <n v="16"/>
    <n v="9242"/>
    <m/>
    <m/>
    <n v="12701"/>
    <m/>
    <m/>
    <m/>
    <m/>
    <n v="0"/>
    <n v="0"/>
    <m/>
    <m/>
    <m/>
    <m/>
    <m/>
    <m/>
    <m/>
    <m/>
    <m/>
    <m/>
    <m/>
    <m/>
  </r>
  <r>
    <x v="1"/>
    <s v="University of Arkansas Community College Rich Mountain"/>
    <m/>
    <n v="107743"/>
    <x v="7"/>
    <n v="16918"/>
    <n v="17152"/>
    <n v="9900"/>
    <n v="9510"/>
    <n v="2018"/>
    <n v="1700"/>
    <n v="4673"/>
    <n v="327"/>
    <m/>
    <n v="5661"/>
    <n v="281"/>
    <m/>
    <m/>
    <m/>
    <n v="0"/>
    <n v="0"/>
    <m/>
    <m/>
    <m/>
    <m/>
    <m/>
    <m/>
    <m/>
    <m/>
    <m/>
    <m/>
    <m/>
    <m/>
  </r>
  <r>
    <x v="1"/>
    <s v="University of Arkansas - Pulaski Technical College"/>
    <m/>
    <n v="107664"/>
    <x v="6"/>
    <n v="117967"/>
    <n v="106029"/>
    <n v="72440"/>
    <n v="46215"/>
    <n v="2470"/>
    <n v="1922"/>
    <n v="43057"/>
    <m/>
    <m/>
    <n v="57892"/>
    <m/>
    <m/>
    <m/>
    <m/>
    <n v="0"/>
    <n v="0"/>
    <m/>
    <m/>
    <m/>
    <m/>
    <m/>
    <m/>
    <m/>
    <m/>
    <m/>
    <m/>
    <m/>
    <m/>
  </r>
  <r>
    <x v="2"/>
    <s v="University of Delaware"/>
    <m/>
    <n v="130943"/>
    <x v="0"/>
    <n v="600612"/>
    <n v="595830"/>
    <n v="294779"/>
    <n v="237675"/>
    <m/>
    <m/>
    <n v="305833"/>
    <n v="0"/>
    <n v="0"/>
    <n v="358155"/>
    <n v="0"/>
    <n v="0"/>
    <m/>
    <m/>
    <n v="74608"/>
    <n v="65968"/>
    <n v="37072"/>
    <n v="28865"/>
    <m/>
    <m/>
    <n v="37536"/>
    <n v="0"/>
    <n v="0"/>
    <n v="37103"/>
    <n v="0"/>
    <n v="0"/>
    <m/>
    <m/>
  </r>
  <r>
    <x v="2"/>
    <s v="Delaware State University"/>
    <m/>
    <n v="130934"/>
    <x v="2"/>
    <n v="131706"/>
    <n v="128986"/>
    <n v="104438"/>
    <n v="92736"/>
    <m/>
    <m/>
    <n v="27268"/>
    <n v="0"/>
    <n v="0"/>
    <n v="36250"/>
    <n v="0"/>
    <n v="0"/>
    <m/>
    <m/>
    <n v="9354"/>
    <n v="14581"/>
    <n v="5072"/>
    <n v="6096"/>
    <m/>
    <m/>
    <n v="4282"/>
    <n v="0"/>
    <n v="0"/>
    <n v="8485"/>
    <n v="0"/>
    <n v="0"/>
    <m/>
    <m/>
  </r>
  <r>
    <x v="2"/>
    <s v="Delaware Technical and Community College--Terry"/>
    <s v="Reclassifed Met the criteria for Two-Year with Bachelor's in 2019-20, 2020-21 and 2021-22"/>
    <n v="130907"/>
    <x v="12"/>
    <n v="240081"/>
    <n v="228100"/>
    <n v="178034"/>
    <n v="17501"/>
    <m/>
    <m/>
    <n v="59421"/>
    <n v="979"/>
    <n v="1647"/>
    <n v="172753"/>
    <n v="0"/>
    <n v="37846"/>
    <m/>
    <m/>
    <n v="0"/>
    <n v="0"/>
    <m/>
    <m/>
    <m/>
    <m/>
    <m/>
    <m/>
    <m/>
    <m/>
    <m/>
    <m/>
    <m/>
    <m/>
  </r>
  <r>
    <x v="3"/>
    <m/>
    <m/>
    <m/>
    <x v="13"/>
    <n v="0"/>
    <n v="0"/>
    <m/>
    <m/>
    <m/>
    <m/>
    <m/>
    <m/>
    <m/>
    <m/>
    <m/>
    <m/>
    <m/>
    <m/>
    <n v="0"/>
    <n v="0"/>
    <m/>
    <m/>
    <m/>
    <m/>
    <m/>
    <m/>
    <m/>
    <m/>
    <m/>
    <m/>
    <m/>
    <m/>
  </r>
  <r>
    <x v="3"/>
    <s v="Eastern Florida State College"/>
    <s v="Met the criteria for Two-Year 1 in 2020-21 and 2021-22"/>
    <n v="132693"/>
    <x v="12"/>
    <n v="305122"/>
    <n v="267529"/>
    <n v="103335"/>
    <n v="87515"/>
    <n v="4102"/>
    <n v="5461"/>
    <n v="154828"/>
    <n v="42857"/>
    <n v="0"/>
    <n v="168136"/>
    <n v="6417"/>
    <n v="0"/>
    <n v="0"/>
    <n v="0"/>
    <n v="0"/>
    <n v="0"/>
    <m/>
    <m/>
    <m/>
    <m/>
    <m/>
    <m/>
    <m/>
    <m/>
    <m/>
    <m/>
    <m/>
    <m/>
  </r>
  <r>
    <x v="3"/>
    <s v="Broward College "/>
    <s v="Met the criteria for Two-Year 21in 2020-21 and 2021-22"/>
    <n v="132709"/>
    <x v="12"/>
    <n v="761067"/>
    <n v="681316"/>
    <n v="316089"/>
    <n v="262970"/>
    <n v="22265"/>
    <n v="25172"/>
    <n v="194781"/>
    <n v="227752"/>
    <n v="0"/>
    <n v="204069"/>
    <n v="189057"/>
    <n v="0"/>
    <n v="180"/>
    <n v="48"/>
    <n v="0"/>
    <n v="0"/>
    <m/>
    <m/>
    <m/>
    <m/>
    <m/>
    <m/>
    <m/>
    <m/>
    <m/>
    <m/>
    <m/>
    <m/>
  </r>
  <r>
    <x v="3"/>
    <s v="College of Central Florida"/>
    <s v="Met the criteria for Two-Year 2 in 2020-21 and 2021-22"/>
    <n v="132851"/>
    <x v="12"/>
    <n v="139303"/>
    <n v="121421"/>
    <n v="47353"/>
    <n v="38160"/>
    <n v="0"/>
    <n v="0"/>
    <n v="90808"/>
    <n v="0"/>
    <n v="1142"/>
    <n v="83261"/>
    <n v="0"/>
    <n v="0"/>
    <n v="0"/>
    <n v="0"/>
    <n v="0"/>
    <n v="0"/>
    <m/>
    <m/>
    <m/>
    <m/>
    <m/>
    <m/>
    <m/>
    <m/>
    <m/>
    <m/>
    <m/>
    <m/>
  </r>
  <r>
    <x v="3"/>
    <s v="Chipola College "/>
    <s v="Met the criteria for Two-Year 3 in 2020-21 and 2021-22"/>
    <n v="133021"/>
    <x v="12"/>
    <n v="37404"/>
    <n v="34470"/>
    <n v="18026"/>
    <n v="15921"/>
    <n v="3381"/>
    <n v="4068"/>
    <n v="15997"/>
    <n v="0"/>
    <n v="0"/>
    <n v="14481"/>
    <n v="0"/>
    <n v="0"/>
    <n v="0"/>
    <n v="0"/>
    <n v="0"/>
    <n v="0"/>
    <m/>
    <m/>
    <m/>
    <m/>
    <m/>
    <m/>
    <m/>
    <m/>
    <m/>
    <m/>
    <m/>
    <m/>
  </r>
  <r>
    <x v="3"/>
    <s v="Daytona State College "/>
    <s v="Met the criteria for Two-Year 1 in 2020-21 and 2021-22"/>
    <n v="133386"/>
    <x v="12"/>
    <n v="278713"/>
    <n v="251371"/>
    <n v="94226"/>
    <n v="78725"/>
    <n v="7172"/>
    <n v="7101"/>
    <n v="177315"/>
    <n v="0"/>
    <n v="0"/>
    <n v="165545"/>
    <n v="0"/>
    <n v="0"/>
    <n v="0"/>
    <n v="0"/>
    <n v="0"/>
    <n v="0"/>
    <m/>
    <m/>
    <m/>
    <m/>
    <m/>
    <m/>
    <m/>
    <m/>
    <m/>
    <m/>
    <m/>
    <m/>
  </r>
  <r>
    <x v="3"/>
    <s v="Florida SouthWestern State College"/>
    <s v="Met the criteria for Two-Year 1 in 2020-21 and 2021-22"/>
    <n v="133508"/>
    <x v="12"/>
    <n v="310635"/>
    <n v="290122"/>
    <n v="152877"/>
    <n v="123495"/>
    <n v="14254"/>
    <n v="12745"/>
    <n v="142434"/>
    <n v="0"/>
    <n v="0"/>
    <n v="152797"/>
    <n v="0"/>
    <n v="0"/>
    <n v="1070"/>
    <n v="1085"/>
    <n v="0"/>
    <n v="0"/>
    <m/>
    <m/>
    <m/>
    <m/>
    <m/>
    <m/>
    <m/>
    <m/>
    <m/>
    <m/>
    <m/>
    <m/>
  </r>
  <r>
    <x v="3"/>
    <s v="Florida State College at Jacksonville"/>
    <s v="Met the criteria for Two-Year 1 in 2020-21 and 2021-22"/>
    <n v="133702"/>
    <x v="12"/>
    <n v="460902"/>
    <n v="411842"/>
    <n v="104697"/>
    <n v="75053"/>
    <n v="17274"/>
    <n v="18896"/>
    <n v="212963"/>
    <n v="125968"/>
    <n v="0"/>
    <n v="176963"/>
    <n v="140930"/>
    <n v="0"/>
    <n v="0"/>
    <n v="0"/>
    <n v="0"/>
    <n v="0"/>
    <m/>
    <m/>
    <m/>
    <m/>
    <m/>
    <m/>
    <m/>
    <m/>
    <m/>
    <m/>
    <m/>
    <m/>
  </r>
  <r>
    <x v="3"/>
    <s v="The College of the Florida Keys"/>
    <m/>
    <n v="133960"/>
    <x v="7"/>
    <n v="20810"/>
    <n v="21291"/>
    <n v="7889"/>
    <n v="7744"/>
    <n v="975"/>
    <n v="1479"/>
    <n v="11946"/>
    <n v="0"/>
    <n v="0"/>
    <n v="12068"/>
    <n v="0"/>
    <n v="0"/>
    <n v="0"/>
    <n v="0"/>
    <n v="0"/>
    <n v="0"/>
    <m/>
    <m/>
    <m/>
    <m/>
    <m/>
    <m/>
    <m/>
    <m/>
    <m/>
    <m/>
    <m/>
    <m/>
  </r>
  <r>
    <x v="3"/>
    <s v="Gulf Coast State College "/>
    <s v="Met the criteria for Two-Year 2 in 2020-21 and 2021-22"/>
    <n v="134343"/>
    <x v="12"/>
    <n v="90169"/>
    <n v="85334"/>
    <n v="46130"/>
    <n v="40430"/>
    <n v="9098"/>
    <n v="8652"/>
    <n v="34941"/>
    <n v="0"/>
    <n v="0"/>
    <n v="36252"/>
    <n v="0"/>
    <n v="0"/>
    <n v="0"/>
    <n v="0"/>
    <n v="0"/>
    <n v="0"/>
    <m/>
    <m/>
    <m/>
    <m/>
    <m/>
    <m/>
    <m/>
    <m/>
    <m/>
    <m/>
    <m/>
    <m/>
  </r>
  <r>
    <x v="3"/>
    <s v="Hillsborough Community College "/>
    <m/>
    <n v="134495"/>
    <x v="5"/>
    <n v="566562"/>
    <n v="528202"/>
    <n v="177410"/>
    <n v="115944"/>
    <n v="25820"/>
    <n v="27050"/>
    <n v="363332"/>
    <n v="0"/>
    <n v="0"/>
    <n v="385208"/>
    <n v="0"/>
    <n v="0"/>
    <n v="0"/>
    <n v="0"/>
    <n v="0"/>
    <n v="0"/>
    <m/>
    <m/>
    <m/>
    <m/>
    <m/>
    <m/>
    <m/>
    <m/>
    <m/>
    <m/>
    <m/>
    <m/>
  </r>
  <r>
    <x v="3"/>
    <s v="Indian River State College "/>
    <s v="Met the criteria for Two-Year 1 in 2020-21 and 2021-22"/>
    <n v="134608"/>
    <x v="12"/>
    <n v="301288"/>
    <n v="276508"/>
    <n v="106134"/>
    <n v="82528"/>
    <n v="5981"/>
    <n v="7430"/>
    <n v="173434"/>
    <n v="15739"/>
    <n v="0"/>
    <n v="173467"/>
    <n v="13083"/>
    <n v="0"/>
    <n v="0"/>
    <n v="0"/>
    <n v="0"/>
    <n v="0"/>
    <m/>
    <m/>
    <m/>
    <m/>
    <m/>
    <m/>
    <m/>
    <m/>
    <m/>
    <m/>
    <m/>
    <m/>
  </r>
  <r>
    <x v="3"/>
    <s v="Florida Gateway College"/>
    <s v="Met the criteria for Two-Year 2 in 2020-21 and 2021-22"/>
    <n v="135160"/>
    <x v="12"/>
    <n v="60416"/>
    <n v="54311"/>
    <n v="18529"/>
    <n v="15937"/>
    <n v="3055"/>
    <n v="2788"/>
    <n v="38832"/>
    <n v="0"/>
    <n v="0"/>
    <n v="35586"/>
    <n v="0"/>
    <n v="0"/>
    <n v="0"/>
    <n v="0"/>
    <n v="0"/>
    <n v="0"/>
    <m/>
    <m/>
    <m/>
    <m/>
    <m/>
    <m/>
    <m/>
    <m/>
    <m/>
    <m/>
    <m/>
    <m/>
  </r>
  <r>
    <x v="3"/>
    <s v="Lake-Sumter State College "/>
    <s v="Met the criteria for Two-Year 2 in 2020-21 and 2021-22"/>
    <n v="135188"/>
    <x v="12"/>
    <n v="97706"/>
    <n v="88726"/>
    <n v="31829"/>
    <n v="21153"/>
    <n v="0"/>
    <n v="0"/>
    <n v="65877"/>
    <n v="0"/>
    <n v="0"/>
    <n v="67573"/>
    <n v="0"/>
    <n v="0"/>
    <n v="0"/>
    <n v="0"/>
    <n v="0"/>
    <n v="0"/>
    <m/>
    <m/>
    <m/>
    <m/>
    <m/>
    <m/>
    <m/>
    <m/>
    <m/>
    <m/>
    <m/>
    <m/>
  </r>
  <r>
    <x v="3"/>
    <s v="State College of Florida, Manatee-Sarasota"/>
    <s v="Met the criteria for Two-Year 1 in 2020-21 and 2021-22"/>
    <n v="135391"/>
    <x v="12"/>
    <n v="197418"/>
    <n v="181116"/>
    <n v="69428"/>
    <n v="61659"/>
    <n v="0"/>
    <n v="0"/>
    <n v="115010"/>
    <n v="12980"/>
    <n v="0"/>
    <n v="108133"/>
    <n v="11324"/>
    <n v="0"/>
    <n v="0"/>
    <n v="0"/>
    <n v="0"/>
    <n v="0"/>
    <m/>
    <m/>
    <m/>
    <m/>
    <m/>
    <m/>
    <m/>
    <m/>
    <m/>
    <m/>
    <m/>
    <m/>
  </r>
  <r>
    <x v="3"/>
    <s v="Miami Dade College "/>
    <s v="Met the criteria for Two-Year 1 in 2020-21 and 2021-22"/>
    <n v="135717"/>
    <x v="12"/>
    <n v="1238787"/>
    <n v="1198547"/>
    <n v="633556"/>
    <n v="346215"/>
    <n v="17779"/>
    <n v="21299"/>
    <n v="424660"/>
    <n v="160784"/>
    <n v="0"/>
    <n v="304119"/>
    <n v="523952"/>
    <n v="0"/>
    <n v="2008"/>
    <n v="2962"/>
    <n v="0"/>
    <n v="0"/>
    <m/>
    <m/>
    <m/>
    <m/>
    <m/>
    <m/>
    <m/>
    <m/>
    <m/>
    <m/>
    <m/>
    <m/>
  </r>
  <r>
    <x v="3"/>
    <s v="North Florida College "/>
    <m/>
    <n v="136145"/>
    <x v="7"/>
    <n v="21932"/>
    <n v="22439"/>
    <n v="8942"/>
    <n v="7691"/>
    <n v="588"/>
    <n v="974"/>
    <n v="12170"/>
    <n v="232"/>
    <n v="0"/>
    <n v="13440"/>
    <n v="334"/>
    <n v="0"/>
    <n v="0"/>
    <n v="0"/>
    <n v="0"/>
    <n v="0"/>
    <m/>
    <m/>
    <m/>
    <m/>
    <m/>
    <m/>
    <m/>
    <m/>
    <m/>
    <m/>
    <m/>
    <m/>
  </r>
  <r>
    <x v="3"/>
    <s v="Northwest Florida State College"/>
    <s v="Met the criteria for Two-Year 2 in 2020-21 and 2021-22"/>
    <n v="136233"/>
    <x v="12"/>
    <n v="105506"/>
    <n v="91964"/>
    <n v="38892"/>
    <n v="33088"/>
    <n v="3220"/>
    <n v="2349"/>
    <n v="63394"/>
    <n v="0"/>
    <n v="0"/>
    <n v="56527"/>
    <n v="0"/>
    <n v="0"/>
    <n v="0"/>
    <n v="0"/>
    <n v="0"/>
    <n v="0"/>
    <m/>
    <m/>
    <m/>
    <m/>
    <m/>
    <m/>
    <m/>
    <m/>
    <m/>
    <m/>
    <m/>
    <m/>
  </r>
  <r>
    <x v="3"/>
    <s v="Palm Beach State College "/>
    <s v="Met the criteria for Two-Year 1 in 2020-21 and 2021-22"/>
    <n v="136358"/>
    <x v="12"/>
    <n v="559943"/>
    <n v="482962"/>
    <n v="174095"/>
    <n v="77912"/>
    <n v="5399"/>
    <n v="1091"/>
    <n v="162739"/>
    <n v="216194"/>
    <n v="1516"/>
    <n v="165191"/>
    <n v="238768"/>
    <n v="0"/>
    <n v="0"/>
    <n v="0"/>
    <n v="0"/>
    <n v="0"/>
    <m/>
    <m/>
    <m/>
    <m/>
    <m/>
    <m/>
    <m/>
    <m/>
    <m/>
    <m/>
    <m/>
    <m/>
  </r>
  <r>
    <x v="3"/>
    <s v="Pasco-Hernando State College "/>
    <s v="Met the criteria for Two-Year 1 in 2020-21 and 2021-22"/>
    <n v="136400"/>
    <x v="12"/>
    <n v="212428"/>
    <n v="186595"/>
    <n v="64511"/>
    <n v="26932"/>
    <n v="5644"/>
    <n v="10265"/>
    <n v="107436"/>
    <n v="34837"/>
    <n v="0"/>
    <n v="108215"/>
    <n v="41183"/>
    <n v="0"/>
    <n v="0"/>
    <n v="0"/>
    <n v="0"/>
    <n v="0"/>
    <m/>
    <m/>
    <m/>
    <m/>
    <m/>
    <m/>
    <m/>
    <m/>
    <m/>
    <m/>
    <m/>
    <m/>
  </r>
  <r>
    <x v="3"/>
    <s v="Pensacola State College "/>
    <s v="Met the criteria for Two-Year 1 in 2020-21 and 2021-22"/>
    <n v="136473"/>
    <x v="12"/>
    <n v="186929"/>
    <n v="170960"/>
    <n v="58110"/>
    <n v="53886"/>
    <n v="19179"/>
    <n v="14507"/>
    <n v="67170"/>
    <n v="42470"/>
    <n v="0"/>
    <n v="71373"/>
    <n v="31194"/>
    <n v="0"/>
    <n v="0"/>
    <n v="0"/>
    <n v="0"/>
    <n v="0"/>
    <m/>
    <m/>
    <m/>
    <m/>
    <m/>
    <m/>
    <m/>
    <m/>
    <m/>
    <m/>
    <m/>
    <m/>
  </r>
  <r>
    <x v="3"/>
    <s v="Polk State College "/>
    <s v="Met the criteria for Two-Year 1 in 2020-21 and 2021-22"/>
    <n v="136516"/>
    <x v="12"/>
    <n v="190278"/>
    <n v="166144"/>
    <n v="48040"/>
    <n v="28375"/>
    <n v="13318"/>
    <n v="9441"/>
    <n v="128920"/>
    <n v="0"/>
    <n v="0"/>
    <n v="128328"/>
    <n v="0"/>
    <n v="0"/>
    <n v="0"/>
    <n v="0"/>
    <n v="0"/>
    <n v="0"/>
    <m/>
    <m/>
    <m/>
    <m/>
    <m/>
    <m/>
    <m/>
    <m/>
    <m/>
    <m/>
    <m/>
    <m/>
  </r>
  <r>
    <x v="3"/>
    <s v="St. Johns River State College "/>
    <s v="Met the criteria for Two-Year 2 in 2020-21 and 2021-22"/>
    <n v="137281"/>
    <x v="12"/>
    <n v="133424"/>
    <n v="120501"/>
    <n v="33154"/>
    <n v="31233"/>
    <n v="13450"/>
    <n v="12324"/>
    <n v="86763"/>
    <n v="0"/>
    <n v="57"/>
    <n v="76944"/>
    <n v="0"/>
    <n v="0"/>
    <n v="0"/>
    <n v="0"/>
    <n v="0"/>
    <n v="0"/>
    <m/>
    <m/>
    <m/>
    <m/>
    <m/>
    <m/>
    <m/>
    <m/>
    <m/>
    <m/>
    <m/>
    <m/>
  </r>
  <r>
    <x v="3"/>
    <s v="St. Petersburg College "/>
    <s v="Met the criteria for Two-Year 1 in 2020-21 and 2021-22"/>
    <n v="137078"/>
    <x v="12"/>
    <n v="522921"/>
    <n v="470025"/>
    <n v="150275"/>
    <n v="110500"/>
    <n v="0"/>
    <n v="0"/>
    <n v="308566"/>
    <n v="64080"/>
    <n v="0"/>
    <n v="282721"/>
    <n v="76804"/>
    <n v="0"/>
    <n v="0"/>
    <n v="0"/>
    <n v="0"/>
    <n v="0"/>
    <m/>
    <m/>
    <m/>
    <m/>
    <m/>
    <m/>
    <m/>
    <m/>
    <m/>
    <m/>
    <m/>
    <m/>
  </r>
  <r>
    <x v="3"/>
    <s v="Santa Fe College "/>
    <s v="Met the criteria for Two-Year 1 in 2020-21 and 2021-22"/>
    <n v="137096"/>
    <x v="12"/>
    <n v="289536"/>
    <n v="265258"/>
    <n v="158373"/>
    <n v="135923"/>
    <n v="3127"/>
    <n v="3059"/>
    <n v="128036"/>
    <n v="0"/>
    <n v="0"/>
    <n v="126276"/>
    <n v="0"/>
    <n v="0"/>
    <n v="0"/>
    <n v="0"/>
    <n v="0"/>
    <n v="0"/>
    <m/>
    <m/>
    <m/>
    <m/>
    <m/>
    <m/>
    <m/>
    <m/>
    <m/>
    <m/>
    <m/>
    <m/>
  </r>
  <r>
    <x v="3"/>
    <s v="Seminole State College of Florida"/>
    <s v="Met the criteria for Two-Year 1 in 2020-21 and 2021-22"/>
    <n v="137209"/>
    <x v="12"/>
    <n v="332564"/>
    <n v="303949"/>
    <n v="115318"/>
    <n v="88258"/>
    <n v="0"/>
    <n v="0"/>
    <n v="182866"/>
    <n v="34380"/>
    <n v="0"/>
    <n v="182228"/>
    <n v="33463"/>
    <n v="0"/>
    <n v="0"/>
    <n v="0"/>
    <n v="0"/>
    <n v="0"/>
    <m/>
    <m/>
    <m/>
    <m/>
    <m/>
    <m/>
    <m/>
    <m/>
    <m/>
    <m/>
    <m/>
    <m/>
  </r>
  <r>
    <x v="3"/>
    <s v="South Florida State College "/>
    <s v="Met the criteria for Two-Year 2 in 2020-21 and 2021-22"/>
    <n v="137315"/>
    <x v="12"/>
    <n v="48170"/>
    <n v="49014"/>
    <n v="14983"/>
    <n v="12977"/>
    <n v="5571"/>
    <n v="4571"/>
    <n v="26529"/>
    <n v="1059"/>
    <n v="28"/>
    <n v="29743"/>
    <n v="1691"/>
    <n v="32"/>
    <n v="0"/>
    <n v="0"/>
    <n v="0"/>
    <n v="0"/>
    <m/>
    <m/>
    <m/>
    <m/>
    <m/>
    <m/>
    <m/>
    <m/>
    <m/>
    <m/>
    <m/>
    <m/>
  </r>
  <r>
    <x v="3"/>
    <s v="Tallahassee Community College "/>
    <m/>
    <n v="137759"/>
    <x v="5"/>
    <n v="252748"/>
    <n v="260222"/>
    <n v="78172"/>
    <n v="54591"/>
    <n v="16564"/>
    <n v="10303"/>
    <n v="158012"/>
    <n v="0"/>
    <n v="0"/>
    <n v="195328"/>
    <n v="0"/>
    <n v="0"/>
    <n v="0"/>
    <n v="0"/>
    <n v="0"/>
    <n v="0"/>
    <m/>
    <m/>
    <m/>
    <m/>
    <m/>
    <m/>
    <m/>
    <m/>
    <m/>
    <m/>
    <m/>
    <m/>
  </r>
  <r>
    <x v="3"/>
    <s v="Valencia College "/>
    <s v="Met the criteria for Two-Year 1 in 2020-21 and 2021-22"/>
    <n v="138187"/>
    <x v="12"/>
    <n v="1027692"/>
    <n v="946125"/>
    <n v="258155"/>
    <n v="133914"/>
    <n v="23268"/>
    <n v="9513"/>
    <n v="746269"/>
    <n v="0"/>
    <n v="0"/>
    <n v="802698"/>
    <n v="0"/>
    <n v="0"/>
    <n v="0"/>
    <n v="0"/>
    <n v="0"/>
    <n v="0"/>
    <m/>
    <m/>
    <m/>
    <m/>
    <m/>
    <m/>
    <m/>
    <m/>
    <m/>
    <m/>
    <m/>
    <m/>
  </r>
  <r>
    <x v="4"/>
    <s v="Georgia State University "/>
    <m/>
    <n v="139940"/>
    <x v="0"/>
    <n v="1166305"/>
    <n v="1081312"/>
    <n v="488342"/>
    <n v="376226.5"/>
    <n v="5817"/>
    <n v="2116"/>
    <n v="672146"/>
    <n v="0"/>
    <n v="0"/>
    <n v="702969.5"/>
    <n v="0"/>
    <n v="0"/>
    <n v="0"/>
    <n v="0"/>
    <n v="221637"/>
    <n v="212768"/>
    <n v="73237.5"/>
    <n v="69488"/>
    <n v="52370.5"/>
    <n v="63358.5"/>
    <n v="96029"/>
    <n v="0"/>
    <n v="0"/>
    <n v="79921.5"/>
    <n v="0"/>
    <n v="0"/>
    <n v="0"/>
    <n v="0"/>
  </r>
  <r>
    <x v="4"/>
    <s v="University of Georgia"/>
    <m/>
    <n v="139959"/>
    <x v="0"/>
    <n v="869860.5"/>
    <n v="861940.5"/>
    <n v="671996.5"/>
    <n v="681018.5"/>
    <n v="12729"/>
    <n v="13127"/>
    <n v="185135"/>
    <n v="0"/>
    <n v="0"/>
    <n v="167795"/>
    <n v="0"/>
    <n v="0"/>
    <n v="0"/>
    <n v="0"/>
    <n v="288941.90000000002"/>
    <n v="304596.70999999996"/>
    <n v="190625.5"/>
    <n v="226003.11"/>
    <n v="31078.7"/>
    <n v="38863.1"/>
    <n v="67237.7"/>
    <n v="0"/>
    <n v="0"/>
    <n v="39730.5"/>
    <n v="0"/>
    <n v="0"/>
    <n v="0"/>
    <n v="0"/>
  </r>
  <r>
    <x v="4"/>
    <s v="Georgia Institute of Technology"/>
    <m/>
    <n v="139755"/>
    <x v="1"/>
    <n v="481969.97"/>
    <n v="479302"/>
    <n v="203891.97"/>
    <n v="198150"/>
    <n v="3590"/>
    <n v="4778"/>
    <n v="274488"/>
    <n v="0"/>
    <n v="0"/>
    <n v="276374"/>
    <n v="0"/>
    <n v="0"/>
    <n v="0"/>
    <n v="0"/>
    <n v="402738.5"/>
    <n v="441715"/>
    <n v="156332"/>
    <n v="199616"/>
    <n v="3073"/>
    <n v="3757"/>
    <n v="243333.5"/>
    <n v="0"/>
    <n v="0"/>
    <n v="238342"/>
    <n v="0"/>
    <n v="0"/>
    <n v="0"/>
    <n v="0"/>
  </r>
  <r>
    <x v="4"/>
    <s v="Georgia Southern University"/>
    <m/>
    <n v="139931"/>
    <x v="2"/>
    <n v="648421"/>
    <n v="647959"/>
    <n v="410871"/>
    <n v="406982"/>
    <n v="2423"/>
    <n v="3576"/>
    <n v="235048"/>
    <n v="0"/>
    <n v="79"/>
    <n v="237269"/>
    <n v="0"/>
    <n v="132"/>
    <n v="0"/>
    <n v="0"/>
    <n v="65013"/>
    <n v="67301"/>
    <n v="19852"/>
    <n v="21499"/>
    <n v="422"/>
    <n v="212"/>
    <n v="44739"/>
    <n v="0"/>
    <n v="0"/>
    <n v="45587"/>
    <n v="0"/>
    <n v="3"/>
    <n v="0"/>
    <n v="0"/>
  </r>
  <r>
    <x v="4"/>
    <s v="Kennesaw State University"/>
    <m/>
    <n v="486840"/>
    <x v="2"/>
    <n v="967518"/>
    <n v="1001472"/>
    <n v="385574"/>
    <n v="446841"/>
    <n v="84"/>
    <n v="87"/>
    <n v="581860"/>
    <n v="0"/>
    <n v="0"/>
    <n v="554544"/>
    <n v="0"/>
    <n v="0"/>
    <n v="0"/>
    <n v="0"/>
    <n v="61855"/>
    <n v="70290"/>
    <n v="13647"/>
    <n v="16253"/>
    <n v="6"/>
    <n v="75"/>
    <n v="48202"/>
    <n v="0"/>
    <n v="0"/>
    <n v="53962"/>
    <n v="0"/>
    <n v="0"/>
    <n v="0"/>
    <n v="0"/>
  </r>
  <r>
    <x v="4"/>
    <s v="University of West Georgia"/>
    <m/>
    <n v="141334"/>
    <x v="2"/>
    <n v="280293"/>
    <n v="258039"/>
    <n v="127921"/>
    <n v="104246"/>
    <n v="11674"/>
    <n v="12161"/>
    <n v="140698"/>
    <n v="0"/>
    <n v="0"/>
    <n v="141632"/>
    <n v="0"/>
    <n v="0"/>
    <n v="0"/>
    <n v="0"/>
    <n v="52589"/>
    <n v="55183"/>
    <n v="4643"/>
    <n v="5278"/>
    <n v="417"/>
    <n v="348"/>
    <n v="47529"/>
    <n v="0"/>
    <n v="0"/>
    <n v="49557"/>
    <n v="0"/>
    <n v="0"/>
    <n v="0"/>
    <n v="0"/>
  </r>
  <r>
    <x v="4"/>
    <s v="Valdosta State University "/>
    <m/>
    <n v="141264"/>
    <x v="2"/>
    <n v="241920"/>
    <n v="240166"/>
    <n v="148717"/>
    <n v="144332"/>
    <n v="942"/>
    <n v="1228"/>
    <n v="91992"/>
    <n v="269"/>
    <n v="0"/>
    <n v="94018"/>
    <n v="588"/>
    <n v="0"/>
    <n v="0"/>
    <n v="0"/>
    <n v="48457"/>
    <n v="49743"/>
    <n v="8263"/>
    <n v="8752"/>
    <n v="389"/>
    <n v="315"/>
    <n v="39760"/>
    <n v="45"/>
    <n v="0"/>
    <n v="40610"/>
    <n v="42"/>
    <n v="24"/>
    <n v="0"/>
    <n v="0"/>
  </r>
  <r>
    <x v="4"/>
    <s v="Albany State University "/>
    <m/>
    <n v="138716"/>
    <x v="3"/>
    <n v="154957"/>
    <n v="146339"/>
    <n v="92255"/>
    <n v="75267"/>
    <n v="1819"/>
    <n v="1348"/>
    <n v="58301"/>
    <n v="2106"/>
    <n v="476"/>
    <n v="64423"/>
    <n v="4473"/>
    <n v="828"/>
    <n v="0"/>
    <n v="0"/>
    <n v="7033"/>
    <n v="8657"/>
    <n v="1297"/>
    <n v="815"/>
    <n v="60"/>
    <n v="0"/>
    <n v="5661"/>
    <n v="15"/>
    <n v="0"/>
    <n v="7842"/>
    <n v="0"/>
    <n v="0"/>
    <n v="0"/>
    <n v="0"/>
  </r>
  <r>
    <x v="4"/>
    <s v="Augusta University"/>
    <m/>
    <n v="482149"/>
    <x v="3"/>
    <n v="154709"/>
    <n v="148914"/>
    <n v="96932"/>
    <n v="84477"/>
    <n v="846"/>
    <n v="1194"/>
    <n v="56486"/>
    <n v="0"/>
    <n v="445"/>
    <n v="63155"/>
    <n v="0"/>
    <n v="88"/>
    <n v="0"/>
    <n v="0"/>
    <n v="208817"/>
    <n v="227833"/>
    <n v="151717"/>
    <n v="168422"/>
    <n v="12150"/>
    <n v="14083"/>
    <n v="44950"/>
    <n v="0"/>
    <n v="0"/>
    <n v="45328"/>
    <n v="0"/>
    <n v="0"/>
    <n v="0"/>
    <n v="0"/>
  </r>
  <r>
    <x v="4"/>
    <s v="Clayton State University"/>
    <m/>
    <n v="139311"/>
    <x v="3"/>
    <n v="156238"/>
    <n v="145785"/>
    <n v="46487"/>
    <n v="35232"/>
    <n v="179"/>
    <n v="405"/>
    <n v="109572"/>
    <n v="0"/>
    <n v="0"/>
    <n v="110148"/>
    <n v="0"/>
    <n v="0"/>
    <n v="0"/>
    <n v="0"/>
    <n v="11396"/>
    <n v="12901"/>
    <n v="1542"/>
    <n v="1082"/>
    <n v="76"/>
    <n v="61"/>
    <n v="9778"/>
    <n v="0"/>
    <n v="0"/>
    <n v="11758"/>
    <n v="0"/>
    <n v="0"/>
    <n v="0"/>
    <n v="0"/>
  </r>
  <r>
    <x v="4"/>
    <s v="Columbus State University"/>
    <s v="Meet the Criteria for Four-Year 3 in 2021-22"/>
    <n v="139366"/>
    <x v="3"/>
    <n v="174302"/>
    <n v="166138"/>
    <n v="92901"/>
    <n v="88307"/>
    <n v="6329"/>
    <n v="5913"/>
    <n v="75072"/>
    <n v="0"/>
    <n v="0"/>
    <n v="71918"/>
    <n v="0"/>
    <n v="0"/>
    <n v="0"/>
    <n v="0"/>
    <n v="24626"/>
    <n v="25322"/>
    <n v="5969"/>
    <n v="6346"/>
    <n v="157"/>
    <n v="178"/>
    <n v="18500"/>
    <n v="0"/>
    <n v="0"/>
    <n v="18798"/>
    <n v="0"/>
    <n v="0"/>
    <n v="0"/>
    <n v="0"/>
  </r>
  <r>
    <x v="4"/>
    <s v="Fort Valley State University"/>
    <m/>
    <n v="139719"/>
    <x v="4"/>
    <n v="69838"/>
    <n v="70086"/>
    <n v="48955"/>
    <n v="45869"/>
    <n v="195"/>
    <n v="18"/>
    <n v="19532"/>
    <n v="0"/>
    <n v="1156"/>
    <n v="23070"/>
    <n v="0"/>
    <n v="1129"/>
    <n v="0"/>
    <n v="0"/>
    <n v="5183"/>
    <n v="4708"/>
    <n v="2104"/>
    <n v="1759"/>
    <n v="0"/>
    <n v="0"/>
    <n v="3048"/>
    <n v="0"/>
    <n v="31"/>
    <n v="2751"/>
    <n v="0"/>
    <n v="198"/>
    <n v="0"/>
    <n v="0"/>
  </r>
  <r>
    <x v="4"/>
    <s v="Georgia College and State University"/>
    <m/>
    <n v="139861"/>
    <x v="3"/>
    <n v="169162"/>
    <n v="161532.5"/>
    <n v="132573"/>
    <n v="127544.5"/>
    <n v="1604"/>
    <n v="410"/>
    <n v="34985"/>
    <n v="0"/>
    <n v="0"/>
    <n v="33578"/>
    <n v="0"/>
    <n v="0"/>
    <n v="0"/>
    <n v="0"/>
    <n v="25707"/>
    <n v="25528"/>
    <n v="2838"/>
    <n v="2835"/>
    <n v="158"/>
    <n v="89"/>
    <n v="22711"/>
    <n v="0"/>
    <n v="0"/>
    <n v="22604"/>
    <n v="0"/>
    <n v="0"/>
    <n v="0"/>
    <n v="0"/>
  </r>
  <r>
    <x v="4"/>
    <s v="Georgia Southwestern State University"/>
    <m/>
    <n v="139764"/>
    <x v="3"/>
    <n v="63318"/>
    <n v="60636"/>
    <n v="34388"/>
    <n v="32055"/>
    <n v="1620"/>
    <n v="1650"/>
    <n v="27310"/>
    <n v="0"/>
    <n v="0"/>
    <n v="26931"/>
    <n v="0"/>
    <n v="0"/>
    <n v="0"/>
    <n v="0"/>
    <n v="11513"/>
    <n v="14744"/>
    <n v="2651"/>
    <n v="3304"/>
    <n v="0"/>
    <n v="204"/>
    <n v="8862"/>
    <n v="0"/>
    <n v="0"/>
    <n v="11236"/>
    <n v="0"/>
    <n v="0"/>
    <n v="0"/>
    <n v="0"/>
  </r>
  <r>
    <x v="4"/>
    <s v="University of North Georgia"/>
    <m/>
    <n v="482680"/>
    <x v="3"/>
    <n v="466916"/>
    <n v="439851"/>
    <n v="299935"/>
    <n v="272686"/>
    <n v="4923"/>
    <n v="3690"/>
    <n v="162058"/>
    <n v="0"/>
    <n v="0"/>
    <n v="163475"/>
    <n v="0"/>
    <n v="0"/>
    <n v="0"/>
    <n v="0"/>
    <n v="15946"/>
    <n v="16941"/>
    <n v="5744"/>
    <n v="6816"/>
    <n v="545"/>
    <n v="130"/>
    <n v="9657"/>
    <n v="0"/>
    <n v="0"/>
    <n v="9995"/>
    <n v="0"/>
    <n v="0"/>
    <n v="0"/>
    <n v="0"/>
  </r>
  <r>
    <x v="4"/>
    <s v="Savannah State University"/>
    <m/>
    <n v="140960"/>
    <x v="4"/>
    <n v="93227"/>
    <n v="83487"/>
    <n v="57189"/>
    <n v="49311"/>
    <n v="297"/>
    <n v="60"/>
    <n v="35741"/>
    <n v="0"/>
    <n v="0"/>
    <n v="34116"/>
    <n v="0"/>
    <n v="0"/>
    <n v="0"/>
    <n v="0"/>
    <n v="4540"/>
    <n v="4815"/>
    <n v="1720"/>
    <n v="2052"/>
    <n v="1632"/>
    <n v="1041"/>
    <n v="1188"/>
    <n v="0"/>
    <n v="0"/>
    <n v="1722"/>
    <n v="0"/>
    <n v="0"/>
    <n v="0"/>
    <n v="0"/>
  </r>
  <r>
    <x v="4"/>
    <s v="Abraham Baldwin Agricultural College "/>
    <m/>
    <n v="138558"/>
    <x v="11"/>
    <n v="93270"/>
    <n v="92019"/>
    <n v="55600"/>
    <n v="58589"/>
    <n v="4287"/>
    <n v="4967"/>
    <n v="33383"/>
    <n v="0"/>
    <n v="0"/>
    <n v="28463"/>
    <n v="0"/>
    <n v="0"/>
    <n v="0"/>
    <n v="0"/>
    <n v="0"/>
    <n v="0"/>
    <m/>
    <m/>
    <m/>
    <m/>
    <m/>
    <m/>
    <m/>
    <m/>
    <m/>
    <m/>
    <m/>
    <m/>
  </r>
  <r>
    <x v="4"/>
    <s v="College of Coastal Georgia "/>
    <m/>
    <n v="139250"/>
    <x v="11"/>
    <n v="81564"/>
    <n v="74744"/>
    <n v="35795"/>
    <n v="40492"/>
    <n v="194"/>
    <n v="279"/>
    <n v="45575"/>
    <n v="0"/>
    <n v="0"/>
    <n v="33973"/>
    <n v="0"/>
    <n v="0"/>
    <n v="0"/>
    <n v="0"/>
    <n v="0"/>
    <n v="0"/>
    <m/>
    <m/>
    <m/>
    <m/>
    <m/>
    <m/>
    <m/>
    <m/>
    <m/>
    <m/>
    <m/>
    <m/>
  </r>
  <r>
    <x v="4"/>
    <s v="Dalton State College "/>
    <m/>
    <n v="139463"/>
    <x v="11"/>
    <n v="114613"/>
    <n v="107388"/>
    <n v="76526"/>
    <n v="74829"/>
    <n v="3399"/>
    <n v="3205"/>
    <n v="34688"/>
    <n v="0"/>
    <n v="0"/>
    <n v="29354"/>
    <n v="0"/>
    <n v="0"/>
    <n v="0"/>
    <n v="0"/>
    <n v="0"/>
    <n v="0"/>
    <m/>
    <m/>
    <m/>
    <m/>
    <m/>
    <m/>
    <m/>
    <m/>
    <m/>
    <m/>
    <m/>
    <m/>
  </r>
  <r>
    <x v="4"/>
    <s v="Georgia Gwinnett College"/>
    <m/>
    <n v="447689"/>
    <x v="11"/>
    <n v="304852"/>
    <n v="276221"/>
    <n v="202618"/>
    <n v="161612"/>
    <n v="601"/>
    <n v="1050"/>
    <n v="101633"/>
    <n v="0"/>
    <n v="0"/>
    <n v="113559"/>
    <n v="0"/>
    <n v="0"/>
    <n v="0"/>
    <n v="0"/>
    <n v="0"/>
    <n v="0"/>
    <m/>
    <m/>
    <m/>
    <m/>
    <m/>
    <m/>
    <m/>
    <m/>
    <m/>
    <m/>
    <m/>
    <m/>
  </r>
  <r>
    <x v="4"/>
    <s v="Gordon State College "/>
    <m/>
    <n v="139968"/>
    <x v="11"/>
    <n v="77635"/>
    <n v="69544"/>
    <n v="39797"/>
    <n v="25454"/>
    <n v="3807"/>
    <n v="2042"/>
    <n v="34031"/>
    <n v="0"/>
    <n v="0"/>
    <n v="42048"/>
    <n v="0"/>
    <n v="0"/>
    <n v="0"/>
    <n v="0"/>
    <n v="0"/>
    <n v="0"/>
    <m/>
    <m/>
    <m/>
    <m/>
    <m/>
    <m/>
    <m/>
    <m/>
    <m/>
    <m/>
    <m/>
    <m/>
  </r>
  <r>
    <x v="4"/>
    <s v="Middle Georgia State College"/>
    <s v=" Met the Criteria for Four-Year 4 in 2021-22"/>
    <n v="482158"/>
    <x v="4"/>
    <n v="195133"/>
    <n v="185098"/>
    <n v="82704"/>
    <n v="74873"/>
    <n v="1060"/>
    <n v="971"/>
    <n v="110635"/>
    <n v="734"/>
    <n v="0"/>
    <n v="109029"/>
    <n v="225"/>
    <n v="0"/>
    <n v="0"/>
    <n v="0"/>
    <n v="6440"/>
    <n v="7549"/>
    <n v="0"/>
    <n v="0"/>
    <n v="0"/>
    <n v="0"/>
    <n v="6440"/>
    <n v="0"/>
    <n v="0"/>
    <n v="7549"/>
    <n v="0"/>
    <n v="0"/>
    <n v="0"/>
    <n v="0"/>
  </r>
  <r>
    <x v="4"/>
    <s v="Atlanta Metropolitan State College"/>
    <m/>
    <n v="138901"/>
    <x v="12"/>
    <n v="38213"/>
    <n v="36143"/>
    <n v="17716"/>
    <n v="13411"/>
    <n v="1231"/>
    <n v="0"/>
    <n v="19266"/>
    <n v="0"/>
    <n v="0"/>
    <n v="22732"/>
    <n v="0"/>
    <n v="0"/>
    <n v="0"/>
    <n v="0"/>
    <n v="0"/>
    <n v="0"/>
    <m/>
    <m/>
    <m/>
    <m/>
    <m/>
    <m/>
    <m/>
    <m/>
    <m/>
    <m/>
    <m/>
    <m/>
  </r>
  <r>
    <x v="4"/>
    <s v="East Georgia State College"/>
    <m/>
    <n v="139621"/>
    <x v="12"/>
    <n v="57702"/>
    <n v="46058"/>
    <n v="25476"/>
    <n v="15384"/>
    <n v="5442"/>
    <n v="4071"/>
    <n v="26784"/>
    <n v="0"/>
    <n v="0"/>
    <n v="26603"/>
    <n v="0"/>
    <n v="0"/>
    <n v="0"/>
    <n v="0"/>
    <n v="0"/>
    <n v="0"/>
    <m/>
    <m/>
    <m/>
    <m/>
    <m/>
    <m/>
    <m/>
    <m/>
    <m/>
    <m/>
    <m/>
    <m/>
  </r>
  <r>
    <x v="4"/>
    <s v="Georgia Highlands College"/>
    <m/>
    <n v="139700"/>
    <x v="12"/>
    <n v="126890"/>
    <n v="111821"/>
    <n v="43460"/>
    <n v="33255"/>
    <n v="13014"/>
    <n v="6106"/>
    <n v="70416"/>
    <n v="0"/>
    <n v="0"/>
    <n v="72460"/>
    <n v="0"/>
    <n v="0"/>
    <n v="0"/>
    <n v="0"/>
    <n v="0"/>
    <n v="0"/>
    <m/>
    <m/>
    <m/>
    <m/>
    <m/>
    <m/>
    <m/>
    <m/>
    <m/>
    <m/>
    <m/>
    <m/>
  </r>
  <r>
    <x v="4"/>
    <s v="South Georgia State College"/>
    <m/>
    <n v="482699"/>
    <x v="12"/>
    <n v="54128"/>
    <n v="43706"/>
    <n v="14937"/>
    <n v="10617"/>
    <n v="11023"/>
    <n v="7790"/>
    <n v="28168"/>
    <n v="0"/>
    <n v="0"/>
    <n v="25299"/>
    <n v="0"/>
    <n v="0"/>
    <n v="0"/>
    <n v="0"/>
    <n v="0"/>
    <n v="0"/>
    <m/>
    <m/>
    <m/>
    <m/>
    <m/>
    <m/>
    <m/>
    <m/>
    <m/>
    <m/>
    <m/>
    <m/>
  </r>
  <r>
    <x v="4"/>
    <s v="Albany Technical College"/>
    <m/>
    <n v="138682"/>
    <x v="8"/>
    <n v="70764"/>
    <n v="61682"/>
    <n v="15721"/>
    <n v="13555"/>
    <m/>
    <m/>
    <n v="55043"/>
    <n v="0"/>
    <n v="0"/>
    <n v="48127"/>
    <n v="0"/>
    <n v="0"/>
    <m/>
    <m/>
    <n v="0"/>
    <n v="0"/>
    <m/>
    <m/>
    <m/>
    <m/>
    <m/>
    <m/>
    <m/>
    <m/>
    <m/>
    <m/>
    <m/>
    <m/>
  </r>
  <r>
    <x v="4"/>
    <s v="Athens Technical College"/>
    <m/>
    <n v="246813"/>
    <x v="8"/>
    <n v="79083"/>
    <n v="69274"/>
    <n v="49830"/>
    <n v="46004"/>
    <m/>
    <m/>
    <n v="29157"/>
    <n v="96"/>
    <n v="0"/>
    <n v="23258"/>
    <n v="12"/>
    <n v="0"/>
    <m/>
    <m/>
    <n v="0"/>
    <n v="0"/>
    <m/>
    <m/>
    <m/>
    <m/>
    <m/>
    <m/>
    <m/>
    <m/>
    <m/>
    <m/>
    <m/>
    <m/>
  </r>
  <r>
    <x v="4"/>
    <s v="Atlanta Technical College"/>
    <m/>
    <n v="138840"/>
    <x v="8"/>
    <n v="79903"/>
    <n v="75530"/>
    <n v="23300"/>
    <n v="10590"/>
    <m/>
    <m/>
    <n v="56603"/>
    <n v="0"/>
    <n v="0"/>
    <n v="64940"/>
    <n v="0"/>
    <n v="0"/>
    <m/>
    <m/>
    <n v="0"/>
    <n v="0"/>
    <m/>
    <m/>
    <m/>
    <m/>
    <m/>
    <m/>
    <m/>
    <m/>
    <m/>
    <m/>
    <m/>
    <m/>
  </r>
  <r>
    <x v="4"/>
    <s v="Augusta Technical College"/>
    <m/>
    <n v="138956"/>
    <x v="8"/>
    <n v="88306"/>
    <n v="77860"/>
    <n v="52601"/>
    <n v="43113"/>
    <m/>
    <m/>
    <n v="35705"/>
    <n v="0"/>
    <n v="0"/>
    <n v="34719"/>
    <n v="28"/>
    <n v="0"/>
    <m/>
    <m/>
    <n v="0"/>
    <n v="0"/>
    <m/>
    <m/>
    <m/>
    <m/>
    <m/>
    <m/>
    <m/>
    <m/>
    <m/>
    <m/>
    <m/>
    <m/>
  </r>
  <r>
    <x v="4"/>
    <s v="Central Georgia Technical College"/>
    <m/>
    <n v="483045"/>
    <x v="8"/>
    <n v="154039"/>
    <n v="155425"/>
    <n v="58626"/>
    <n v="68457"/>
    <m/>
    <m/>
    <n v="89435"/>
    <n v="5978"/>
    <n v="0"/>
    <n v="81926"/>
    <n v="5042"/>
    <n v="0"/>
    <m/>
    <m/>
    <n v="0"/>
    <n v="0"/>
    <m/>
    <m/>
    <m/>
    <m/>
    <m/>
    <m/>
    <m/>
    <m/>
    <m/>
    <m/>
    <m/>
    <m/>
  </r>
  <r>
    <x v="4"/>
    <s v="Chattahoochee Technical College"/>
    <m/>
    <n v="140331"/>
    <x v="8"/>
    <n v="190974"/>
    <n v="173190"/>
    <n v="78547"/>
    <n v="50975"/>
    <m/>
    <m/>
    <n v="112427"/>
    <n v="0"/>
    <n v="0"/>
    <n v="122215"/>
    <n v="0"/>
    <n v="0"/>
    <m/>
    <m/>
    <n v="0"/>
    <n v="0"/>
    <m/>
    <m/>
    <m/>
    <m/>
    <m/>
    <m/>
    <m/>
    <m/>
    <m/>
    <m/>
    <m/>
    <m/>
  </r>
  <r>
    <x v="4"/>
    <s v="Coastal Pines Technical College"/>
    <m/>
    <n v="485458"/>
    <x v="8"/>
    <n v="68682"/>
    <n v="67978"/>
    <n v="42827"/>
    <n v="40796"/>
    <m/>
    <m/>
    <n v="25855"/>
    <n v="0"/>
    <n v="0"/>
    <n v="27182"/>
    <n v="0"/>
    <n v="0"/>
    <m/>
    <m/>
    <n v="0"/>
    <n v="0"/>
    <m/>
    <m/>
    <m/>
    <m/>
    <m/>
    <m/>
    <m/>
    <m/>
    <m/>
    <m/>
    <m/>
    <m/>
  </r>
  <r>
    <x v="4"/>
    <s v="Columbus Technical College"/>
    <m/>
    <n v="139357"/>
    <x v="8"/>
    <n v="68493"/>
    <n v="63076"/>
    <n v="29965"/>
    <n v="24341"/>
    <m/>
    <m/>
    <n v="38528"/>
    <n v="0"/>
    <n v="0"/>
    <n v="38735"/>
    <n v="0"/>
    <n v="0"/>
    <m/>
    <m/>
    <n v="0"/>
    <n v="0"/>
    <m/>
    <m/>
    <m/>
    <m/>
    <m/>
    <m/>
    <m/>
    <m/>
    <m/>
    <m/>
    <m/>
    <m/>
  </r>
  <r>
    <x v="4"/>
    <s v="Georgia Northwestern Technical College"/>
    <m/>
    <n v="139384"/>
    <x v="8"/>
    <n v="127340"/>
    <n v="120090"/>
    <n v="54615"/>
    <n v="48444"/>
    <m/>
    <m/>
    <n v="72725"/>
    <n v="0"/>
    <n v="0"/>
    <n v="71646"/>
    <n v="0"/>
    <n v="0"/>
    <m/>
    <m/>
    <n v="0"/>
    <n v="0"/>
    <m/>
    <m/>
    <m/>
    <m/>
    <m/>
    <m/>
    <m/>
    <m/>
    <m/>
    <m/>
    <m/>
    <m/>
  </r>
  <r>
    <x v="4"/>
    <s v="Georgia Piedmont Technical College"/>
    <m/>
    <n v="244446"/>
    <x v="8"/>
    <n v="60917.5"/>
    <n v="49686.5"/>
    <n v="13811.5"/>
    <n v="10051.5"/>
    <m/>
    <m/>
    <n v="47106"/>
    <n v="0"/>
    <n v="0"/>
    <n v="39635"/>
    <n v="0"/>
    <n v="0"/>
    <m/>
    <m/>
    <n v="0"/>
    <n v="0"/>
    <m/>
    <m/>
    <m/>
    <m/>
    <m/>
    <m/>
    <m/>
    <m/>
    <m/>
    <m/>
    <m/>
    <m/>
  </r>
  <r>
    <x v="4"/>
    <s v="Gwinnett Technical College"/>
    <m/>
    <n v="140012"/>
    <x v="8"/>
    <n v="166649"/>
    <n v="150788"/>
    <n v="60654"/>
    <n v="44847"/>
    <m/>
    <m/>
    <n v="105995"/>
    <n v="0"/>
    <n v="0"/>
    <n v="105941"/>
    <n v="0"/>
    <n v="0"/>
    <m/>
    <m/>
    <n v="0"/>
    <n v="0"/>
    <m/>
    <m/>
    <m/>
    <m/>
    <m/>
    <m/>
    <m/>
    <m/>
    <m/>
    <m/>
    <m/>
    <m/>
  </r>
  <r>
    <x v="4"/>
    <s v="Lanier Technical College"/>
    <m/>
    <n v="140243"/>
    <x v="8"/>
    <n v="93162"/>
    <n v="93233"/>
    <n v="45623"/>
    <n v="40706"/>
    <m/>
    <m/>
    <n v="35035"/>
    <n v="12504"/>
    <n v="0"/>
    <n v="29125"/>
    <n v="23402"/>
    <n v="0"/>
    <m/>
    <m/>
    <n v="0"/>
    <n v="0"/>
    <m/>
    <m/>
    <m/>
    <m/>
    <m/>
    <m/>
    <m/>
    <m/>
    <m/>
    <m/>
    <m/>
    <m/>
  </r>
  <r>
    <x v="4"/>
    <s v="North Georgia Technical College"/>
    <m/>
    <n v="140678"/>
    <x v="8"/>
    <n v="54981"/>
    <n v="51443"/>
    <n v="26241"/>
    <n v="21455"/>
    <m/>
    <m/>
    <n v="28740"/>
    <n v="0"/>
    <n v="0"/>
    <n v="28750"/>
    <n v="1238"/>
    <n v="0"/>
    <m/>
    <m/>
    <n v="0"/>
    <n v="0"/>
    <m/>
    <m/>
    <m/>
    <m/>
    <m/>
    <m/>
    <m/>
    <m/>
    <m/>
    <m/>
    <m/>
    <m/>
  </r>
  <r>
    <x v="4"/>
    <s v="Oconee Fall Line Technical College"/>
    <m/>
    <n v="420431"/>
    <x v="8"/>
    <n v="35860"/>
    <n v="32336"/>
    <n v="16873"/>
    <n v="16889"/>
    <m/>
    <m/>
    <n v="18987"/>
    <n v="0"/>
    <n v="0"/>
    <n v="15447"/>
    <n v="0"/>
    <n v="0"/>
    <m/>
    <m/>
    <n v="0"/>
    <n v="0"/>
    <m/>
    <m/>
    <m/>
    <m/>
    <m/>
    <m/>
    <m/>
    <m/>
    <m/>
    <m/>
    <m/>
    <m/>
  </r>
  <r>
    <x v="4"/>
    <s v="Ogeechee Technical College"/>
    <m/>
    <n v="366465"/>
    <x v="8"/>
    <n v="49479"/>
    <n v="48878"/>
    <n v="24546"/>
    <n v="22021"/>
    <m/>
    <m/>
    <n v="24933"/>
    <n v="0"/>
    <n v="0"/>
    <n v="26857"/>
    <n v="0"/>
    <n v="0"/>
    <m/>
    <m/>
    <n v="0"/>
    <n v="0"/>
    <m/>
    <m/>
    <m/>
    <m/>
    <m/>
    <m/>
    <m/>
    <m/>
    <m/>
    <m/>
    <m/>
    <m/>
  </r>
  <r>
    <x v="4"/>
    <s v="Savannah Technical College"/>
    <m/>
    <n v="140942"/>
    <x v="8"/>
    <n v="84927"/>
    <n v="79164"/>
    <n v="40608"/>
    <n v="35125"/>
    <m/>
    <m/>
    <n v="44319"/>
    <n v="0"/>
    <n v="0"/>
    <n v="44039"/>
    <n v="0"/>
    <n v="0"/>
    <m/>
    <m/>
    <n v="0"/>
    <n v="0"/>
    <m/>
    <m/>
    <m/>
    <m/>
    <m/>
    <m/>
    <m/>
    <m/>
    <m/>
    <m/>
    <m/>
    <m/>
  </r>
  <r>
    <x v="4"/>
    <s v="South Georgia Technical College"/>
    <m/>
    <n v="141006"/>
    <x v="8"/>
    <n v="45944"/>
    <n v="39713"/>
    <n v="28498"/>
    <n v="24152"/>
    <m/>
    <m/>
    <n v="17446"/>
    <n v="0"/>
    <n v="0"/>
    <n v="15561"/>
    <n v="0"/>
    <n v="0"/>
    <m/>
    <m/>
    <n v="0"/>
    <n v="0"/>
    <m/>
    <m/>
    <m/>
    <m/>
    <m/>
    <m/>
    <m/>
    <m/>
    <m/>
    <m/>
    <m/>
    <m/>
  </r>
  <r>
    <x v="4"/>
    <s v="Southeastern Technical College"/>
    <s v="Met the crtiera for Technical College 2 in 2021-22"/>
    <n v="368911"/>
    <x v="8"/>
    <n v="32375"/>
    <n v="29721"/>
    <n v="15426"/>
    <n v="15315"/>
    <m/>
    <m/>
    <n v="16949"/>
    <n v="0"/>
    <n v="0"/>
    <n v="14406"/>
    <n v="0"/>
    <n v="0"/>
    <m/>
    <m/>
    <n v="0"/>
    <n v="0"/>
    <m/>
    <m/>
    <m/>
    <m/>
    <m/>
    <m/>
    <m/>
    <m/>
    <m/>
    <m/>
    <m/>
    <m/>
  </r>
  <r>
    <x v="4"/>
    <s v="Southern Crescent Technical College"/>
    <m/>
    <n v="139986"/>
    <x v="8"/>
    <n v="107717"/>
    <n v="102335"/>
    <n v="48237"/>
    <n v="22020"/>
    <m/>
    <m/>
    <n v="59351"/>
    <n v="129"/>
    <n v="0"/>
    <n v="80315"/>
    <n v="0"/>
    <n v="0"/>
    <m/>
    <m/>
    <n v="0"/>
    <n v="0"/>
    <m/>
    <m/>
    <m/>
    <m/>
    <m/>
    <m/>
    <m/>
    <m/>
    <m/>
    <m/>
    <m/>
    <m/>
  </r>
  <r>
    <x v="4"/>
    <s v="Southern Regional Technical College"/>
    <m/>
    <n v="487162"/>
    <x v="8"/>
    <n v="94284"/>
    <n v="86092"/>
    <n v="47517"/>
    <n v="45601"/>
    <m/>
    <m/>
    <n v="46767"/>
    <n v="0"/>
    <n v="0"/>
    <n v="40491"/>
    <n v="0"/>
    <n v="0"/>
    <m/>
    <m/>
    <n v="0"/>
    <n v="0"/>
    <m/>
    <m/>
    <m/>
    <m/>
    <m/>
    <m/>
    <m/>
    <m/>
    <m/>
    <m/>
    <m/>
    <m/>
  </r>
  <r>
    <x v="4"/>
    <s v="West Georgia Technical College"/>
    <m/>
    <n v="139278"/>
    <x v="8"/>
    <n v="127899"/>
    <n v="117256"/>
    <n v="47860"/>
    <n v="47359"/>
    <m/>
    <m/>
    <n v="80039"/>
    <n v="0"/>
    <n v="0"/>
    <n v="69897"/>
    <n v="0"/>
    <n v="0"/>
    <m/>
    <m/>
    <n v="0"/>
    <n v="0"/>
    <m/>
    <m/>
    <m/>
    <m/>
    <m/>
    <m/>
    <m/>
    <m/>
    <m/>
    <m/>
    <m/>
    <m/>
  </r>
  <r>
    <x v="4"/>
    <s v="Wiregrass Georgia Technical College"/>
    <m/>
    <n v="141255"/>
    <x v="8"/>
    <n v="74592"/>
    <n v="66803"/>
    <n v="44087"/>
    <n v="35721"/>
    <m/>
    <m/>
    <n v="30505"/>
    <n v="0"/>
    <n v="0"/>
    <n v="31082"/>
    <n v="0"/>
    <n v="0"/>
    <m/>
    <m/>
    <n v="0"/>
    <n v="0"/>
    <m/>
    <m/>
    <m/>
    <m/>
    <m/>
    <m/>
    <m/>
    <m/>
    <m/>
    <m/>
    <m/>
    <m/>
  </r>
  <r>
    <x v="5"/>
    <s v="University of Kentucky"/>
    <m/>
    <n v="157085"/>
    <x v="0"/>
    <n v="605707"/>
    <n v="591199"/>
    <n v="358834"/>
    <n v="332205"/>
    <n v="5601"/>
    <n v="4038"/>
    <n v="240091"/>
    <n v="594"/>
    <n v="587"/>
    <n v="254695"/>
    <m/>
    <n v="261"/>
    <m/>
    <m/>
    <n v="84573"/>
    <n v="99918"/>
    <n v="42374"/>
    <n v="41125"/>
    <n v="186"/>
    <n v="108"/>
    <n v="41528"/>
    <m/>
    <n v="485"/>
    <n v="58526"/>
    <m/>
    <n v="159"/>
    <m/>
    <m/>
  </r>
  <r>
    <x v="5"/>
    <s v="University of Louisville"/>
    <m/>
    <n v="157289"/>
    <x v="0"/>
    <n v="390671"/>
    <n v="378696"/>
    <n v="227237"/>
    <n v="170417"/>
    <n v="13963"/>
    <n v="13267"/>
    <n v="149471"/>
    <m/>
    <m/>
    <n v="195012"/>
    <m/>
    <m/>
    <m/>
    <m/>
    <n v="84945"/>
    <n v="94910"/>
    <n v="36331"/>
    <n v="38507"/>
    <n v="2726"/>
    <n v="2720"/>
    <n v="45888"/>
    <m/>
    <m/>
    <n v="53683"/>
    <m/>
    <m/>
    <m/>
    <m/>
  </r>
  <r>
    <x v="5"/>
    <s v="Eastern Kentucky University "/>
    <m/>
    <n v="156620"/>
    <x v="2"/>
    <n v="341191"/>
    <n v="322835"/>
    <n v="227868"/>
    <n v="162882"/>
    <n v="9944"/>
    <n v="8474"/>
    <n v="98885"/>
    <n v="4494"/>
    <m/>
    <n v="148196"/>
    <n v="3283"/>
    <m/>
    <m/>
    <m/>
    <n v="40419"/>
    <n v="39574"/>
    <n v="12124"/>
    <n v="12188.5"/>
    <n v="1714"/>
    <n v="2157"/>
    <n v="26581"/>
    <m/>
    <m/>
    <n v="25018.5"/>
    <n v="210"/>
    <m/>
    <m/>
    <m/>
  </r>
  <r>
    <x v="5"/>
    <s v="Morehead State University "/>
    <m/>
    <n v="157386"/>
    <x v="2"/>
    <n v="186501"/>
    <n v="174484"/>
    <n v="88171"/>
    <n v="70128"/>
    <n v="26137"/>
    <n v="25394"/>
    <n v="67873"/>
    <n v="4320"/>
    <m/>
    <n v="74655"/>
    <n v="4307"/>
    <m/>
    <m/>
    <m/>
    <n v="11018"/>
    <n v="11229"/>
    <n v="1071"/>
    <n v="734"/>
    <n v="221"/>
    <n v="391"/>
    <n v="9726"/>
    <m/>
    <m/>
    <n v="10104"/>
    <m/>
    <m/>
    <m/>
    <m/>
  </r>
  <r>
    <x v="5"/>
    <s v="Murray State University "/>
    <m/>
    <n v="157401"/>
    <x v="2"/>
    <n v="205124"/>
    <n v="196335"/>
    <n v="130953"/>
    <n v="120094"/>
    <n v="28030"/>
    <n v="27281"/>
    <n v="41460"/>
    <n v="4681"/>
    <m/>
    <n v="46090"/>
    <n v="2870"/>
    <m/>
    <m/>
    <m/>
    <n v="23083"/>
    <n v="25094"/>
    <n v="7647"/>
    <n v="5625"/>
    <n v="3799"/>
    <n v="5373"/>
    <n v="11517"/>
    <n v="120"/>
    <m/>
    <n v="14024"/>
    <n v="72"/>
    <m/>
    <m/>
    <m/>
  </r>
  <r>
    <x v="5"/>
    <s v="Northern Kentucky University "/>
    <m/>
    <n v="157447"/>
    <x v="2"/>
    <n v="314526"/>
    <n v="292733"/>
    <n v="146001"/>
    <n v="121224"/>
    <n v="15980"/>
    <n v="16814"/>
    <n v="152515"/>
    <n v="30"/>
    <m/>
    <n v="154527"/>
    <n v="168"/>
    <m/>
    <m/>
    <m/>
    <n v="76260"/>
    <n v="84396.5"/>
    <n v="14149"/>
    <n v="11690"/>
    <n v="111"/>
    <n v="1627"/>
    <n v="62000"/>
    <m/>
    <m/>
    <n v="71079.5"/>
    <m/>
    <m/>
    <m/>
    <m/>
  </r>
  <r>
    <x v="5"/>
    <s v="Western Kentucky University "/>
    <m/>
    <n v="157951"/>
    <x v="2"/>
    <n v="381158"/>
    <n v="373851"/>
    <n v="224066"/>
    <n v="210430"/>
    <n v="14394"/>
    <n v="11792"/>
    <n v="140832"/>
    <n v="1767"/>
    <n v="99"/>
    <n v="151377"/>
    <n v="198"/>
    <n v="54"/>
    <m/>
    <m/>
    <n v="34584"/>
    <n v="33275.5"/>
    <n v="9762"/>
    <n v="9288"/>
    <n v="888"/>
    <n v="318"/>
    <n v="23901"/>
    <n v="30"/>
    <n v="3"/>
    <n v="23669.5"/>
    <m/>
    <m/>
    <m/>
    <m/>
  </r>
  <r>
    <x v="5"/>
    <s v="Kentucky State University "/>
    <s v="Met the criteria for Four-Year 6 in 2020-21 and 2021-22"/>
    <n v="157058"/>
    <x v="3"/>
    <n v="51840"/>
    <n v="50944"/>
    <n v="32989"/>
    <n v="17038"/>
    <n v="60"/>
    <n v="33"/>
    <n v="18791"/>
    <m/>
    <m/>
    <n v="33873"/>
    <m/>
    <m/>
    <m/>
    <m/>
    <n v="1914"/>
    <n v="1977"/>
    <n v="1095"/>
    <n v="639"/>
    <m/>
    <m/>
    <n v="819"/>
    <m/>
    <m/>
    <n v="1338"/>
    <m/>
    <m/>
    <m/>
    <m/>
  </r>
  <r>
    <x v="5"/>
    <s v="Bluegrass Community and Technical College"/>
    <s v="Changed # from 157173 to 156392"/>
    <n v="156392"/>
    <x v="5"/>
    <n v="201997"/>
    <n v="122084"/>
    <n v="94108"/>
    <n v="44170"/>
    <n v="7729"/>
    <n v="8683"/>
    <n v="100160"/>
    <m/>
    <m/>
    <n v="69231"/>
    <m/>
    <m/>
    <m/>
    <m/>
    <n v="0"/>
    <n v="0"/>
    <m/>
    <m/>
    <m/>
    <m/>
    <m/>
    <m/>
    <m/>
    <m/>
    <m/>
    <m/>
    <m/>
    <m/>
  </r>
  <r>
    <x v="5"/>
    <s v="Jefferson Community and Technical College "/>
    <m/>
    <n v="156921"/>
    <x v="5"/>
    <n v="188787"/>
    <n v="162573"/>
    <n v="88013"/>
    <n v="63777"/>
    <n v="18555"/>
    <n v="48898"/>
    <n v="82219"/>
    <m/>
    <m/>
    <n v="49898"/>
    <m/>
    <m/>
    <m/>
    <m/>
    <n v="0"/>
    <n v="0"/>
    <m/>
    <m/>
    <m/>
    <m/>
    <m/>
    <m/>
    <m/>
    <m/>
    <m/>
    <m/>
    <m/>
    <m/>
  </r>
  <r>
    <x v="5"/>
    <s v="Big Sandy Community and Technical College "/>
    <s v="Reclassifed Met the criteria for Two-Year 3 in 2019-20 and 2020-21, and 2022"/>
    <n v="157553"/>
    <x v="7"/>
    <n v="53472"/>
    <n v="29920"/>
    <n v="20351"/>
    <n v="11520"/>
    <n v="234"/>
    <n v="288"/>
    <n v="32887"/>
    <m/>
    <m/>
    <n v="18112"/>
    <m/>
    <m/>
    <m/>
    <m/>
    <n v="0"/>
    <n v="0"/>
    <m/>
    <m/>
    <m/>
    <m/>
    <m/>
    <m/>
    <m/>
    <m/>
    <m/>
    <m/>
    <m/>
    <m/>
  </r>
  <r>
    <x v="5"/>
    <s v="Elizabethtown Community and Technical College "/>
    <m/>
    <n v="156648"/>
    <x v="6"/>
    <n v="101427"/>
    <n v="69786"/>
    <n v="33338"/>
    <n v="25385"/>
    <n v="7853"/>
    <n v="9112"/>
    <n v="60236"/>
    <m/>
    <m/>
    <n v="35289"/>
    <m/>
    <m/>
    <m/>
    <m/>
    <n v="0"/>
    <n v="0"/>
    <m/>
    <m/>
    <m/>
    <m/>
    <m/>
    <m/>
    <m/>
    <m/>
    <m/>
    <m/>
    <m/>
    <m/>
  </r>
  <r>
    <x v="5"/>
    <s v="Maysville Community and Technical College "/>
    <s v="Met the criteria for Two-Year 3 in  2021-22"/>
    <n v="157331"/>
    <x v="6"/>
    <n v="61990"/>
    <n v="40109"/>
    <n v="21952"/>
    <n v="15305"/>
    <n v="5764"/>
    <n v="5715"/>
    <n v="34274"/>
    <m/>
    <m/>
    <n v="19089"/>
    <m/>
    <m/>
    <m/>
    <m/>
    <n v="0"/>
    <n v="0"/>
    <m/>
    <m/>
    <m/>
    <m/>
    <m/>
    <m/>
    <m/>
    <m/>
    <m/>
    <m/>
    <m/>
    <m/>
  </r>
  <r>
    <x v="5"/>
    <s v="Owensboro Community and Technical College "/>
    <m/>
    <n v="247940"/>
    <x v="6"/>
    <n v="69801"/>
    <n v="53205"/>
    <n v="38653"/>
    <n v="29977"/>
    <n v="5337"/>
    <n v="5611"/>
    <n v="25811"/>
    <m/>
    <m/>
    <n v="17617"/>
    <m/>
    <m/>
    <m/>
    <m/>
    <n v="0"/>
    <n v="0"/>
    <m/>
    <m/>
    <m/>
    <m/>
    <m/>
    <m/>
    <m/>
    <m/>
    <m/>
    <m/>
    <m/>
    <m/>
  </r>
  <r>
    <x v="5"/>
    <s v="Somerset Community and Technical College "/>
    <m/>
    <n v="157711"/>
    <x v="6"/>
    <n v="93347"/>
    <n v="64418"/>
    <n v="31662"/>
    <n v="26515"/>
    <n v="3716"/>
    <n v="5800"/>
    <n v="57969"/>
    <m/>
    <m/>
    <n v="32103"/>
    <m/>
    <m/>
    <m/>
    <m/>
    <n v="0"/>
    <n v="0"/>
    <m/>
    <m/>
    <m/>
    <m/>
    <m/>
    <m/>
    <m/>
    <m/>
    <m/>
    <m/>
    <m/>
    <m/>
  </r>
  <r>
    <x v="5"/>
    <s v="West Kentucky Community and Technical College"/>
    <m/>
    <n v="157483"/>
    <x v="6"/>
    <n v="85823"/>
    <n v="58658"/>
    <n v="39408"/>
    <n v="31720"/>
    <n v="6221"/>
    <n v="5597"/>
    <n v="40194"/>
    <m/>
    <m/>
    <n v="21341"/>
    <m/>
    <m/>
    <m/>
    <m/>
    <n v="0"/>
    <n v="0"/>
    <m/>
    <m/>
    <m/>
    <m/>
    <m/>
    <m/>
    <m/>
    <m/>
    <m/>
    <m/>
    <m/>
    <m/>
  </r>
  <r>
    <x v="5"/>
    <s v="Ashland Community and Technical College"/>
    <m/>
    <n v="156231"/>
    <x v="7"/>
    <n v="53177"/>
    <n v="38558"/>
    <n v="26653"/>
    <n v="20961"/>
    <n v="2324"/>
    <n v="2992"/>
    <n v="24200"/>
    <m/>
    <m/>
    <n v="14605"/>
    <m/>
    <m/>
    <m/>
    <m/>
    <n v="0"/>
    <n v="0"/>
    <m/>
    <m/>
    <m/>
    <m/>
    <m/>
    <m/>
    <m/>
    <m/>
    <m/>
    <m/>
    <m/>
    <m/>
  </r>
  <r>
    <x v="5"/>
    <s v="Hazard Community and Technical College"/>
    <m/>
    <n v="156790"/>
    <x v="7"/>
    <n v="51470"/>
    <n v="36729"/>
    <n v="14846"/>
    <n v="12961"/>
    <n v="3371"/>
    <n v="3514"/>
    <n v="33253"/>
    <m/>
    <m/>
    <n v="20254"/>
    <m/>
    <m/>
    <m/>
    <m/>
    <n v="0"/>
    <n v="0"/>
    <m/>
    <m/>
    <m/>
    <m/>
    <m/>
    <m/>
    <m/>
    <m/>
    <m/>
    <m/>
    <m/>
    <m/>
  </r>
  <r>
    <x v="5"/>
    <s v="Henderson Community College "/>
    <m/>
    <n v="156851"/>
    <x v="7"/>
    <n v="23278"/>
    <n v="15653"/>
    <n v="8879"/>
    <n v="6703"/>
    <n v="2276"/>
    <n v="2554"/>
    <n v="12123"/>
    <m/>
    <m/>
    <n v="6396"/>
    <m/>
    <m/>
    <m/>
    <m/>
    <n v="0"/>
    <n v="0"/>
    <m/>
    <m/>
    <m/>
    <m/>
    <m/>
    <m/>
    <m/>
    <m/>
    <m/>
    <m/>
    <m/>
    <m/>
  </r>
  <r>
    <x v="5"/>
    <s v="Hopkinsville Community College "/>
    <m/>
    <n v="156860"/>
    <x v="7"/>
    <n v="41109"/>
    <n v="25798"/>
    <n v="18385"/>
    <n v="12744"/>
    <n v="1000"/>
    <n v="949"/>
    <n v="21724"/>
    <m/>
    <m/>
    <n v="12105"/>
    <m/>
    <m/>
    <m/>
    <m/>
    <n v="0"/>
    <n v="0"/>
    <m/>
    <m/>
    <m/>
    <m/>
    <m/>
    <m/>
    <m/>
    <m/>
    <m/>
    <m/>
    <m/>
    <m/>
  </r>
  <r>
    <x v="5"/>
    <s v="Madisonville Community College"/>
    <m/>
    <n v="157304"/>
    <x v="7"/>
    <n v="52740"/>
    <n v="37591"/>
    <n v="19536"/>
    <n v="15621"/>
    <n v="6726"/>
    <n v="5226"/>
    <n v="26478"/>
    <m/>
    <m/>
    <n v="16744"/>
    <m/>
    <m/>
    <m/>
    <m/>
    <n v="0"/>
    <n v="0"/>
    <m/>
    <m/>
    <m/>
    <m/>
    <m/>
    <m/>
    <m/>
    <m/>
    <m/>
    <m/>
    <m/>
    <m/>
  </r>
  <r>
    <x v="5"/>
    <s v="Southeast Kentucky Community and Technical College"/>
    <m/>
    <n v="157739"/>
    <x v="7"/>
    <n v="47904"/>
    <n v="33983"/>
    <n v="20236"/>
    <n v="13521"/>
    <m/>
    <n v="5099"/>
    <n v="27668"/>
    <m/>
    <m/>
    <n v="15363"/>
    <m/>
    <m/>
    <m/>
    <m/>
    <n v="0"/>
    <n v="0"/>
    <m/>
    <m/>
    <m/>
    <m/>
    <m/>
    <m/>
    <m/>
    <m/>
    <m/>
    <m/>
    <m/>
    <m/>
  </r>
  <r>
    <x v="5"/>
    <s v="Gateway Community and Technical College"/>
    <m/>
    <n v="157438"/>
    <x v="8"/>
    <n v="74313"/>
    <n v="71155"/>
    <n v="37068"/>
    <n v="29253"/>
    <n v="4465"/>
    <n v="5597"/>
    <n v="32780"/>
    <m/>
    <m/>
    <n v="36305"/>
    <m/>
    <m/>
    <m/>
    <m/>
    <n v="0"/>
    <n v="0"/>
    <m/>
    <m/>
    <m/>
    <m/>
    <m/>
    <m/>
    <m/>
    <m/>
    <m/>
    <m/>
    <m/>
    <m/>
  </r>
  <r>
    <x v="5"/>
    <s v="Southcentral Kentucky Community and Technical College"/>
    <m/>
    <n v="156338"/>
    <x v="8"/>
    <n v="76907"/>
    <n v="58646"/>
    <n v="38862"/>
    <n v="29223"/>
    <n v="4922"/>
    <n v="6288"/>
    <n v="33123"/>
    <m/>
    <m/>
    <n v="23135"/>
    <m/>
    <m/>
    <m/>
    <m/>
    <n v="0"/>
    <n v="0"/>
    <m/>
    <m/>
    <m/>
    <m/>
    <m/>
    <m/>
    <m/>
    <m/>
    <m/>
    <m/>
    <m/>
    <m/>
  </r>
  <r>
    <x v="6"/>
    <s v="Louisiana State University and A&amp;M College"/>
    <m/>
    <n v="159391"/>
    <x v="0"/>
    <n v="745363"/>
    <n v="790236"/>
    <n v="501083.59011700301"/>
    <n v="506723.40622391802"/>
    <m/>
    <m/>
    <n v="244279.40988299699"/>
    <m/>
    <m/>
    <n v="283512.59377608198"/>
    <m/>
    <m/>
    <m/>
    <m/>
    <n v="150237.00000000041"/>
    <n v="161972.49999999959"/>
    <n v="121840.755434783"/>
    <n v="128587.419198761"/>
    <m/>
    <m/>
    <n v="28396.244565217399"/>
    <m/>
    <m/>
    <n v="33385.080801238597"/>
    <m/>
    <m/>
    <m/>
    <m/>
  </r>
  <r>
    <x v="6"/>
    <s v="Louisiana Tech University "/>
    <m/>
    <n v="159647"/>
    <x v="1"/>
    <n v="262612.00000000012"/>
    <n v="256479"/>
    <n v="194112.42158671599"/>
    <n v="153756.69492703301"/>
    <m/>
    <m/>
    <n v="68499.578413284107"/>
    <m/>
    <m/>
    <n v="102722.30507296701"/>
    <m/>
    <m/>
    <m/>
    <m/>
    <n v="22088"/>
    <n v="20503"/>
    <n v="14242.4137235116"/>
    <n v="11116.084337349401"/>
    <m/>
    <m/>
    <n v="7845.5862764883996"/>
    <m/>
    <m/>
    <n v="9386.9156626505992"/>
    <m/>
    <m/>
    <m/>
    <m/>
  </r>
  <r>
    <x v="6"/>
    <s v="University of Louisiana at Lafayette"/>
    <m/>
    <n v="160658"/>
    <x v="1"/>
    <n v="368365.99999999983"/>
    <n v="349428.00000000017"/>
    <n v="302142.14345683501"/>
    <n v="279811.14154916699"/>
    <m/>
    <m/>
    <n v="66223.856543164802"/>
    <m/>
    <m/>
    <n v="69616.858450833199"/>
    <m/>
    <m/>
    <m/>
    <m/>
    <n v="40954.999999999971"/>
    <n v="42489.000000000029"/>
    <n v="33499.287507846799"/>
    <n v="34408.768985322298"/>
    <m/>
    <m/>
    <n v="7455.7124921531704"/>
    <m/>
    <m/>
    <n v="8080.2310146777299"/>
    <m/>
    <m/>
    <m/>
    <m/>
  </r>
  <r>
    <x v="6"/>
    <s v="University of New Orleans"/>
    <m/>
    <n v="159939"/>
    <x v="1"/>
    <n v="164434"/>
    <n v="156497.00000000052"/>
    <n v="76731.460610932496"/>
    <n v="53266.565476190503"/>
    <m/>
    <m/>
    <n v="87702.539389067504"/>
    <m/>
    <m/>
    <n v="103230.43452381001"/>
    <m/>
    <m/>
    <m/>
    <m/>
    <n v="23104"/>
    <n v="21759.999999999978"/>
    <n v="13190.0500463392"/>
    <n v="8777.9193205944794"/>
    <m/>
    <m/>
    <n v="9913.9499536608"/>
    <m/>
    <m/>
    <n v="12982.080679405501"/>
    <m/>
    <m/>
    <m/>
    <m/>
  </r>
  <r>
    <x v="6"/>
    <s v="McNeese State University"/>
    <m/>
    <n v="159717"/>
    <x v="2"/>
    <n v="178508.00000000012"/>
    <n v="161657.00000000041"/>
    <n v="66258.698611111104"/>
    <n v="51971.8583055864"/>
    <m/>
    <m/>
    <n v="112249.301388889"/>
    <m/>
    <m/>
    <n v="109685.14169441399"/>
    <m/>
    <m/>
    <m/>
    <m/>
    <n v="10794"/>
    <n v="9691"/>
    <n v="2132.1481481481501"/>
    <n v="1697.04147465438"/>
    <m/>
    <m/>
    <n v="8661.8518518518504"/>
    <m/>
    <m/>
    <n v="7993.9585253456198"/>
    <m/>
    <m/>
    <m/>
    <m/>
  </r>
  <r>
    <x v="6"/>
    <s v="Southeastern Louisiana University "/>
    <m/>
    <n v="160612"/>
    <x v="2"/>
    <n v="328315.99999999971"/>
    <n v="305952.99999999971"/>
    <n v="233604.85630926301"/>
    <n v="304716.37203747901"/>
    <m/>
    <m/>
    <n v="94711.143690736702"/>
    <m/>
    <m/>
    <n v="1236.6279625206701"/>
    <m/>
    <m/>
    <m/>
    <m/>
    <n v="16550"/>
    <n v="17191.999999999975"/>
    <n v="8226.94541231127"/>
    <n v="17036.2400906002"/>
    <m/>
    <m/>
    <n v="8323.05458768873"/>
    <m/>
    <m/>
    <n v="155.75990939977399"/>
    <m/>
    <m/>
    <m/>
    <m/>
  </r>
  <r>
    <x v="6"/>
    <s v="Southern University and A&amp;M College at Baton Rouge "/>
    <m/>
    <n v="160621"/>
    <x v="2"/>
    <n v="156947.99999999951"/>
    <n v="161584.00000000029"/>
    <n v="116807.562167906"/>
    <n v="125867.125124461"/>
    <m/>
    <m/>
    <n v="40140.437832093499"/>
    <m/>
    <m/>
    <n v="35716.874875539303"/>
    <m/>
    <m/>
    <m/>
    <m/>
    <n v="14822.99999999998"/>
    <n v="27955"/>
    <n v="10594.2162162162"/>
    <n v="22562.106299212599"/>
    <m/>
    <m/>
    <n v="4228.7837837837797"/>
    <m/>
    <m/>
    <n v="5392.8937007874001"/>
    <m/>
    <m/>
    <m/>
    <m/>
  </r>
  <r>
    <x v="6"/>
    <s v="University of Louisiana at Monroe"/>
    <m/>
    <n v="159993"/>
    <x v="2"/>
    <n v="175676"/>
    <n v="166942"/>
    <n v="87344.343199700306"/>
    <n v="74827.460934579402"/>
    <m/>
    <m/>
    <n v="88331.656800299694"/>
    <m/>
    <m/>
    <n v="92114.539065420598"/>
    <m/>
    <m/>
    <m/>
    <m/>
    <n v="42331"/>
    <n v="44235"/>
    <n v="13033.9556171983"/>
    <n v="12601.529894490001"/>
    <m/>
    <m/>
    <n v="29297.044382801701"/>
    <m/>
    <m/>
    <n v="31633.470105510001"/>
    <m/>
    <m/>
    <m/>
    <m/>
  </r>
  <r>
    <x v="6"/>
    <s v="Grambling State University"/>
    <m/>
    <n v="159009"/>
    <x v="3"/>
    <n v="126302"/>
    <n v="130098.00000000031"/>
    <n v="50091.064327485401"/>
    <n v="21462.195519348301"/>
    <m/>
    <m/>
    <n v="76210.935672514606"/>
    <m/>
    <m/>
    <n v="108635.804480652"/>
    <m/>
    <m/>
    <m/>
    <m/>
    <n v="16346"/>
    <n v="14659.99999999996"/>
    <n v="3887.4441260745002"/>
    <n v="2389.71786833856"/>
    <m/>
    <m/>
    <n v="12458.555873925499"/>
    <m/>
    <m/>
    <n v="12270.282131661401"/>
    <m/>
    <m/>
    <m/>
    <m/>
  </r>
  <r>
    <x v="6"/>
    <s v="Louisiana State University in Shreveport"/>
    <m/>
    <n v="159416"/>
    <x v="3"/>
    <n v="60666"/>
    <n v="58816"/>
    <n v="39179.236823612096"/>
    <n v="30130.301754386001"/>
    <m/>
    <m/>
    <n v="21486.7631763879"/>
    <m/>
    <m/>
    <n v="28685.698245613999"/>
    <m/>
    <m/>
    <m/>
    <m/>
    <n v="124502"/>
    <n v="124764.99999999959"/>
    <n v="28531.708333333299"/>
    <n v="21345.3373493976"/>
    <m/>
    <m/>
    <n v="95970.291666666701"/>
    <m/>
    <m/>
    <n v="103419.662650602"/>
    <m/>
    <m/>
    <m/>
    <m/>
  </r>
  <r>
    <x v="6"/>
    <s v="Nicholls State University "/>
    <m/>
    <n v="159966"/>
    <x v="3"/>
    <n v="161193"/>
    <n v="153048"/>
    <n v="72972.506756756804"/>
    <n v="81272.636233951504"/>
    <m/>
    <m/>
    <n v="88220.493243243196"/>
    <m/>
    <m/>
    <n v="71775.363766048496"/>
    <m/>
    <m/>
    <m/>
    <m/>
    <n v="11513"/>
    <n v="11386"/>
    <n v="3259.7048192771099"/>
    <n v="3271.8390804597698"/>
    <m/>
    <m/>
    <n v="8253.2951807228892"/>
    <m/>
    <m/>
    <n v="8114.1609195402298"/>
    <m/>
    <m/>
    <m/>
    <m/>
  </r>
  <r>
    <x v="6"/>
    <s v="Northwestern State University"/>
    <m/>
    <n v="160038"/>
    <x v="3"/>
    <n v="238814"/>
    <n v="226429.9999999998"/>
    <n v="137393.98449920499"/>
    <n v="132276.00447336299"/>
    <m/>
    <m/>
    <n v="101420.01550079499"/>
    <m/>
    <m/>
    <n v="94153.995526636805"/>
    <m/>
    <m/>
    <m/>
    <m/>
    <n v="15591.00000000002"/>
    <n v="15905.999999999969"/>
    <n v="2521.7510548523201"/>
    <n v="2635.98016997167"/>
    <m/>
    <m/>
    <n v="13069.248945147699"/>
    <m/>
    <m/>
    <n v="13270.019830028299"/>
    <m/>
    <m/>
    <m/>
    <m/>
  </r>
  <r>
    <x v="6"/>
    <s v="Southern University at New Orleans"/>
    <m/>
    <n v="160630"/>
    <x v="4"/>
    <n v="41596"/>
    <n v="36080"/>
    <n v="0"/>
    <n v="0"/>
    <m/>
    <m/>
    <n v="41596"/>
    <m/>
    <m/>
    <n v="36080"/>
    <m/>
    <m/>
    <m/>
    <m/>
    <n v="7039"/>
    <n v="6099"/>
    <n v="0"/>
    <n v="0"/>
    <m/>
    <m/>
    <n v="7039"/>
    <m/>
    <m/>
    <n v="6099"/>
    <m/>
    <m/>
    <m/>
    <m/>
  </r>
  <r>
    <x v="6"/>
    <s v="Louisiana State University at Alexandria"/>
    <m/>
    <n v="159382"/>
    <x v="11"/>
    <n v="80535"/>
    <n v="88467"/>
    <n v="41532.6091954023"/>
    <n v="40670.619300911902"/>
    <m/>
    <m/>
    <n v="39002.3908045977"/>
    <m/>
    <m/>
    <n v="47796.380699088098"/>
    <m/>
    <m/>
    <m/>
    <m/>
    <n v="0"/>
    <n v="0"/>
    <m/>
    <m/>
    <m/>
    <m/>
    <m/>
    <m/>
    <m/>
    <m/>
    <m/>
    <m/>
    <m/>
    <m/>
  </r>
  <r>
    <x v="6"/>
    <s v="Baton Rouge Community College"/>
    <m/>
    <n v="437103"/>
    <x v="5"/>
    <n v="154897"/>
    <n v="155288.99999999971"/>
    <n v="56047.3393339334"/>
    <n v="29892.275496688701"/>
    <m/>
    <m/>
    <n v="98849.6606660666"/>
    <m/>
    <m/>
    <n v="125396.72450331099"/>
    <m/>
    <m/>
    <m/>
    <m/>
    <n v="0"/>
    <n v="0"/>
    <m/>
    <m/>
    <m/>
    <m/>
    <m/>
    <m/>
    <m/>
    <m/>
    <m/>
    <m/>
    <m/>
    <m/>
  </r>
  <r>
    <x v="6"/>
    <s v="Delgado Community College "/>
    <m/>
    <n v="158662"/>
    <x v="5"/>
    <n v="275618"/>
    <n v="248974"/>
    <n v="133996.504610845"/>
    <n v="102964.35131396999"/>
    <m/>
    <m/>
    <n v="141621.495389155"/>
    <m/>
    <m/>
    <n v="146009.64868603001"/>
    <m/>
    <m/>
    <m/>
    <m/>
    <n v="0"/>
    <n v="0"/>
    <m/>
    <m/>
    <m/>
    <m/>
    <m/>
    <m/>
    <m/>
    <m/>
    <m/>
    <m/>
    <m/>
    <m/>
  </r>
  <r>
    <x v="6"/>
    <s v="Bossier Parish Community College"/>
    <m/>
    <n v="158431"/>
    <x v="6"/>
    <n v="130050"/>
    <n v="115386.5"/>
    <n v="49671.875"/>
    <n v="44645.612340216299"/>
    <m/>
    <m/>
    <n v="80378.125"/>
    <m/>
    <m/>
    <n v="70740.887659783693"/>
    <m/>
    <m/>
    <m/>
    <m/>
    <n v="0"/>
    <n v="0"/>
    <m/>
    <m/>
    <m/>
    <m/>
    <m/>
    <m/>
    <m/>
    <m/>
    <m/>
    <m/>
    <m/>
    <m/>
  </r>
  <r>
    <x v="6"/>
    <s v="Louisiana Delta Community College"/>
    <m/>
    <n v="483212"/>
    <x v="6"/>
    <n v="84462"/>
    <n v="80189.5"/>
    <n v="47255.4565774156"/>
    <n v="40720.500815280699"/>
    <m/>
    <m/>
    <n v="37206.5434225844"/>
    <m/>
    <m/>
    <n v="39468.999184719301"/>
    <m/>
    <m/>
    <m/>
    <m/>
    <n v="0"/>
    <n v="0"/>
    <m/>
    <m/>
    <m/>
    <m/>
    <m/>
    <m/>
    <m/>
    <m/>
    <m/>
    <m/>
    <m/>
    <m/>
  </r>
  <r>
    <x v="6"/>
    <s v="South Louisiana Community College"/>
    <m/>
    <n v="434061"/>
    <x v="6"/>
    <n v="139465"/>
    <n v="128628"/>
    <n v="75108.701814058993"/>
    <n v="58730.283400809698"/>
    <m/>
    <m/>
    <n v="64356.298185940999"/>
    <m/>
    <m/>
    <n v="69897.716599190302"/>
    <m/>
    <m/>
    <m/>
    <m/>
    <n v="0"/>
    <n v="0"/>
    <m/>
    <m/>
    <m/>
    <m/>
    <m/>
    <m/>
    <m/>
    <m/>
    <m/>
    <m/>
    <m/>
    <m/>
  </r>
  <r>
    <x v="6"/>
    <s v="Southern University in Shreveport"/>
    <m/>
    <n v="160649"/>
    <x v="6"/>
    <n v="61383"/>
    <n v="54146"/>
    <n v="40446.519490254897"/>
    <n v="28188.986259542002"/>
    <m/>
    <m/>
    <n v="20936.480509745099"/>
    <m/>
    <m/>
    <n v="25957.013740457998"/>
    <m/>
    <m/>
    <m/>
    <m/>
    <n v="0"/>
    <n v="0"/>
    <m/>
    <m/>
    <m/>
    <m/>
    <m/>
    <m/>
    <m/>
    <m/>
    <m/>
    <m/>
    <m/>
    <m/>
  </r>
  <r>
    <x v="6"/>
    <s v="Louisiana State University at Eunice"/>
    <m/>
    <n v="159407"/>
    <x v="6"/>
    <n v="60805"/>
    <n v="61121"/>
    <n v="34728.306613226501"/>
    <n v="33795.637996219302"/>
    <m/>
    <m/>
    <n v="26076.693386773499"/>
    <m/>
    <m/>
    <n v="27325.362003780701"/>
    <m/>
    <m/>
    <m/>
    <m/>
    <n v="0"/>
    <n v="0"/>
    <m/>
    <m/>
    <m/>
    <m/>
    <m/>
    <m/>
    <m/>
    <m/>
    <m/>
    <m/>
    <m/>
    <m/>
  </r>
  <r>
    <x v="6"/>
    <s v="Nunez Community College"/>
    <m/>
    <n v="158884"/>
    <x v="7"/>
    <n v="44603"/>
    <n v="40995"/>
    <n v="18447.699716713902"/>
    <n v="17101.464497041401"/>
    <m/>
    <m/>
    <n v="26155.300283286098"/>
    <m/>
    <m/>
    <n v="23893.535502958599"/>
    <m/>
    <m/>
    <m/>
    <m/>
    <n v="0"/>
    <n v="0"/>
    <m/>
    <m/>
    <m/>
    <m/>
    <m/>
    <m/>
    <m/>
    <m/>
    <m/>
    <m/>
    <m/>
    <m/>
  </r>
  <r>
    <x v="6"/>
    <s v="River Parishes Community College"/>
    <m/>
    <n v="436304"/>
    <x v="7"/>
    <n v="58568"/>
    <n v="48287"/>
    <n v="37514.459760627302"/>
    <n v="29006.175021987699"/>
    <m/>
    <m/>
    <n v="21053.540239372702"/>
    <m/>
    <m/>
    <n v="19280.824978012301"/>
    <m/>
    <m/>
    <m/>
    <m/>
    <n v="0"/>
    <n v="0"/>
    <m/>
    <m/>
    <m/>
    <m/>
    <m/>
    <m/>
    <m/>
    <m/>
    <m/>
    <m/>
    <m/>
    <m/>
  </r>
  <r>
    <x v="6"/>
    <s v="Central LA Technical Community College"/>
    <m/>
    <n v="158088"/>
    <x v="8"/>
    <n v="43041"/>
    <n v="38894"/>
    <n v="32715.298557692298"/>
    <n v="26247.973374296002"/>
    <m/>
    <m/>
    <n v="10325.7014423077"/>
    <m/>
    <m/>
    <n v="12646.026625704"/>
    <m/>
    <m/>
    <m/>
    <m/>
    <n v="0"/>
    <n v="0"/>
    <m/>
    <m/>
    <m/>
    <m/>
    <m/>
    <m/>
    <m/>
    <m/>
    <m/>
    <m/>
    <m/>
    <m/>
  </r>
  <r>
    <x v="6"/>
    <s v="L.E. Fletcher Technical Community College"/>
    <m/>
    <n v="160481"/>
    <x v="8"/>
    <n v="46862"/>
    <n v="39441"/>
    <n v="24428.063829787199"/>
    <n v="18091.267641996601"/>
    <m/>
    <m/>
    <n v="22433.936170212801"/>
    <m/>
    <m/>
    <n v="21349.732358003399"/>
    <m/>
    <m/>
    <m/>
    <m/>
    <n v="0"/>
    <n v="0"/>
    <m/>
    <m/>
    <m/>
    <m/>
    <m/>
    <m/>
    <m/>
    <m/>
    <m/>
    <m/>
    <m/>
    <m/>
  </r>
  <r>
    <x v="6"/>
    <s v="Northshore Technical College"/>
    <m/>
    <n v="160667"/>
    <x v="8"/>
    <n v="63782"/>
    <n v="62772.5"/>
    <n v="46952.656795747898"/>
    <n v="42229.234425566297"/>
    <m/>
    <m/>
    <n v="16829.343204252102"/>
    <m/>
    <m/>
    <n v="20543.265574433699"/>
    <m/>
    <m/>
    <m/>
    <m/>
    <n v="0"/>
    <n v="0"/>
    <m/>
    <m/>
    <m/>
    <m/>
    <m/>
    <m/>
    <m/>
    <m/>
    <m/>
    <m/>
    <m/>
    <m/>
  </r>
  <r>
    <x v="6"/>
    <s v="Sowela Technical Community College"/>
    <m/>
    <n v="160579"/>
    <x v="8"/>
    <n v="68860"/>
    <n v="63770.5"/>
    <n v="49743.892617449703"/>
    <n v="44340.7453495831"/>
    <m/>
    <m/>
    <n v="19116.107382550301"/>
    <m/>
    <m/>
    <n v="19429.7546504169"/>
    <m/>
    <m/>
    <m/>
    <m/>
    <n v="0"/>
    <n v="0"/>
    <m/>
    <m/>
    <m/>
    <m/>
    <m/>
    <m/>
    <m/>
    <m/>
    <m/>
    <m/>
    <m/>
    <m/>
  </r>
  <r>
    <x v="6"/>
    <s v="Northwest LA Technical College"/>
    <m/>
    <n v="160010"/>
    <x v="9"/>
    <n v="22823"/>
    <n v="20536.000000000007"/>
    <n v="20858.1059602649"/>
    <n v="19630.6494623656"/>
    <m/>
    <m/>
    <n v="1964.8940397351"/>
    <m/>
    <m/>
    <n v="905.35053763440897"/>
    <m/>
    <m/>
    <m/>
    <m/>
    <n v="0"/>
    <n v="0"/>
    <m/>
    <m/>
    <m/>
    <m/>
    <m/>
    <m/>
    <m/>
    <m/>
    <m/>
    <m/>
    <m/>
    <m/>
  </r>
  <r>
    <x v="6"/>
    <s v="Louisiana State University Health Sciences Center - New Orleans"/>
    <m/>
    <n v="159373"/>
    <x v="10"/>
    <n v="0"/>
    <n v="0"/>
    <m/>
    <m/>
    <m/>
    <m/>
    <m/>
    <m/>
    <m/>
    <m/>
    <m/>
    <m/>
    <m/>
    <m/>
    <n v="0"/>
    <n v="0"/>
    <m/>
    <m/>
    <m/>
    <m/>
    <m/>
    <m/>
    <m/>
    <m/>
    <m/>
    <m/>
    <m/>
    <m/>
  </r>
  <r>
    <x v="6"/>
    <s v="Louisiana State University Health Sciences Center - Shreveport"/>
    <m/>
    <n v="435000"/>
    <x v="10"/>
    <n v="0"/>
    <n v="0"/>
    <m/>
    <m/>
    <m/>
    <m/>
    <m/>
    <m/>
    <m/>
    <m/>
    <m/>
    <m/>
    <m/>
    <m/>
    <n v="0"/>
    <n v="0"/>
    <m/>
    <m/>
    <m/>
    <m/>
    <m/>
    <m/>
    <m/>
    <m/>
    <m/>
    <m/>
    <m/>
    <m/>
  </r>
  <r>
    <x v="6"/>
    <s v="Southern University Law Center"/>
    <m/>
    <n v="440916"/>
    <x v="10"/>
    <n v="0"/>
    <n v="0"/>
    <m/>
    <m/>
    <m/>
    <m/>
    <m/>
    <m/>
    <m/>
    <m/>
    <m/>
    <m/>
    <m/>
    <m/>
    <n v="21220.000000000051"/>
    <n v="0"/>
    <n v="19723.153526971"/>
    <m/>
    <m/>
    <m/>
    <n v="1496.84647302905"/>
    <m/>
    <m/>
    <m/>
    <m/>
    <m/>
    <m/>
    <m/>
  </r>
  <r>
    <x v="7"/>
    <s v="Allegany College of Maryland"/>
    <m/>
    <n v="161688"/>
    <x v="7"/>
    <n v="46937"/>
    <n v="42829"/>
    <n v="19375"/>
    <n v="13441"/>
    <n v="5910"/>
    <n v="5581"/>
    <n v="20874"/>
    <n v="778"/>
    <n v="0"/>
    <n v="23807"/>
    <n v="0"/>
    <n v="0"/>
    <n v="0"/>
    <n v="0"/>
    <n v="0"/>
    <n v="0"/>
    <n v="0"/>
    <m/>
    <n v="0"/>
    <m/>
    <n v="0"/>
    <n v="0"/>
    <n v="0"/>
    <m/>
    <m/>
    <m/>
    <n v="0"/>
    <m/>
  </r>
  <r>
    <x v="7"/>
    <s v="Anne Arundel Community College "/>
    <m/>
    <n v="161767"/>
    <x v="5"/>
    <n v="222168"/>
    <n v="195185"/>
    <n v="55230"/>
    <n v="13729"/>
    <n v="10000"/>
    <n v="5554"/>
    <n v="156529"/>
    <n v="409"/>
    <n v="0"/>
    <n v="175902"/>
    <n v="0"/>
    <n v="0"/>
    <n v="0"/>
    <n v="0"/>
    <n v="0"/>
    <n v="0"/>
    <n v="0"/>
    <m/>
    <n v="0"/>
    <m/>
    <n v="0"/>
    <n v="0"/>
    <n v="0"/>
    <m/>
    <m/>
    <m/>
    <n v="0"/>
    <m/>
  </r>
  <r>
    <x v="7"/>
    <s v="Baltimore City Community College"/>
    <m/>
    <n v="161864"/>
    <x v="6"/>
    <n v="82002"/>
    <n v="69309"/>
    <n v="27075"/>
    <n v="60"/>
    <n v="139"/>
    <n v="1162"/>
    <n v="54788"/>
    <n v="0"/>
    <n v="0"/>
    <n v="68087"/>
    <n v="0"/>
    <n v="0"/>
    <n v="0"/>
    <n v="0"/>
    <n v="0"/>
    <n v="0"/>
    <n v="0"/>
    <m/>
    <n v="0"/>
    <m/>
    <n v="0"/>
    <n v="0"/>
    <n v="0"/>
    <m/>
    <m/>
    <m/>
    <n v="0"/>
    <m/>
  </r>
  <r>
    <x v="7"/>
    <s v="Carroll Community College"/>
    <m/>
    <n v="405872"/>
    <x v="6"/>
    <n v="53193"/>
    <n v="47999"/>
    <n v="19521.5"/>
    <n v="12803"/>
    <n v="1894"/>
    <n v="2242"/>
    <n v="31777.5"/>
    <n v="0"/>
    <n v="0"/>
    <n v="32436"/>
    <n v="0"/>
    <n v="518"/>
    <n v="0"/>
    <n v="0"/>
    <n v="0"/>
    <n v="0"/>
    <n v="0"/>
    <m/>
    <n v="0"/>
    <m/>
    <n v="0"/>
    <n v="0"/>
    <n v="0"/>
    <m/>
    <m/>
    <m/>
    <n v="0"/>
    <m/>
  </r>
  <r>
    <x v="7"/>
    <s v="Cecil Community College "/>
    <m/>
    <n v="162104"/>
    <x v="7"/>
    <n v="37736"/>
    <n v="30196"/>
    <n v="22653"/>
    <n v="5849"/>
    <n v="1342"/>
    <n v="1493"/>
    <n v="13741"/>
    <n v="0"/>
    <n v="0"/>
    <n v="22854"/>
    <n v="0"/>
    <n v="0"/>
    <n v="0"/>
    <n v="0"/>
    <n v="0"/>
    <n v="0"/>
    <n v="0"/>
    <m/>
    <n v="0"/>
    <m/>
    <n v="0"/>
    <n v="0"/>
    <n v="0"/>
    <m/>
    <m/>
    <m/>
    <n v="0"/>
    <m/>
  </r>
  <r>
    <x v="7"/>
    <s v="Chesapeake College "/>
    <m/>
    <n v="162168"/>
    <x v="7"/>
    <n v="33315"/>
    <n v="29578"/>
    <n v="9964"/>
    <n v="5679"/>
    <n v="709"/>
    <n v="564"/>
    <n v="22579"/>
    <n v="63"/>
    <n v="0"/>
    <n v="23335"/>
    <n v="0"/>
    <n v="0"/>
    <n v="0"/>
    <n v="0"/>
    <n v="0"/>
    <n v="0"/>
    <n v="0"/>
    <m/>
    <n v="0"/>
    <m/>
    <n v="0"/>
    <n v="0"/>
    <n v="0"/>
    <m/>
    <m/>
    <m/>
    <n v="0"/>
    <m/>
  </r>
  <r>
    <x v="7"/>
    <s v="College of Southern Maryland"/>
    <m/>
    <n v="162122"/>
    <x v="6"/>
    <n v="124845"/>
    <n v="111653"/>
    <n v="25740"/>
    <n v="7536"/>
    <n v="10527"/>
    <n v="3581"/>
    <n v="62985"/>
    <n v="25593"/>
    <n v="0"/>
    <n v="68019"/>
    <n v="32517"/>
    <n v="0"/>
    <n v="0"/>
    <n v="0"/>
    <n v="0"/>
    <n v="0"/>
    <n v="0"/>
    <m/>
    <n v="0"/>
    <m/>
    <n v="0"/>
    <n v="0"/>
    <n v="0"/>
    <m/>
    <m/>
    <m/>
    <n v="0"/>
    <m/>
  </r>
  <r>
    <x v="7"/>
    <s v="Community College of Baltimore County (all campuses)"/>
    <m/>
    <n v="434672"/>
    <x v="5"/>
    <n v="313344.5"/>
    <n v="292731"/>
    <n v="102323.5"/>
    <n v="69840"/>
    <n v="21649"/>
    <n v="18506"/>
    <n v="189372"/>
    <n v="0"/>
    <n v="0"/>
    <n v="204385"/>
    <n v="0"/>
    <n v="0"/>
    <n v="0"/>
    <n v="0"/>
    <n v="0"/>
    <n v="0"/>
    <n v="0"/>
    <m/>
    <n v="0"/>
    <m/>
    <n v="0"/>
    <n v="0"/>
    <n v="0"/>
    <m/>
    <m/>
    <m/>
    <n v="0"/>
    <m/>
  </r>
  <r>
    <x v="7"/>
    <s v="Frederick Community College "/>
    <m/>
    <n v="162557"/>
    <x v="6"/>
    <n v="102774"/>
    <n v="93866"/>
    <n v="54841"/>
    <n v="8356"/>
    <n v="10433"/>
    <n v="12412"/>
    <n v="37500"/>
    <n v="0"/>
    <n v="0"/>
    <n v="73098"/>
    <n v="0"/>
    <n v="0"/>
    <n v="0"/>
    <n v="0"/>
    <n v="0"/>
    <n v="0"/>
    <n v="0"/>
    <m/>
    <n v="0"/>
    <m/>
    <n v="0"/>
    <n v="0"/>
    <n v="0"/>
    <m/>
    <m/>
    <m/>
    <n v="0"/>
    <m/>
  </r>
  <r>
    <x v="7"/>
    <s v="Garrett College "/>
    <m/>
    <n v="162609"/>
    <x v="7"/>
    <n v="13504.25"/>
    <n v="11524"/>
    <n v="6927.25"/>
    <n v="4354"/>
    <n v="715"/>
    <n v="896"/>
    <n v="5862"/>
    <n v="0"/>
    <n v="0"/>
    <n v="6274"/>
    <n v="0"/>
    <n v="0"/>
    <n v="0"/>
    <n v="0"/>
    <n v="0"/>
    <n v="0"/>
    <n v="0"/>
    <m/>
    <n v="0"/>
    <m/>
    <n v="0"/>
    <n v="0"/>
    <n v="0"/>
    <m/>
    <m/>
    <m/>
    <n v="0"/>
    <m/>
  </r>
  <r>
    <x v="7"/>
    <s v="Hagerstown Community College "/>
    <m/>
    <n v="162690"/>
    <x v="6"/>
    <n v="82570"/>
    <n v="66780"/>
    <n v="26859"/>
    <n v="13088"/>
    <n v="5103"/>
    <n v="4411"/>
    <n v="50608"/>
    <n v="0"/>
    <n v="0"/>
    <n v="49281"/>
    <n v="0"/>
    <n v="0"/>
    <n v="0"/>
    <n v="0"/>
    <n v="0"/>
    <n v="0"/>
    <n v="0"/>
    <m/>
    <n v="0"/>
    <m/>
    <n v="0"/>
    <n v="0"/>
    <n v="0"/>
    <m/>
    <m/>
    <m/>
    <n v="0"/>
    <m/>
  </r>
  <r>
    <x v="7"/>
    <s v="Harford Community College "/>
    <m/>
    <n v="162706"/>
    <x v="6"/>
    <n v="99517.5"/>
    <n v="85545"/>
    <n v="45856.5"/>
    <n v="17098"/>
    <n v="1794"/>
    <n v="1180"/>
    <n v="51867"/>
    <n v="0"/>
    <n v="0"/>
    <n v="67267"/>
    <n v="0"/>
    <n v="0"/>
    <n v="0"/>
    <n v="0"/>
    <n v="0"/>
    <n v="0"/>
    <n v="0"/>
    <m/>
    <n v="0"/>
    <m/>
    <n v="0"/>
    <n v="0"/>
    <n v="0"/>
    <m/>
    <m/>
    <m/>
    <n v="0"/>
    <m/>
  </r>
  <r>
    <x v="7"/>
    <s v="Howard Community College "/>
    <m/>
    <n v="162779"/>
    <x v="5"/>
    <n v="175856"/>
    <n v="158294"/>
    <n v="52364"/>
    <n v="23402"/>
    <n v="27303"/>
    <n v="5313"/>
    <n v="79860"/>
    <n v="16329"/>
    <n v="0"/>
    <n v="95889"/>
    <n v="33690"/>
    <n v="0"/>
    <n v="0"/>
    <n v="0"/>
    <n v="0"/>
    <n v="0"/>
    <n v="0"/>
    <m/>
    <n v="0"/>
    <m/>
    <n v="0"/>
    <n v="0"/>
    <n v="0"/>
    <m/>
    <m/>
    <m/>
    <n v="0"/>
    <m/>
  </r>
  <r>
    <x v="7"/>
    <s v="Montgomery College (all campuses)"/>
    <m/>
    <n v="163426"/>
    <x v="5"/>
    <n v="641620"/>
    <n v="608069"/>
    <n v="183192"/>
    <n v="37444"/>
    <n v="64244"/>
    <n v="26537"/>
    <n v="394184"/>
    <n v="0"/>
    <n v="0"/>
    <n v="544088"/>
    <n v="0"/>
    <n v="0"/>
    <n v="0"/>
    <n v="0"/>
    <n v="0"/>
    <n v="0"/>
    <n v="0"/>
    <m/>
    <n v="0"/>
    <m/>
    <n v="0"/>
    <n v="0"/>
    <n v="0"/>
    <m/>
    <m/>
    <m/>
    <n v="0"/>
    <m/>
  </r>
  <r>
    <x v="7"/>
    <s v="Prince George's Community College "/>
    <m/>
    <n v="163657"/>
    <x v="5"/>
    <n v="404271"/>
    <n v="295177"/>
    <n v="67452"/>
    <n v="105184"/>
    <n v="39966"/>
    <n v="43265"/>
    <n v="296853"/>
    <n v="0"/>
    <n v="0"/>
    <n v="146728"/>
    <n v="0"/>
    <n v="0"/>
    <n v="0"/>
    <n v="0"/>
    <n v="0"/>
    <n v="0"/>
    <n v="0"/>
    <m/>
    <n v="0"/>
    <m/>
    <n v="0"/>
    <n v="0"/>
    <n v="0"/>
    <m/>
    <m/>
    <m/>
    <n v="0"/>
    <m/>
  </r>
  <r>
    <x v="7"/>
    <s v="Wor-Wic Community College "/>
    <m/>
    <n v="164313"/>
    <x v="7"/>
    <n v="47327"/>
    <n v="42861"/>
    <n v="17344.5"/>
    <n v="13993"/>
    <n v="1075"/>
    <n v="2030"/>
    <n v="28907.5"/>
    <n v="0"/>
    <n v="0"/>
    <n v="26838"/>
    <n v="0"/>
    <n v="0"/>
    <n v="0"/>
    <n v="0"/>
    <n v="0"/>
    <n v="0"/>
    <n v="0"/>
    <m/>
    <n v="0"/>
    <m/>
    <n v="0"/>
    <n v="0"/>
    <n v="0"/>
    <m/>
    <m/>
    <m/>
    <n v="0"/>
    <m/>
  </r>
  <r>
    <x v="7"/>
    <s v="Bowie State University "/>
    <m/>
    <n v="162007"/>
    <x v="3"/>
    <n v="146010"/>
    <n v="142846"/>
    <n v="51275"/>
    <n v="34784"/>
    <n v="0"/>
    <n v="381"/>
    <n v="94735"/>
    <n v="0"/>
    <n v="0"/>
    <n v="107681"/>
    <n v="0"/>
    <n v="0"/>
    <n v="0"/>
    <n v="0"/>
    <n v="15128"/>
    <n v="14865"/>
    <n v="5431"/>
    <n v="2682"/>
    <n v="0"/>
    <n v="288"/>
    <n v="9697"/>
    <n v="0"/>
    <n v="0"/>
    <n v="11895"/>
    <n v="0"/>
    <n v="0"/>
    <n v="0"/>
    <n v="0"/>
  </r>
  <r>
    <x v="7"/>
    <s v="Coppin State University"/>
    <m/>
    <n v="162283"/>
    <x v="4"/>
    <n v="56181"/>
    <n v="46557"/>
    <n v="42034"/>
    <n v="32734"/>
    <n v="21"/>
    <n v="0"/>
    <n v="14126"/>
    <n v="0"/>
    <n v="0"/>
    <n v="13823"/>
    <n v="0"/>
    <n v="0"/>
    <n v="0"/>
    <n v="0"/>
    <n v="3776"/>
    <n v="3136"/>
    <n v="2998"/>
    <n v="2151"/>
    <n v="48"/>
    <n v="54"/>
    <n v="730"/>
    <n v="0"/>
    <n v="0"/>
    <n v="931"/>
    <n v="0"/>
    <n v="0"/>
    <n v="0"/>
    <n v="0"/>
  </r>
  <r>
    <x v="7"/>
    <s v="Frostburg State University "/>
    <m/>
    <n v="162584"/>
    <x v="3"/>
    <n v="112015"/>
    <n v="101012"/>
    <n v="83175"/>
    <n v="62262"/>
    <n v="1717"/>
    <n v="1127"/>
    <n v="27123"/>
    <n v="0"/>
    <n v="0"/>
    <n v="37623"/>
    <n v="0"/>
    <n v="0"/>
    <n v="0"/>
    <n v="0"/>
    <n v="13518"/>
    <n v="14633"/>
    <n v="3818"/>
    <n v="3590"/>
    <n v="2593"/>
    <n v="3034"/>
    <n v="7107"/>
    <n v="0"/>
    <n v="0"/>
    <n v="8009"/>
    <n v="0"/>
    <n v="0"/>
    <n v="0"/>
    <n v="0"/>
  </r>
  <r>
    <x v="7"/>
    <s v="Salisbury University "/>
    <m/>
    <n v="163851"/>
    <x v="3"/>
    <n v="219186"/>
    <n v="201880"/>
    <n v="99471"/>
    <n v="84749"/>
    <n v="1325"/>
    <n v="904"/>
    <n v="89901"/>
    <n v="28489"/>
    <n v="0"/>
    <n v="116227"/>
    <n v="0"/>
    <n v="0"/>
    <n v="0"/>
    <n v="0"/>
    <n v="16561"/>
    <n v="15851"/>
    <n v="967"/>
    <n v="945"/>
    <n v="30"/>
    <n v="28"/>
    <n v="12055"/>
    <n v="3509"/>
    <n v="0"/>
    <n v="14878"/>
    <n v="0"/>
    <n v="0"/>
    <n v="0"/>
    <n v="0"/>
  </r>
  <r>
    <x v="7"/>
    <s v="Towson University "/>
    <m/>
    <n v="164076"/>
    <x v="2"/>
    <n v="539315"/>
    <n v="504795"/>
    <n v="285422"/>
    <n v="216408"/>
    <n v="6337"/>
    <n v="5666"/>
    <n v="247556"/>
    <n v="0"/>
    <n v="0"/>
    <n v="282721"/>
    <n v="0"/>
    <n v="0"/>
    <n v="0"/>
    <n v="0"/>
    <n v="44942"/>
    <n v="45479"/>
    <n v="18441.5"/>
    <n v="16224"/>
    <n v="3484"/>
    <n v="2149"/>
    <n v="23016.5"/>
    <n v="0"/>
    <n v="0"/>
    <n v="27106"/>
    <n v="0"/>
    <n v="0"/>
    <n v="0"/>
    <n v="0"/>
  </r>
  <r>
    <x v="7"/>
    <s v="University of Baltimore"/>
    <m/>
    <n v="161873"/>
    <x v="2"/>
    <n v="41180"/>
    <n v="35672"/>
    <n v="24214"/>
    <n v="11562"/>
    <n v="1074"/>
    <n v="216"/>
    <n v="15892"/>
    <n v="0"/>
    <n v="0"/>
    <n v="23894"/>
    <n v="0"/>
    <n v="0"/>
    <n v="0"/>
    <n v="0"/>
    <n v="39419.5"/>
    <n v="37601"/>
    <n v="27661.5"/>
    <n v="23775"/>
    <n v="837"/>
    <n v="405"/>
    <n v="10921"/>
    <n v="0"/>
    <n v="0"/>
    <n v="13421"/>
    <n v="0"/>
    <n v="0"/>
    <n v="0"/>
    <n v="0"/>
  </r>
  <r>
    <x v="7"/>
    <s v="University of Maryland, Baltimore"/>
    <m/>
    <n v="163259"/>
    <x v="10"/>
    <n v="22607"/>
    <n v="23919"/>
    <n v="11143"/>
    <n v="50"/>
    <n v="7447"/>
    <n v="0"/>
    <n v="4017"/>
    <n v="0"/>
    <n v="0"/>
    <n v="23869"/>
    <n v="0"/>
    <n v="0"/>
    <n v="0"/>
    <n v="0"/>
    <n v="77758"/>
    <n v="59670"/>
    <n v="38444"/>
    <n v="1595"/>
    <n v="17219"/>
    <n v="6328"/>
    <n v="10539"/>
    <n v="11556"/>
    <n v="0"/>
    <n v="51747"/>
    <n v="0"/>
    <n v="0"/>
    <n v="0"/>
    <n v="0"/>
  </r>
  <r>
    <x v="7"/>
    <s v="University of Maryland, Baltimore County"/>
    <m/>
    <n v="163268"/>
    <x v="1"/>
    <n v="314224.5"/>
    <n v="303704"/>
    <n v="118868"/>
    <n v="65423"/>
    <n v="3644"/>
    <n v="2352"/>
    <n v="191712.5"/>
    <n v="0"/>
    <n v="0"/>
    <n v="235929"/>
    <n v="0"/>
    <n v="0"/>
    <n v="0"/>
    <n v="0"/>
    <n v="36927"/>
    <n v="38410"/>
    <n v="12198"/>
    <n v="8140"/>
    <n v="1021"/>
    <n v="438"/>
    <n v="23708"/>
    <n v="0"/>
    <n v="0"/>
    <n v="29832"/>
    <n v="0"/>
    <n v="0"/>
    <n v="0"/>
    <n v="0"/>
  </r>
  <r>
    <x v="7"/>
    <s v="University of Maryland, College Park"/>
    <m/>
    <n v="163286"/>
    <x v="0"/>
    <n v="883046"/>
    <n v="882237"/>
    <n v="435071"/>
    <n v="424630"/>
    <n v="8141"/>
    <n v="6132"/>
    <n v="439462"/>
    <n v="372"/>
    <n v="0"/>
    <n v="451102"/>
    <n v="373"/>
    <n v="0"/>
    <n v="0"/>
    <n v="0"/>
    <n v="150008"/>
    <n v="156169"/>
    <n v="76767"/>
    <n v="90906"/>
    <n v="11771"/>
    <n v="11897"/>
    <n v="61318"/>
    <n v="152"/>
    <n v="0"/>
    <n v="53292"/>
    <n v="74"/>
    <n v="0"/>
    <n v="0"/>
    <n v="0"/>
  </r>
  <r>
    <x v="7"/>
    <s v="University of Maryland Eastern Shore "/>
    <m/>
    <n v="163338"/>
    <x v="3"/>
    <n v="61666"/>
    <n v="53460"/>
    <n v="37506"/>
    <n v="39196"/>
    <n v="683.5"/>
    <n v="503"/>
    <n v="23476.5"/>
    <n v="0"/>
    <n v="0"/>
    <n v="13761"/>
    <n v="0"/>
    <n v="0"/>
    <n v="0"/>
    <n v="0"/>
    <n v="15529.5"/>
    <n v="16499"/>
    <n v="11465"/>
    <n v="15077"/>
    <n v="213"/>
    <n v="93"/>
    <n v="3851.5"/>
    <n v="0"/>
    <n v="0"/>
    <n v="1329"/>
    <n v="0"/>
    <n v="0"/>
    <n v="0"/>
    <n v="0"/>
  </r>
  <r>
    <x v="7"/>
    <s v="University of Maryland Global Campus"/>
    <m/>
    <n v="163204"/>
    <x v="10"/>
    <n v="868447"/>
    <n v="856788"/>
    <n v="0"/>
    <n v="0"/>
    <n v="29413"/>
    <n v="18308"/>
    <n v="839034"/>
    <n v="0"/>
    <n v="0"/>
    <n v="838161"/>
    <n v="319"/>
    <n v="0"/>
    <n v="0"/>
    <n v="0"/>
    <n v="189581"/>
    <n v="178211"/>
    <n v="0"/>
    <n v="0"/>
    <n v="3480"/>
    <n v="2391"/>
    <n v="186101"/>
    <n v="0"/>
    <n v="0"/>
    <n v="175310"/>
    <n v="510"/>
    <n v="0"/>
    <n v="0"/>
    <n v="0"/>
  </r>
  <r>
    <x v="7"/>
    <s v="Morgan State University"/>
    <m/>
    <n v="163453"/>
    <x v="1"/>
    <n v="182089"/>
    <n v="183180"/>
    <n v="147893"/>
    <n v="136317"/>
    <n v="63"/>
    <n v="21"/>
    <n v="34133"/>
    <n v="0"/>
    <n v="0"/>
    <n v="46842"/>
    <n v="0"/>
    <n v="0"/>
    <n v="0"/>
    <n v="0"/>
    <n v="25251"/>
    <n v="26278"/>
    <n v="18852"/>
    <n v="17385"/>
    <n v="27"/>
    <n v="27"/>
    <n v="6372"/>
    <n v="0"/>
    <n v="0"/>
    <n v="8866"/>
    <n v="0"/>
    <n v="0"/>
    <n v="0"/>
    <n v="0"/>
  </r>
  <r>
    <x v="7"/>
    <s v="Saint Mary's College of Maryland"/>
    <m/>
    <n v="163912"/>
    <x v="11"/>
    <n v="46411.5"/>
    <n v="47785"/>
    <n v="35938.5"/>
    <n v="34402"/>
    <n v="0"/>
    <n v="0"/>
    <n v="10473"/>
    <n v="0"/>
    <n v="0"/>
    <n v="13383"/>
    <n v="0"/>
    <n v="0"/>
    <n v="0"/>
    <n v="0"/>
    <n v="889"/>
    <n v="985"/>
    <n v="292"/>
    <n v="593"/>
    <n v="0"/>
    <n v="0"/>
    <n v="597"/>
    <n v="0"/>
    <n v="0"/>
    <n v="392"/>
    <n v="0"/>
    <n v="0"/>
    <n v="0"/>
    <n v="0"/>
  </r>
  <r>
    <x v="8"/>
    <s v="Mississippi State University"/>
    <m/>
    <n v="176080"/>
    <x v="0"/>
    <n v="549213"/>
    <n v="533007"/>
    <n v="342357"/>
    <n v="342545"/>
    <n v="5633"/>
    <n v="3839"/>
    <n v="200977"/>
    <n v="246"/>
    <m/>
    <n v="186406"/>
    <n v="217"/>
    <m/>
    <m/>
    <m/>
    <n v="61690"/>
    <n v="71299"/>
    <n v="27861"/>
    <n v="33479"/>
    <n v="685"/>
    <n v="1812"/>
    <n v="32946"/>
    <n v="198"/>
    <m/>
    <n v="35885"/>
    <n v="123"/>
    <m/>
    <m/>
    <m/>
  </r>
  <r>
    <x v="8"/>
    <s v="University of Mississippi"/>
    <m/>
    <n v="176017"/>
    <x v="0"/>
    <n v="501424"/>
    <n v="481115"/>
    <n v="242260"/>
    <n v="228092"/>
    <n v="28569"/>
    <n v="28030"/>
    <n v="220926"/>
    <n v="5319"/>
    <m/>
    <n v="217241"/>
    <n v="3819"/>
    <m/>
    <n v="4350"/>
    <n v="3933"/>
    <n v="72959"/>
    <n v="77715"/>
    <n v="52519"/>
    <n v="52879"/>
    <n v="588"/>
    <n v="578"/>
    <n v="19282"/>
    <n v="516"/>
    <m/>
    <n v="23188"/>
    <n v="974"/>
    <m/>
    <n v="54"/>
    <n v="96"/>
  </r>
  <r>
    <x v="8"/>
    <s v="University of Southern Mississippi"/>
    <m/>
    <n v="176372"/>
    <x v="0"/>
    <n v="330945"/>
    <n v="314003"/>
    <n v="124697"/>
    <n v="109519"/>
    <n v="12144"/>
    <n v="7352"/>
    <n v="190809"/>
    <n v="3295"/>
    <m/>
    <n v="194078"/>
    <n v="3054"/>
    <m/>
    <m/>
    <m/>
    <n v="53687"/>
    <n v="63436"/>
    <n v="18776"/>
    <n v="20181"/>
    <n v="2650"/>
    <n v="3305"/>
    <n v="31858"/>
    <n v="403"/>
    <m/>
    <n v="39774"/>
    <n v="176"/>
    <m/>
    <m/>
    <m/>
  </r>
  <r>
    <x v="8"/>
    <s v="Jackson State University "/>
    <m/>
    <n v="175856"/>
    <x v="1"/>
    <n v="132288.5"/>
    <n v="136390.5"/>
    <n v="47090"/>
    <n v="46195"/>
    <n v="1043"/>
    <n v="27"/>
    <n v="84155.5"/>
    <m/>
    <m/>
    <n v="90168.5"/>
    <m/>
    <m/>
    <m/>
    <m/>
    <n v="34452"/>
    <n v="38579.5"/>
    <n v="7469"/>
    <n v="9033.5"/>
    <n v="2921"/>
    <n v="652"/>
    <n v="24062"/>
    <m/>
    <m/>
    <n v="28894"/>
    <m/>
    <m/>
    <m/>
    <m/>
  </r>
  <r>
    <x v="8"/>
    <s v="Alcorn State University"/>
    <m/>
    <n v="175342"/>
    <x v="3"/>
    <n v="83038"/>
    <n v="75666"/>
    <n v="52245"/>
    <n v="46646"/>
    <n v="2015"/>
    <n v="2122"/>
    <n v="28778"/>
    <m/>
    <m/>
    <n v="26898"/>
    <m/>
    <m/>
    <m/>
    <m/>
    <n v="7702"/>
    <n v="8903"/>
    <n v="1374"/>
    <n v="1860"/>
    <n v="95"/>
    <n v="28"/>
    <n v="6233"/>
    <m/>
    <m/>
    <n v="6982"/>
    <m/>
    <n v="33"/>
    <m/>
    <m/>
  </r>
  <r>
    <x v="8"/>
    <s v="Delta State University"/>
    <m/>
    <n v="175616"/>
    <x v="3"/>
    <n v="64119"/>
    <n v="52789.5"/>
    <n v="37105"/>
    <n v="27342.5"/>
    <n v="4816"/>
    <n v="2841"/>
    <n v="22192"/>
    <m/>
    <n v="6"/>
    <n v="22606"/>
    <m/>
    <m/>
    <m/>
    <m/>
    <n v="16781"/>
    <n v="16277"/>
    <n v="1189"/>
    <n v="639"/>
    <n v="18"/>
    <n v="6"/>
    <n v="15559"/>
    <m/>
    <n v="15"/>
    <n v="15632"/>
    <m/>
    <m/>
    <m/>
    <m/>
  </r>
  <r>
    <x v="8"/>
    <s v="Mississippi University for Women"/>
    <m/>
    <n v="176035"/>
    <x v="3"/>
    <n v="71875"/>
    <n v="64788"/>
    <n v="21683"/>
    <n v="18216"/>
    <m/>
    <m/>
    <n v="50192"/>
    <m/>
    <m/>
    <n v="46572"/>
    <m/>
    <m/>
    <m/>
    <m/>
    <n v="5547"/>
    <n v="6484"/>
    <n v="2043"/>
    <n v="2382"/>
    <m/>
    <m/>
    <n v="3504"/>
    <m/>
    <m/>
    <n v="4102"/>
    <m/>
    <m/>
    <m/>
    <m/>
  </r>
  <r>
    <x v="8"/>
    <s v="Mississippi Valley State University"/>
    <m/>
    <n v="176044"/>
    <x v="3"/>
    <n v="44044"/>
    <n v="39678"/>
    <n v="27314"/>
    <n v="23476"/>
    <n v="168"/>
    <m/>
    <n v="16151"/>
    <m/>
    <m/>
    <n v="15716"/>
    <m/>
    <m/>
    <n v="411"/>
    <n v="486"/>
    <n v="5147"/>
    <n v="5802"/>
    <n v="1692"/>
    <n v="1428"/>
    <n v="0"/>
    <m/>
    <n v="3329"/>
    <m/>
    <m/>
    <n v="4164"/>
    <m/>
    <m/>
    <n v="126"/>
    <n v="210"/>
  </r>
  <r>
    <x v="8"/>
    <s v="Hinds Community College "/>
    <m/>
    <n v="175786"/>
    <x v="5"/>
    <n v="257930"/>
    <n v="279721"/>
    <n v="153531"/>
    <n v="157853"/>
    <n v="21081"/>
    <n v="22737"/>
    <n v="83318"/>
    <m/>
    <m/>
    <n v="99131"/>
    <m/>
    <m/>
    <m/>
    <m/>
    <n v="0"/>
    <n v="0"/>
    <m/>
    <m/>
    <m/>
    <m/>
    <m/>
    <m/>
    <m/>
    <m/>
    <m/>
    <m/>
    <m/>
    <m/>
  </r>
  <r>
    <x v="8"/>
    <s v="Holmes Community College "/>
    <m/>
    <n v="175810"/>
    <x v="5"/>
    <n v="158082"/>
    <n v="148939"/>
    <n v="75470"/>
    <n v="75570"/>
    <n v="3664"/>
    <n v="4642"/>
    <n v="78948"/>
    <m/>
    <m/>
    <n v="68727"/>
    <m/>
    <m/>
    <m/>
    <m/>
    <n v="0"/>
    <n v="0"/>
    <m/>
    <m/>
    <m/>
    <m/>
    <m/>
    <m/>
    <m/>
    <m/>
    <m/>
    <m/>
    <m/>
    <m/>
  </r>
  <r>
    <x v="8"/>
    <s v="Mississippi Gulf Coast Community College "/>
    <m/>
    <n v="176071"/>
    <x v="5"/>
    <n v="185739"/>
    <n v="175419"/>
    <n v="71073"/>
    <n v="69612"/>
    <n v="18932"/>
    <n v="19787"/>
    <n v="95734"/>
    <m/>
    <m/>
    <n v="86020"/>
    <m/>
    <m/>
    <m/>
    <m/>
    <n v="0"/>
    <n v="0"/>
    <m/>
    <m/>
    <m/>
    <m/>
    <m/>
    <m/>
    <m/>
    <m/>
    <m/>
    <m/>
    <m/>
    <m/>
  </r>
  <r>
    <x v="8"/>
    <s v="Northwest Mississippi Community College "/>
    <m/>
    <n v="176178"/>
    <x v="5"/>
    <n v="182898"/>
    <n v="171370"/>
    <n v="111929"/>
    <n v="109734"/>
    <n v="8416"/>
    <n v="10255"/>
    <n v="62553"/>
    <m/>
    <m/>
    <n v="51381"/>
    <m/>
    <m/>
    <m/>
    <m/>
    <n v="0"/>
    <n v="0"/>
    <m/>
    <m/>
    <m/>
    <m/>
    <m/>
    <m/>
    <m/>
    <m/>
    <m/>
    <m/>
    <m/>
    <m/>
  </r>
  <r>
    <x v="8"/>
    <s v="Copiah-Lincoln Community College "/>
    <m/>
    <n v="175573"/>
    <x v="6"/>
    <n v="97644"/>
    <n v="117643"/>
    <n v="61262"/>
    <n v="82967"/>
    <n v="3332"/>
    <n v="3425"/>
    <n v="33050"/>
    <m/>
    <m/>
    <n v="31251"/>
    <m/>
    <m/>
    <m/>
    <m/>
    <n v="0"/>
    <n v="0"/>
    <m/>
    <m/>
    <m/>
    <m/>
    <m/>
    <m/>
    <m/>
    <m/>
    <m/>
    <m/>
    <m/>
    <m/>
  </r>
  <r>
    <x v="8"/>
    <s v="East Central Community College "/>
    <m/>
    <n v="175643"/>
    <x v="6"/>
    <n v="48997"/>
    <n v="54010"/>
    <n v="21114"/>
    <n v="28213"/>
    <n v="4207"/>
    <n v="4249"/>
    <n v="23676"/>
    <m/>
    <m/>
    <n v="21548"/>
    <m/>
    <m/>
    <m/>
    <m/>
    <n v="0"/>
    <n v="0"/>
    <m/>
    <m/>
    <m/>
    <m/>
    <m/>
    <m/>
    <m/>
    <m/>
    <m/>
    <m/>
    <m/>
    <m/>
  </r>
  <r>
    <x v="8"/>
    <s v="East Mississippi Community College "/>
    <m/>
    <n v="175652"/>
    <x v="6"/>
    <n v="61301"/>
    <n v="74197"/>
    <n v="21426"/>
    <n v="22371"/>
    <n v="5692"/>
    <n v="5612"/>
    <n v="34183"/>
    <m/>
    <m/>
    <n v="46214"/>
    <m/>
    <m/>
    <m/>
    <m/>
    <n v="0"/>
    <n v="0"/>
    <m/>
    <m/>
    <m/>
    <m/>
    <m/>
    <m/>
    <m/>
    <m/>
    <m/>
    <m/>
    <m/>
    <m/>
  </r>
  <r>
    <x v="8"/>
    <s v="Itawamba Community College "/>
    <m/>
    <n v="175829"/>
    <x v="6"/>
    <n v="114010"/>
    <n v="106442"/>
    <n v="53297"/>
    <n v="52295"/>
    <n v="4626"/>
    <n v="4498"/>
    <n v="56087"/>
    <m/>
    <m/>
    <n v="49649"/>
    <m/>
    <m/>
    <m/>
    <m/>
    <n v="0"/>
    <n v="0"/>
    <m/>
    <m/>
    <m/>
    <m/>
    <m/>
    <m/>
    <m/>
    <m/>
    <m/>
    <m/>
    <m/>
    <m/>
  </r>
  <r>
    <x v="8"/>
    <s v="Jones College"/>
    <m/>
    <n v="175883"/>
    <x v="6"/>
    <n v="115336"/>
    <n v="108560"/>
    <n v="85662"/>
    <n v="81507"/>
    <n v="0"/>
    <n v="0"/>
    <n v="29674"/>
    <m/>
    <m/>
    <n v="27053"/>
    <m/>
    <m/>
    <m/>
    <m/>
    <n v="0"/>
    <n v="0"/>
    <m/>
    <m/>
    <m/>
    <m/>
    <m/>
    <m/>
    <m/>
    <m/>
    <m/>
    <m/>
    <m/>
    <m/>
  </r>
  <r>
    <x v="8"/>
    <s v="Meridian Community College "/>
    <m/>
    <n v="175935"/>
    <x v="6"/>
    <n v="80786.5"/>
    <n v="64431.5"/>
    <n v="50133.5"/>
    <n v="36946.5"/>
    <n v="1141"/>
    <n v="1212"/>
    <n v="29512"/>
    <m/>
    <m/>
    <n v="26273"/>
    <m/>
    <m/>
    <m/>
    <m/>
    <n v="0"/>
    <n v="0"/>
    <m/>
    <m/>
    <m/>
    <m/>
    <m/>
    <m/>
    <m/>
    <m/>
    <m/>
    <m/>
    <m/>
    <m/>
  </r>
  <r>
    <x v="8"/>
    <s v="Mississippi Delta Community College "/>
    <m/>
    <n v="176008"/>
    <x v="6"/>
    <n v="62243"/>
    <n v="59140"/>
    <n v="42941"/>
    <n v="38301"/>
    <n v="3772"/>
    <n v="3258"/>
    <n v="15530"/>
    <m/>
    <m/>
    <n v="17581"/>
    <m/>
    <m/>
    <m/>
    <m/>
    <n v="0"/>
    <n v="0"/>
    <m/>
    <m/>
    <m/>
    <m/>
    <m/>
    <m/>
    <m/>
    <m/>
    <m/>
    <m/>
    <m/>
    <m/>
  </r>
  <r>
    <x v="8"/>
    <s v="Northeast Mississippi Community College "/>
    <m/>
    <n v="176169"/>
    <x v="6"/>
    <n v="86972"/>
    <n v="106893"/>
    <n v="57379"/>
    <n v="59308"/>
    <n v="0"/>
    <n v="0"/>
    <n v="29593"/>
    <m/>
    <m/>
    <n v="47585"/>
    <m/>
    <m/>
    <m/>
    <m/>
    <n v="0"/>
    <n v="0"/>
    <m/>
    <m/>
    <m/>
    <m/>
    <m/>
    <m/>
    <m/>
    <m/>
    <m/>
    <m/>
    <m/>
    <m/>
  </r>
  <r>
    <x v="8"/>
    <s v="Pearl River Community College "/>
    <m/>
    <n v="176239"/>
    <x v="6"/>
    <n v="143828"/>
    <n v="143418"/>
    <n v="90823"/>
    <n v="85532"/>
    <n v="3240"/>
    <n v="3366"/>
    <n v="49765"/>
    <m/>
    <m/>
    <n v="54520"/>
    <m/>
    <m/>
    <m/>
    <m/>
    <n v="0"/>
    <n v="0"/>
    <m/>
    <m/>
    <m/>
    <m/>
    <m/>
    <m/>
    <m/>
    <m/>
    <m/>
    <m/>
    <m/>
    <m/>
  </r>
  <r>
    <x v="8"/>
    <s v="Coahoma Community College "/>
    <m/>
    <n v="175519"/>
    <x v="7"/>
    <n v="46412"/>
    <n v="46739"/>
    <n v="27162"/>
    <n v="22232"/>
    <n v="129"/>
    <n v="148"/>
    <n v="19121"/>
    <m/>
    <m/>
    <n v="24359"/>
    <m/>
    <m/>
    <m/>
    <m/>
    <n v="0"/>
    <n v="0"/>
    <m/>
    <m/>
    <m/>
    <m/>
    <m/>
    <m/>
    <m/>
    <m/>
    <m/>
    <m/>
    <m/>
    <m/>
  </r>
  <r>
    <x v="8"/>
    <s v="Southwest Mississippi Community College"/>
    <m/>
    <n v="176354"/>
    <x v="7"/>
    <n v="57297"/>
    <n v="53251"/>
    <n v="36052"/>
    <n v="35357"/>
    <n v="0"/>
    <n v="0"/>
    <n v="21245"/>
    <m/>
    <m/>
    <n v="17894"/>
    <m/>
    <m/>
    <m/>
    <m/>
    <n v="0"/>
    <n v="0"/>
    <m/>
    <m/>
    <m/>
    <m/>
    <m/>
    <m/>
    <m/>
    <m/>
    <m/>
    <m/>
    <m/>
    <m/>
  </r>
  <r>
    <x v="9"/>
    <s v="North Carolina State University "/>
    <m/>
    <n v="199193"/>
    <x v="0"/>
    <n v="748338"/>
    <n v="742183"/>
    <n v="376034"/>
    <n v="330884"/>
    <n v="5684"/>
    <n v="5056"/>
    <n v="366620"/>
    <n v="0"/>
    <n v="0"/>
    <n v="406243"/>
    <n v="0"/>
    <n v="0"/>
    <m/>
    <m/>
    <n v="169350"/>
    <n v="168725.5"/>
    <n v="96770"/>
    <n v="92248"/>
    <n v="3286"/>
    <n v="2550"/>
    <n v="69294"/>
    <n v="0"/>
    <n v="0"/>
    <n v="73927.5"/>
    <n v="0"/>
    <n v="0"/>
    <m/>
    <m/>
  </r>
  <r>
    <x v="9"/>
    <s v="University of North Carolina at Chapel Hill "/>
    <m/>
    <n v="199120"/>
    <x v="0"/>
    <n v="564392"/>
    <n v="559222.5"/>
    <n v="246504"/>
    <n v="276928"/>
    <n v="1640"/>
    <n v="3661"/>
    <n v="316248"/>
    <n v="0"/>
    <n v="0"/>
    <n v="278633.5"/>
    <n v="0"/>
    <n v="0"/>
    <m/>
    <m/>
    <n v="188469"/>
    <n v="212897"/>
    <n v="100228"/>
    <n v="102031.75"/>
    <n v="1170"/>
    <n v="803.5"/>
    <n v="87026"/>
    <n v="45"/>
    <n v="0"/>
    <n v="110061.75"/>
    <n v="0"/>
    <n v="0"/>
    <m/>
    <m/>
  </r>
  <r>
    <x v="9"/>
    <s v="University of North Carolina at Charlotte"/>
    <m/>
    <n v="199139"/>
    <x v="0"/>
    <n v="690594"/>
    <n v="678521"/>
    <n v="337138"/>
    <n v="234843"/>
    <m/>
    <n v="0"/>
    <n v="353388"/>
    <n v="68"/>
    <n v="0"/>
    <n v="443660"/>
    <n v="18"/>
    <n v="0"/>
    <m/>
    <m/>
    <n v="93922"/>
    <n v="100373"/>
    <n v="43605"/>
    <n v="36037"/>
    <n v="0"/>
    <n v="0"/>
    <n v="50299"/>
    <n v="18"/>
    <n v="0"/>
    <n v="64321"/>
    <n v="15"/>
    <n v="0"/>
    <m/>
    <m/>
  </r>
  <r>
    <x v="9"/>
    <s v="University of North Carolina at Greensboro"/>
    <m/>
    <n v="199148"/>
    <x v="0"/>
    <n v="451281"/>
    <n v="425217"/>
    <n v="219440"/>
    <n v="154264"/>
    <n v="1265"/>
    <n v="995"/>
    <n v="230576"/>
    <n v="0"/>
    <n v="0"/>
    <n v="269958"/>
    <n v="0"/>
    <n v="0"/>
    <m/>
    <m/>
    <n v="61324"/>
    <n v="63859"/>
    <n v="26409"/>
    <n v="24560.5"/>
    <n v="3398"/>
    <n v="3337.5"/>
    <n v="31517"/>
    <n v="0"/>
    <n v="0"/>
    <n v="35961"/>
    <n v="0"/>
    <n v="0"/>
    <m/>
    <m/>
  </r>
  <r>
    <x v="9"/>
    <s v="East Carolina University "/>
    <m/>
    <n v="198464"/>
    <x v="1"/>
    <n v="633192"/>
    <n v="613685"/>
    <n v="307281"/>
    <n v="209845"/>
    <n v="2174"/>
    <n v="1471"/>
    <n v="323262"/>
    <n v="475"/>
    <n v="0"/>
    <n v="402010"/>
    <n v="359"/>
    <n v="0"/>
    <m/>
    <m/>
    <n v="89463"/>
    <n v="90058"/>
    <n v="23925"/>
    <n v="23252"/>
    <n v="684"/>
    <n v="1011"/>
    <n v="64796"/>
    <n v="58"/>
    <n v="0"/>
    <n v="65728"/>
    <n v="67"/>
    <n v="0"/>
    <m/>
    <m/>
  </r>
  <r>
    <x v="9"/>
    <s v="Appalachian State University "/>
    <m/>
    <n v="197869"/>
    <x v="2"/>
    <n v="538447"/>
    <n v="544613"/>
    <n v="242152"/>
    <n v="233009"/>
    <n v="2095"/>
    <n v="2420"/>
    <n v="294200"/>
    <n v="0"/>
    <n v="0"/>
    <n v="309184"/>
    <n v="0"/>
    <n v="0"/>
    <m/>
    <m/>
    <n v="35903"/>
    <n v="38856"/>
    <n v="12438"/>
    <n v="12490"/>
    <n v="602"/>
    <n v="88"/>
    <n v="22863"/>
    <n v="0"/>
    <n v="0"/>
    <n v="26278"/>
    <n v="0"/>
    <n v="0"/>
    <m/>
    <m/>
  </r>
  <r>
    <x v="9"/>
    <s v="North Carolina A&amp;T State University"/>
    <s v="Reclassifed: Met the criteria for Four-Year 2 in 2019-20 and 2020-21, and 2021-22"/>
    <n v="199102"/>
    <x v="1"/>
    <n v="318801"/>
    <n v="330796"/>
    <n v="170801"/>
    <n v="193396"/>
    <n v="106"/>
    <n v="56"/>
    <n v="147894"/>
    <n v="0"/>
    <n v="0"/>
    <n v="137344"/>
    <n v="0"/>
    <n v="0"/>
    <m/>
    <m/>
    <n v="26078"/>
    <n v="28045"/>
    <n v="11425"/>
    <n v="13133"/>
    <n v="384"/>
    <n v="1844"/>
    <n v="14269"/>
    <n v="0"/>
    <n v="0"/>
    <n v="13068"/>
    <n v="0"/>
    <n v="0"/>
    <m/>
    <m/>
  </r>
  <r>
    <x v="9"/>
    <s v="North Carolina Central University "/>
    <m/>
    <n v="199157"/>
    <x v="2"/>
    <n v="167214"/>
    <n v="161346"/>
    <n v="72208"/>
    <n v="66777.5"/>
    <n v="41557"/>
    <n v="38995.5"/>
    <n v="53449"/>
    <n v="0"/>
    <n v="0"/>
    <n v="55573"/>
    <n v="0"/>
    <n v="0"/>
    <m/>
    <m/>
    <n v="40293"/>
    <n v="42450"/>
    <n v="13806"/>
    <n v="13993.5"/>
    <n v="9167"/>
    <n v="12163.5"/>
    <n v="17320"/>
    <n v="0"/>
    <n v="0"/>
    <n v="16293"/>
    <n v="0"/>
    <n v="0"/>
    <m/>
    <m/>
  </r>
  <r>
    <x v="9"/>
    <s v="University of North Carolina at Wilmington"/>
    <m/>
    <n v="199218"/>
    <x v="2"/>
    <n v="420032"/>
    <n v="403292.5"/>
    <n v="159299"/>
    <n v="138266"/>
    <n v="4960"/>
    <n v="5127.5"/>
    <n v="255620"/>
    <n v="153"/>
    <n v="0"/>
    <n v="259368.5"/>
    <n v="530.5"/>
    <n v="0"/>
    <m/>
    <m/>
    <n v="53183"/>
    <n v="61190.5"/>
    <n v="9580"/>
    <n v="9878"/>
    <n v="944"/>
    <n v="1057"/>
    <n v="42659"/>
    <n v="0"/>
    <n v="0"/>
    <n v="49621.5"/>
    <n v="634"/>
    <n v="0"/>
    <m/>
    <m/>
  </r>
  <r>
    <x v="9"/>
    <s v="Western Carolina University "/>
    <m/>
    <n v="200004"/>
    <x v="2"/>
    <n v="289054"/>
    <n v="277790"/>
    <n v="136957"/>
    <n v="153637"/>
    <n v="978"/>
    <n v="1261"/>
    <n v="151113"/>
    <n v="6"/>
    <n v="0"/>
    <n v="122892"/>
    <n v="0"/>
    <n v="0"/>
    <m/>
    <m/>
    <n v="33839"/>
    <n v="35022"/>
    <n v="7432"/>
    <n v="9895"/>
    <n v="4898"/>
    <n v="5770"/>
    <n v="21509"/>
    <n v="0"/>
    <n v="0"/>
    <n v="19357"/>
    <n v="0"/>
    <n v="0"/>
    <m/>
    <m/>
  </r>
  <r>
    <x v="9"/>
    <s v="Fayetteville State University "/>
    <m/>
    <n v="198543"/>
    <x v="3"/>
    <n v="150073"/>
    <n v="144424"/>
    <n v="55535"/>
    <n v="32900"/>
    <n v="220"/>
    <n v="180"/>
    <n v="94288"/>
    <n v="30"/>
    <n v="0"/>
    <n v="99871"/>
    <n v="11473"/>
    <n v="0"/>
    <m/>
    <m/>
    <n v="17585"/>
    <n v="19259"/>
    <n v="3850"/>
    <n v="3857"/>
    <n v="0"/>
    <n v="0"/>
    <n v="13732"/>
    <n v="3"/>
    <n v="0"/>
    <n v="14657"/>
    <n v="745"/>
    <n v="0"/>
    <m/>
    <m/>
  </r>
  <r>
    <x v="9"/>
    <s v="University of North Carolina at Pembroke"/>
    <m/>
    <n v="199281"/>
    <x v="4"/>
    <n v="173315"/>
    <n v="169562"/>
    <n v="80625"/>
    <n v="73821"/>
    <n v="849"/>
    <n v="978"/>
    <n v="91819"/>
    <n v="22"/>
    <n v="0"/>
    <n v="94726"/>
    <n v="37"/>
    <n v="0"/>
    <m/>
    <m/>
    <n v="29760"/>
    <n v="36895"/>
    <n v="2882"/>
    <n v="3833"/>
    <n v="504"/>
    <n v="492"/>
    <n v="26371"/>
    <n v="3"/>
    <n v="0"/>
    <n v="32540"/>
    <n v="30"/>
    <n v="0"/>
    <m/>
    <m/>
  </r>
  <r>
    <x v="9"/>
    <s v="Winston-Salem State University "/>
    <m/>
    <n v="199999"/>
    <x v="4"/>
    <n v="134521"/>
    <n v="135148.5"/>
    <n v="64587"/>
    <n v="25227"/>
    <n v="115"/>
    <n v="70"/>
    <n v="63898"/>
    <n v="0"/>
    <n v="5921"/>
    <n v="106668.5"/>
    <n v="0"/>
    <n v="3183"/>
    <m/>
    <m/>
    <n v="10880"/>
    <n v="11786"/>
    <n v="3757"/>
    <n v="2191"/>
    <n v="168"/>
    <n v="56"/>
    <n v="5907"/>
    <n v="0"/>
    <n v="1048"/>
    <n v="8227"/>
    <n v="0"/>
    <n v="1312"/>
    <m/>
    <m/>
  </r>
  <r>
    <x v="9"/>
    <s v="Elizabeth City State University "/>
    <m/>
    <n v="198507"/>
    <x v="11"/>
    <n v="50671"/>
    <n v="54348"/>
    <n v="28209"/>
    <n v="27012"/>
    <n v="196"/>
    <n v="252"/>
    <n v="22152"/>
    <n v="114"/>
    <n v="0"/>
    <n v="27039"/>
    <n v="45"/>
    <n v="0"/>
    <m/>
    <m/>
    <n v="1578"/>
    <n v="1654"/>
    <n v="470"/>
    <n v="356"/>
    <n v="0"/>
    <n v="0"/>
    <n v="1108"/>
    <n v="0"/>
    <n v="0"/>
    <n v="1298"/>
    <n v="0"/>
    <n v="0"/>
    <m/>
    <m/>
  </r>
  <r>
    <x v="9"/>
    <s v="University of North Carolina at Asheville"/>
    <m/>
    <n v="199111"/>
    <x v="11"/>
    <n v="96139"/>
    <n v="90962"/>
    <n v="66128"/>
    <n v="56446"/>
    <n v="343"/>
    <n v="64"/>
    <n v="27613"/>
    <n v="2055"/>
    <n v="0"/>
    <n v="32795"/>
    <n v="1657"/>
    <n v="0"/>
    <m/>
    <m/>
    <n v="81"/>
    <n v="3"/>
    <n v="69"/>
    <n v="3"/>
    <n v="0"/>
    <n v="0"/>
    <n v="12"/>
    <n v="0"/>
    <n v="0"/>
    <n v="0"/>
    <n v="0"/>
    <n v="0"/>
    <m/>
    <m/>
  </r>
  <r>
    <x v="9"/>
    <s v="University of North Carolina School of the Arts"/>
    <m/>
    <n v="199184"/>
    <x v="10"/>
    <n v="26718"/>
    <n v="26646"/>
    <n v="21601"/>
    <n v="21516"/>
    <m/>
    <n v="0"/>
    <n v="5117"/>
    <n v="0"/>
    <n v="0"/>
    <n v="5130"/>
    <n v="0"/>
    <n v="0"/>
    <m/>
    <m/>
    <n v="3672"/>
    <n v="4020"/>
    <n v="3222"/>
    <n v="3549"/>
    <n v="0"/>
    <n v="0"/>
    <n v="450"/>
    <n v="0"/>
    <n v="0"/>
    <n v="471"/>
    <n v="0"/>
    <n v="0"/>
    <m/>
    <m/>
  </r>
  <r>
    <x v="9"/>
    <s v="Asheville-Buncombe Technical Community College"/>
    <s v="Met the criteria for Two-Year 2 in  2021-22"/>
    <n v="197887"/>
    <x v="5"/>
    <n v="125776"/>
    <n v="115929"/>
    <n v="60878"/>
    <n v="34281"/>
    <n v="8244"/>
    <n v="8406"/>
    <n v="56654"/>
    <n v="0"/>
    <n v="0"/>
    <n v="73242"/>
    <m/>
    <m/>
    <m/>
    <m/>
    <n v="0"/>
    <n v="0"/>
    <m/>
    <m/>
    <m/>
    <m/>
    <m/>
    <m/>
    <m/>
    <m/>
    <m/>
    <m/>
    <m/>
    <m/>
  </r>
  <r>
    <x v="9"/>
    <s v="Cape Fear Community College"/>
    <m/>
    <n v="198154"/>
    <x v="5"/>
    <n v="189160.5"/>
    <n v="186686.5"/>
    <n v="76476.5"/>
    <n v="65194.5"/>
    <n v="2735"/>
    <n v="296"/>
    <n v="109949"/>
    <n v="0"/>
    <n v="0"/>
    <n v="121196"/>
    <m/>
    <m/>
    <m/>
    <m/>
    <n v="0"/>
    <n v="0"/>
    <m/>
    <m/>
    <m/>
    <m/>
    <m/>
    <m/>
    <m/>
    <m/>
    <m/>
    <m/>
    <m/>
    <m/>
  </r>
  <r>
    <x v="9"/>
    <s v="Central Piedmont Community College "/>
    <m/>
    <n v="198260"/>
    <x v="5"/>
    <n v="383116.5"/>
    <n v="368097.5"/>
    <n v="122853.5"/>
    <n v="49126"/>
    <n v="3393"/>
    <n v="5676.5"/>
    <n v="256870"/>
    <n v="0"/>
    <n v="0"/>
    <n v="313295"/>
    <m/>
    <m/>
    <m/>
    <m/>
    <n v="0"/>
    <n v="0"/>
    <m/>
    <m/>
    <m/>
    <m/>
    <m/>
    <m/>
    <m/>
    <m/>
    <m/>
    <m/>
    <m/>
    <m/>
  </r>
  <r>
    <x v="9"/>
    <s v="Fayetteville Technical Community College"/>
    <m/>
    <n v="198534"/>
    <x v="5"/>
    <n v="239260"/>
    <n v="213334"/>
    <n v="69327"/>
    <n v="50501"/>
    <n v="0"/>
    <n v="1603"/>
    <n v="169933"/>
    <n v="0"/>
    <n v="0"/>
    <n v="161230"/>
    <m/>
    <m/>
    <m/>
    <m/>
    <n v="0"/>
    <n v="0"/>
    <m/>
    <m/>
    <m/>
    <m/>
    <m/>
    <m/>
    <m/>
    <m/>
    <m/>
    <m/>
    <m/>
    <m/>
  </r>
  <r>
    <x v="9"/>
    <s v="Forsyth Technical Community College"/>
    <m/>
    <n v="198552"/>
    <x v="5"/>
    <n v="163349"/>
    <n v="155762"/>
    <n v="59150"/>
    <n v="37564"/>
    <n v="4307"/>
    <n v="6011"/>
    <n v="99892"/>
    <n v="0"/>
    <n v="0"/>
    <n v="112187"/>
    <m/>
    <m/>
    <m/>
    <m/>
    <n v="0"/>
    <n v="0"/>
    <m/>
    <m/>
    <m/>
    <m/>
    <m/>
    <m/>
    <m/>
    <m/>
    <m/>
    <m/>
    <m/>
    <m/>
  </r>
  <r>
    <x v="9"/>
    <s v="Guilford Technical Community College"/>
    <m/>
    <n v="198622"/>
    <x v="5"/>
    <n v="227481.5"/>
    <n v="206540.5"/>
    <n v="88450.5"/>
    <n v="81244.399999999994"/>
    <n v="2988"/>
    <n v="3464.1"/>
    <n v="136043"/>
    <n v="0"/>
    <n v="0"/>
    <n v="121832"/>
    <m/>
    <m/>
    <m/>
    <m/>
    <n v="0"/>
    <n v="0"/>
    <m/>
    <m/>
    <m/>
    <m/>
    <m/>
    <m/>
    <m/>
    <m/>
    <m/>
    <m/>
    <m/>
    <m/>
  </r>
  <r>
    <x v="9"/>
    <s v="Pitt Community College"/>
    <m/>
    <n v="199333"/>
    <x v="5"/>
    <n v="171383"/>
    <n v="150564"/>
    <n v="48719"/>
    <n v="22817"/>
    <n v="7560"/>
    <n v="9039"/>
    <n v="115104"/>
    <n v="0"/>
    <n v="0"/>
    <n v="118708"/>
    <m/>
    <m/>
    <m/>
    <m/>
    <n v="0"/>
    <n v="0"/>
    <m/>
    <m/>
    <m/>
    <m/>
    <m/>
    <m/>
    <m/>
    <m/>
    <m/>
    <m/>
    <m/>
    <m/>
  </r>
  <r>
    <x v="9"/>
    <s v="Rowan-Cabarrus Community College"/>
    <s v="Met the criteria for Two-Year 2 in  2021-22"/>
    <n v="199494"/>
    <x v="5"/>
    <n v="130203"/>
    <n v="122169"/>
    <n v="44917"/>
    <n v="13540"/>
    <n v="9881"/>
    <n v="6592"/>
    <n v="75405"/>
    <n v="0"/>
    <n v="0"/>
    <n v="102037"/>
    <m/>
    <m/>
    <m/>
    <m/>
    <n v="0"/>
    <n v="0"/>
    <m/>
    <m/>
    <m/>
    <m/>
    <m/>
    <m/>
    <m/>
    <m/>
    <m/>
    <m/>
    <m/>
    <m/>
  </r>
  <r>
    <x v="9"/>
    <s v="Wake Technical Community College"/>
    <m/>
    <n v="199856"/>
    <x v="5"/>
    <n v="460892"/>
    <n v="444725"/>
    <n v="124907"/>
    <n v="74452"/>
    <n v="3735"/>
    <n v="5185"/>
    <n v="332250"/>
    <n v="0"/>
    <n v="0"/>
    <n v="365088"/>
    <m/>
    <m/>
    <m/>
    <m/>
    <n v="0"/>
    <n v="0"/>
    <m/>
    <m/>
    <m/>
    <m/>
    <m/>
    <m/>
    <m/>
    <m/>
    <m/>
    <m/>
    <m/>
    <m/>
  </r>
  <r>
    <x v="9"/>
    <s v="Alamance Community College"/>
    <m/>
    <n v="199786"/>
    <x v="6"/>
    <n v="86423.5"/>
    <n v="80618"/>
    <n v="23367.5"/>
    <n v="8893"/>
    <n v="2919"/>
    <n v="2031"/>
    <n v="60137"/>
    <n v="0"/>
    <n v="0"/>
    <n v="69694"/>
    <m/>
    <m/>
    <m/>
    <m/>
    <n v="0"/>
    <n v="0"/>
    <m/>
    <m/>
    <m/>
    <m/>
    <m/>
    <m/>
    <m/>
    <m/>
    <m/>
    <m/>
    <m/>
    <m/>
  </r>
  <r>
    <x v="9"/>
    <s v="Caldwell Community College &amp; Technical Institute"/>
    <m/>
    <n v="198118"/>
    <x v="6"/>
    <n v="77344"/>
    <n v="71999"/>
    <n v="20152"/>
    <n v="18216"/>
    <n v="3829"/>
    <n v="3650"/>
    <n v="53363"/>
    <n v="0"/>
    <n v="0"/>
    <n v="50133"/>
    <m/>
    <m/>
    <m/>
    <m/>
    <n v="0"/>
    <n v="0"/>
    <m/>
    <m/>
    <m/>
    <m/>
    <m/>
    <m/>
    <m/>
    <m/>
    <m/>
    <m/>
    <m/>
    <m/>
  </r>
  <r>
    <x v="9"/>
    <s v="Catawba Valley Community College"/>
    <m/>
    <n v="198233"/>
    <x v="6"/>
    <n v="94630"/>
    <n v="88148"/>
    <n v="27914"/>
    <n v="25223"/>
    <n v="12580"/>
    <n v="5475"/>
    <n v="54136"/>
    <n v="0"/>
    <n v="0"/>
    <n v="57450"/>
    <m/>
    <m/>
    <m/>
    <m/>
    <n v="0"/>
    <n v="0"/>
    <m/>
    <m/>
    <m/>
    <m/>
    <m/>
    <m/>
    <m/>
    <m/>
    <m/>
    <m/>
    <m/>
    <m/>
  </r>
  <r>
    <x v="9"/>
    <s v="Central Carolina Commuity College"/>
    <m/>
    <n v="198251"/>
    <x v="6"/>
    <n v="109789"/>
    <n v="99413"/>
    <n v="27689"/>
    <n v="22556"/>
    <n v="9838"/>
    <n v="4306"/>
    <n v="72262"/>
    <n v="0"/>
    <n v="0"/>
    <n v="72551"/>
    <m/>
    <m/>
    <m/>
    <m/>
    <n v="0"/>
    <n v="0"/>
    <m/>
    <m/>
    <m/>
    <m/>
    <m/>
    <m/>
    <m/>
    <m/>
    <m/>
    <m/>
    <m/>
    <m/>
  </r>
  <r>
    <x v="9"/>
    <s v="Cleveland Community College"/>
    <m/>
    <n v="198321"/>
    <x v="6"/>
    <n v="53586"/>
    <n v="51497"/>
    <n v="17098"/>
    <n v="14349"/>
    <n v="6795"/>
    <n v="6797"/>
    <n v="29693"/>
    <n v="0"/>
    <n v="0"/>
    <n v="30351"/>
    <m/>
    <m/>
    <m/>
    <m/>
    <n v="0"/>
    <n v="0"/>
    <m/>
    <m/>
    <m/>
    <m/>
    <m/>
    <m/>
    <m/>
    <m/>
    <m/>
    <m/>
    <m/>
    <m/>
  </r>
  <r>
    <x v="9"/>
    <s v="Coastal Carolina Community College "/>
    <m/>
    <n v="198330"/>
    <x v="6"/>
    <n v="87823"/>
    <n v="83642"/>
    <n v="39011"/>
    <n v="26806"/>
    <n v="4424"/>
    <n v="4471"/>
    <n v="44388"/>
    <n v="0"/>
    <n v="0"/>
    <n v="52365"/>
    <m/>
    <m/>
    <m/>
    <m/>
    <n v="0"/>
    <n v="0"/>
    <m/>
    <m/>
    <m/>
    <m/>
    <m/>
    <m/>
    <m/>
    <m/>
    <m/>
    <m/>
    <m/>
    <m/>
  </r>
  <r>
    <x v="9"/>
    <s v="Craven Community College "/>
    <m/>
    <n v="198367"/>
    <x v="6"/>
    <n v="58358"/>
    <n v="53435"/>
    <n v="12130"/>
    <n v="20910"/>
    <n v="12873"/>
    <n v="996"/>
    <n v="33355"/>
    <n v="0"/>
    <n v="0"/>
    <n v="31529"/>
    <m/>
    <m/>
    <m/>
    <m/>
    <n v="0"/>
    <n v="0"/>
    <m/>
    <m/>
    <m/>
    <m/>
    <m/>
    <m/>
    <m/>
    <m/>
    <m/>
    <m/>
    <m/>
    <m/>
  </r>
  <r>
    <x v="9"/>
    <s v="Davidson-Davie Community College"/>
    <s v="Met the criteria for Two-Year 1 in  2021-22"/>
    <n v="198376"/>
    <x v="6"/>
    <n v="76752"/>
    <n v="74927"/>
    <n v="33609"/>
    <n v="32556"/>
    <n v="2996"/>
    <n v="2614"/>
    <n v="40147"/>
    <n v="0"/>
    <n v="0"/>
    <n v="39757"/>
    <m/>
    <m/>
    <m/>
    <m/>
    <n v="0"/>
    <n v="0"/>
    <m/>
    <m/>
    <m/>
    <m/>
    <m/>
    <m/>
    <m/>
    <m/>
    <m/>
    <m/>
    <m/>
    <m/>
  </r>
  <r>
    <x v="9"/>
    <s v="Durham Technical Community College"/>
    <m/>
    <n v="198455"/>
    <x v="6"/>
    <n v="106093"/>
    <n v="96195"/>
    <n v="30662"/>
    <n v="12681"/>
    <n v="5173"/>
    <n v="6550"/>
    <n v="70258"/>
    <n v="0"/>
    <n v="0"/>
    <n v="76964"/>
    <m/>
    <m/>
    <m/>
    <m/>
    <n v="0"/>
    <n v="0"/>
    <m/>
    <m/>
    <m/>
    <m/>
    <m/>
    <m/>
    <m/>
    <m/>
    <m/>
    <m/>
    <m/>
    <m/>
  </r>
  <r>
    <x v="9"/>
    <s v="Gaston College "/>
    <m/>
    <n v="198570"/>
    <x v="6"/>
    <n v="106598"/>
    <n v="100664"/>
    <n v="29828"/>
    <n v="24090"/>
    <n v="804"/>
    <n v="1481"/>
    <n v="75966"/>
    <n v="0"/>
    <n v="0"/>
    <n v="75093"/>
    <m/>
    <m/>
    <m/>
    <m/>
    <n v="0"/>
    <n v="0"/>
    <m/>
    <m/>
    <m/>
    <m/>
    <m/>
    <m/>
    <m/>
    <m/>
    <m/>
    <m/>
    <m/>
    <m/>
  </r>
  <r>
    <x v="9"/>
    <s v="Johnston Community College"/>
    <m/>
    <n v="198774"/>
    <x v="6"/>
    <n v="86085"/>
    <n v="80717"/>
    <n v="27100"/>
    <n v="17821"/>
    <n v="3763"/>
    <n v="7173"/>
    <n v="55222"/>
    <n v="0"/>
    <n v="0"/>
    <n v="55723"/>
    <m/>
    <m/>
    <m/>
    <m/>
    <n v="0"/>
    <n v="0"/>
    <m/>
    <m/>
    <m/>
    <m/>
    <m/>
    <m/>
    <m/>
    <m/>
    <m/>
    <m/>
    <m/>
    <m/>
  </r>
  <r>
    <x v="9"/>
    <s v="Lenoir Community College "/>
    <m/>
    <n v="198817"/>
    <x v="6"/>
    <n v="51279"/>
    <n v="48602"/>
    <n v="14718"/>
    <n v="12291"/>
    <n v="1873"/>
    <n v="2080"/>
    <n v="34688"/>
    <n v="0"/>
    <n v="0"/>
    <n v="34231"/>
    <m/>
    <m/>
    <m/>
    <m/>
    <n v="0"/>
    <n v="0"/>
    <m/>
    <m/>
    <m/>
    <m/>
    <m/>
    <m/>
    <m/>
    <m/>
    <m/>
    <m/>
    <m/>
    <m/>
  </r>
  <r>
    <x v="9"/>
    <s v="Mitchell Community College "/>
    <m/>
    <n v="198987"/>
    <x v="6"/>
    <n v="60192.800000000003"/>
    <n v="57734.200000000019"/>
    <n v="23654.799999999999"/>
    <n v="9940.2000000000207"/>
    <n v="5303"/>
    <n v="2947"/>
    <n v="31235"/>
    <n v="0"/>
    <n v="0"/>
    <n v="44847"/>
    <m/>
    <m/>
    <m/>
    <m/>
    <n v="0"/>
    <n v="0"/>
    <m/>
    <m/>
    <m/>
    <m/>
    <m/>
    <m/>
    <m/>
    <m/>
    <m/>
    <m/>
    <m/>
    <m/>
  </r>
  <r>
    <x v="9"/>
    <s v="Nash Community College"/>
    <m/>
    <n v="199087"/>
    <x v="6"/>
    <n v="56033"/>
    <n v="52196"/>
    <n v="17542"/>
    <n v="11622"/>
    <n v="2116"/>
    <n v="2109"/>
    <n v="36375"/>
    <n v="0"/>
    <n v="0"/>
    <n v="38465"/>
    <m/>
    <m/>
    <m/>
    <m/>
    <n v="0"/>
    <n v="0"/>
    <m/>
    <m/>
    <m/>
    <m/>
    <m/>
    <m/>
    <m/>
    <m/>
    <m/>
    <m/>
    <m/>
    <m/>
  </r>
  <r>
    <x v="9"/>
    <s v="Randolph Community College"/>
    <s v="Met the criteria for Two-Year 3 in  2021-22"/>
    <n v="199421"/>
    <x v="6"/>
    <n v="53143"/>
    <n v="47734.7"/>
    <n v="16754"/>
    <n v="10993.7"/>
    <n v="850"/>
    <n v="1500"/>
    <n v="35539"/>
    <n v="0"/>
    <n v="0"/>
    <n v="35241"/>
    <m/>
    <m/>
    <m/>
    <m/>
    <n v="0"/>
    <n v="0"/>
    <m/>
    <m/>
    <m/>
    <m/>
    <m/>
    <m/>
    <m/>
    <m/>
    <m/>
    <m/>
    <m/>
    <m/>
  </r>
  <r>
    <x v="9"/>
    <s v="Richmond Community College"/>
    <s v="Met the criteria for Two-Year 3 in  2021-22"/>
    <n v="199449"/>
    <x v="6"/>
    <n v="47998.5"/>
    <n v="45459"/>
    <n v="23998.5"/>
    <n v="21425"/>
    <n v="231"/>
    <n v="433"/>
    <n v="23769"/>
    <n v="0"/>
    <n v="0"/>
    <n v="23601"/>
    <m/>
    <m/>
    <m/>
    <m/>
    <n v="0"/>
    <n v="0"/>
    <m/>
    <m/>
    <m/>
    <m/>
    <m/>
    <m/>
    <m/>
    <m/>
    <m/>
    <m/>
    <m/>
    <m/>
  </r>
  <r>
    <x v="9"/>
    <s v="Sandhills Community College "/>
    <m/>
    <n v="199634"/>
    <x v="6"/>
    <n v="83225"/>
    <n v="77983"/>
    <n v="25506"/>
    <n v="15567"/>
    <n v="2380"/>
    <n v="510"/>
    <n v="55339"/>
    <n v="0"/>
    <n v="0"/>
    <n v="61906"/>
    <m/>
    <m/>
    <m/>
    <m/>
    <n v="0"/>
    <n v="0"/>
    <m/>
    <m/>
    <m/>
    <m/>
    <m/>
    <m/>
    <m/>
    <m/>
    <m/>
    <m/>
    <m/>
    <m/>
  </r>
  <r>
    <x v="9"/>
    <s v="South Piedmont Community College"/>
    <m/>
    <n v="197850"/>
    <x v="6"/>
    <n v="51606"/>
    <n v="51609"/>
    <n v="16680"/>
    <n v="17019"/>
    <n v="1480"/>
    <n v="1551"/>
    <n v="33446"/>
    <n v="0"/>
    <n v="0"/>
    <n v="33039"/>
    <m/>
    <m/>
    <m/>
    <m/>
    <n v="0"/>
    <n v="0"/>
    <m/>
    <m/>
    <m/>
    <m/>
    <m/>
    <m/>
    <m/>
    <m/>
    <m/>
    <m/>
    <m/>
    <m/>
  </r>
  <r>
    <x v="9"/>
    <s v="Stanly Community College"/>
    <s v="Met the criteria for Two-Year 3 in  2021-22"/>
    <n v="199740"/>
    <x v="6"/>
    <n v="48314"/>
    <n v="44940"/>
    <n v="7936"/>
    <n v="7137"/>
    <n v="1369"/>
    <n v="844"/>
    <n v="39009"/>
    <n v="0"/>
    <n v="0"/>
    <n v="36959"/>
    <m/>
    <m/>
    <m/>
    <m/>
    <n v="0"/>
    <n v="0"/>
    <m/>
    <m/>
    <m/>
    <m/>
    <m/>
    <m/>
    <m/>
    <m/>
    <m/>
    <m/>
    <m/>
    <m/>
  </r>
  <r>
    <x v="9"/>
    <s v="Surry Community College "/>
    <m/>
    <n v="199768"/>
    <x v="6"/>
    <n v="63807"/>
    <n v="57452"/>
    <n v="29468"/>
    <n v="25764"/>
    <n v="1320"/>
    <n v="1429"/>
    <n v="33019"/>
    <n v="0"/>
    <n v="0"/>
    <n v="30259"/>
    <m/>
    <m/>
    <m/>
    <m/>
    <n v="0"/>
    <n v="0"/>
    <m/>
    <m/>
    <m/>
    <m/>
    <m/>
    <m/>
    <m/>
    <m/>
    <m/>
    <m/>
    <m/>
    <m/>
  </r>
  <r>
    <x v="9"/>
    <s v="Vance-Granville Community College "/>
    <m/>
    <n v="199838"/>
    <x v="6"/>
    <n v="57594"/>
    <n v="52540"/>
    <n v="11515"/>
    <n v="5170"/>
    <n v="857"/>
    <n v="628"/>
    <n v="45222"/>
    <n v="0"/>
    <n v="0"/>
    <n v="46742"/>
    <m/>
    <m/>
    <m/>
    <m/>
    <n v="0"/>
    <n v="0"/>
    <m/>
    <m/>
    <m/>
    <m/>
    <m/>
    <m/>
    <m/>
    <m/>
    <m/>
    <m/>
    <m/>
    <m/>
  </r>
  <r>
    <x v="9"/>
    <s v="Wayne Community College"/>
    <m/>
    <n v="199892"/>
    <x v="6"/>
    <n v="69015"/>
    <n v="63418"/>
    <n v="16384"/>
    <n v="6144"/>
    <n v="147"/>
    <n v="1250"/>
    <n v="52484"/>
    <n v="0"/>
    <n v="0"/>
    <n v="56024"/>
    <m/>
    <m/>
    <m/>
    <m/>
    <n v="0"/>
    <n v="0"/>
    <m/>
    <m/>
    <m/>
    <m/>
    <m/>
    <m/>
    <m/>
    <m/>
    <m/>
    <m/>
    <m/>
    <m/>
  </r>
  <r>
    <x v="9"/>
    <s v="Wilkes Community College "/>
    <m/>
    <n v="199926"/>
    <x v="6"/>
    <n v="53312"/>
    <n v="47858"/>
    <n v="15595"/>
    <n v="10482"/>
    <n v="7043"/>
    <n v="6523"/>
    <n v="30674"/>
    <n v="0"/>
    <n v="0"/>
    <n v="30853"/>
    <m/>
    <m/>
    <m/>
    <m/>
    <n v="0"/>
    <n v="0"/>
    <m/>
    <m/>
    <m/>
    <m/>
    <m/>
    <m/>
    <m/>
    <m/>
    <m/>
    <m/>
    <m/>
    <m/>
  </r>
  <r>
    <x v="9"/>
    <s v="Beaufort County Community College "/>
    <m/>
    <n v="197966"/>
    <x v="7"/>
    <n v="30327"/>
    <n v="32015"/>
    <n v="8565"/>
    <n v="10584"/>
    <n v="1325"/>
    <n v="2314"/>
    <n v="20437"/>
    <n v="0"/>
    <n v="0"/>
    <n v="19117"/>
    <m/>
    <m/>
    <m/>
    <m/>
    <n v="0"/>
    <n v="0"/>
    <m/>
    <m/>
    <m/>
    <m/>
    <m/>
    <m/>
    <m/>
    <m/>
    <m/>
    <m/>
    <m/>
    <m/>
  </r>
  <r>
    <x v="9"/>
    <s v="Bladen Community College"/>
    <m/>
    <n v="198011"/>
    <x v="7"/>
    <n v="25178"/>
    <n v="24198"/>
    <n v="6371"/>
    <n v="8380"/>
    <n v="176"/>
    <n v="437"/>
    <n v="18631"/>
    <n v="0"/>
    <n v="0"/>
    <n v="15381"/>
    <m/>
    <m/>
    <m/>
    <m/>
    <n v="0"/>
    <n v="0"/>
    <m/>
    <m/>
    <m/>
    <m/>
    <m/>
    <m/>
    <m/>
    <m/>
    <m/>
    <m/>
    <m/>
    <m/>
  </r>
  <r>
    <x v="9"/>
    <s v="Blue Ridge Community College"/>
    <m/>
    <n v="198039"/>
    <x v="7"/>
    <n v="45937"/>
    <n v="47713"/>
    <n v="17447"/>
    <n v="11984"/>
    <n v="2820"/>
    <n v="2341"/>
    <n v="25670"/>
    <n v="0"/>
    <n v="0"/>
    <n v="33388"/>
    <m/>
    <m/>
    <m/>
    <m/>
    <n v="0"/>
    <n v="0"/>
    <m/>
    <m/>
    <m/>
    <m/>
    <m/>
    <m/>
    <m/>
    <m/>
    <m/>
    <m/>
    <m/>
    <m/>
  </r>
  <r>
    <x v="9"/>
    <s v="Brunswick Community College"/>
    <m/>
    <n v="198084"/>
    <x v="7"/>
    <n v="33214"/>
    <n v="34627"/>
    <n v="8095"/>
    <n v="6207"/>
    <n v="820"/>
    <n v="238"/>
    <n v="24299"/>
    <n v="0"/>
    <n v="0"/>
    <n v="28182"/>
    <m/>
    <m/>
    <m/>
    <m/>
    <n v="0"/>
    <n v="0"/>
    <m/>
    <m/>
    <m/>
    <m/>
    <m/>
    <m/>
    <m/>
    <m/>
    <m/>
    <m/>
    <m/>
    <m/>
  </r>
  <r>
    <x v="9"/>
    <s v="Carteret Community College"/>
    <m/>
    <n v="198206"/>
    <x v="7"/>
    <n v="29328.5"/>
    <n v="31080"/>
    <n v="12878.5"/>
    <n v="12321"/>
    <n v="1127"/>
    <n v="0"/>
    <n v="15323"/>
    <n v="0"/>
    <n v="0"/>
    <n v="18759"/>
    <m/>
    <m/>
    <m/>
    <m/>
    <n v="0"/>
    <n v="0"/>
    <m/>
    <m/>
    <m/>
    <m/>
    <m/>
    <m/>
    <m/>
    <m/>
    <m/>
    <m/>
    <m/>
    <m/>
  </r>
  <r>
    <x v="9"/>
    <s v="College of The Albemarle"/>
    <m/>
    <n v="197814"/>
    <x v="7"/>
    <n v="52580"/>
    <n v="50259"/>
    <n v="11439"/>
    <n v="4157"/>
    <n v="3480"/>
    <n v="5241"/>
    <n v="37661"/>
    <n v="0"/>
    <n v="0"/>
    <n v="40861"/>
    <m/>
    <m/>
    <m/>
    <m/>
    <n v="0"/>
    <n v="0"/>
    <m/>
    <m/>
    <m/>
    <m/>
    <m/>
    <m/>
    <m/>
    <m/>
    <m/>
    <m/>
    <m/>
    <m/>
  </r>
  <r>
    <x v="9"/>
    <s v="Edgecombe Community College"/>
    <m/>
    <n v="198491"/>
    <x v="7"/>
    <n v="34505"/>
    <n v="31049"/>
    <n v="11159"/>
    <n v="9290"/>
    <n v="1750"/>
    <n v="1634"/>
    <n v="21596"/>
    <n v="0"/>
    <n v="0"/>
    <n v="20125"/>
    <m/>
    <m/>
    <m/>
    <m/>
    <n v="0"/>
    <n v="0"/>
    <m/>
    <m/>
    <m/>
    <m/>
    <m/>
    <m/>
    <m/>
    <m/>
    <m/>
    <m/>
    <m/>
    <m/>
  </r>
  <r>
    <x v="9"/>
    <s v="Halifax Community College "/>
    <m/>
    <n v="198640"/>
    <x v="7"/>
    <n v="19451"/>
    <n v="18026"/>
    <n v="7452"/>
    <n v="6376"/>
    <n v="1287"/>
    <n v="967"/>
    <n v="10712"/>
    <n v="0"/>
    <n v="0"/>
    <n v="10683"/>
    <m/>
    <m/>
    <m/>
    <m/>
    <n v="0"/>
    <n v="0"/>
    <m/>
    <m/>
    <m/>
    <m/>
    <m/>
    <m/>
    <m/>
    <m/>
    <m/>
    <m/>
    <m/>
    <m/>
  </r>
  <r>
    <x v="9"/>
    <s v="Haywood Community College"/>
    <m/>
    <n v="198668"/>
    <x v="7"/>
    <n v="30774"/>
    <n v="27386"/>
    <n v="8723"/>
    <n v="7452"/>
    <n v="2431"/>
    <n v="1566"/>
    <n v="19620"/>
    <n v="0"/>
    <n v="0"/>
    <n v="18368"/>
    <m/>
    <m/>
    <m/>
    <m/>
    <n v="0"/>
    <n v="0"/>
    <m/>
    <m/>
    <m/>
    <m/>
    <m/>
    <m/>
    <m/>
    <m/>
    <m/>
    <m/>
    <m/>
    <m/>
  </r>
  <r>
    <x v="9"/>
    <s v="Isothermal Community College "/>
    <m/>
    <n v="198710"/>
    <x v="7"/>
    <n v="45703"/>
    <n v="42089"/>
    <n v="11684"/>
    <n v="8575"/>
    <n v="3153"/>
    <n v="3597"/>
    <n v="30866"/>
    <n v="0"/>
    <n v="0"/>
    <n v="29917"/>
    <m/>
    <m/>
    <m/>
    <m/>
    <n v="0"/>
    <n v="0"/>
    <m/>
    <m/>
    <m/>
    <m/>
    <m/>
    <m/>
    <m/>
    <m/>
    <m/>
    <m/>
    <m/>
    <m/>
  </r>
  <r>
    <x v="9"/>
    <s v="James Sprunt Community College"/>
    <m/>
    <n v="198729"/>
    <x v="7"/>
    <n v="25678"/>
    <n v="26029"/>
    <n v="5636"/>
    <n v="4675"/>
    <n v="439"/>
    <n v="99"/>
    <n v="19603"/>
    <n v="0"/>
    <n v="0"/>
    <n v="21255"/>
    <m/>
    <m/>
    <m/>
    <m/>
    <n v="0"/>
    <n v="0"/>
    <m/>
    <m/>
    <m/>
    <m/>
    <m/>
    <m/>
    <m/>
    <m/>
    <m/>
    <m/>
    <m/>
    <m/>
  </r>
  <r>
    <x v="9"/>
    <s v="Martin Community College "/>
    <m/>
    <n v="198905"/>
    <x v="7"/>
    <n v="17669"/>
    <n v="15093"/>
    <n v="4926"/>
    <n v="3778"/>
    <n v="200"/>
    <n v="263"/>
    <n v="12543"/>
    <n v="0"/>
    <n v="0"/>
    <n v="11052"/>
    <m/>
    <m/>
    <m/>
    <m/>
    <n v="0"/>
    <n v="0"/>
    <m/>
    <m/>
    <m/>
    <m/>
    <m/>
    <m/>
    <m/>
    <m/>
    <m/>
    <m/>
    <m/>
    <m/>
  </r>
  <r>
    <x v="9"/>
    <s v="Mayland Community College"/>
    <m/>
    <n v="198914"/>
    <x v="7"/>
    <n v="17904"/>
    <n v="16336"/>
    <n v="5755"/>
    <n v="4201"/>
    <n v="1595"/>
    <n v="1296"/>
    <n v="10554"/>
    <n v="0"/>
    <n v="0"/>
    <n v="10839"/>
    <m/>
    <m/>
    <m/>
    <m/>
    <n v="0"/>
    <n v="0"/>
    <m/>
    <m/>
    <m/>
    <m/>
    <m/>
    <m/>
    <m/>
    <m/>
    <m/>
    <m/>
    <m/>
    <m/>
  </r>
  <r>
    <x v="9"/>
    <s v="McDowell Technical Community College"/>
    <m/>
    <n v="198923"/>
    <x v="7"/>
    <n v="20665"/>
    <n v="20418"/>
    <n v="8747"/>
    <n v="8974"/>
    <n v="42"/>
    <n v="0"/>
    <n v="11876"/>
    <n v="0"/>
    <n v="0"/>
    <n v="11444"/>
    <m/>
    <m/>
    <m/>
    <m/>
    <n v="0"/>
    <n v="0"/>
    <m/>
    <m/>
    <m/>
    <m/>
    <m/>
    <m/>
    <m/>
    <m/>
    <m/>
    <m/>
    <m/>
    <m/>
  </r>
  <r>
    <x v="9"/>
    <s v="Montgomery Community College"/>
    <m/>
    <n v="199023"/>
    <x v="7"/>
    <n v="17392"/>
    <n v="15420"/>
    <n v="9421"/>
    <n v="9279"/>
    <n v="667"/>
    <n v="263"/>
    <n v="7304"/>
    <n v="0"/>
    <n v="0"/>
    <n v="5878"/>
    <m/>
    <m/>
    <m/>
    <m/>
    <n v="0"/>
    <n v="0"/>
    <m/>
    <m/>
    <m/>
    <m/>
    <m/>
    <m/>
    <m/>
    <m/>
    <m/>
    <m/>
    <m/>
    <m/>
  </r>
  <r>
    <x v="9"/>
    <s v="Pamlico Community College"/>
    <m/>
    <n v="199263"/>
    <x v="7"/>
    <n v="11055"/>
    <n v="6671"/>
    <n v="968"/>
    <n v="900"/>
    <n v="4233"/>
    <n v="950"/>
    <n v="5854"/>
    <n v="0"/>
    <n v="0"/>
    <n v="4821"/>
    <m/>
    <m/>
    <m/>
    <m/>
    <n v="0"/>
    <n v="0"/>
    <m/>
    <m/>
    <m/>
    <m/>
    <m/>
    <m/>
    <m/>
    <m/>
    <m/>
    <m/>
    <m/>
    <m/>
  </r>
  <r>
    <x v="9"/>
    <s v="Piedmont Community College"/>
    <m/>
    <n v="199324"/>
    <x v="7"/>
    <n v="24460.5"/>
    <n v="22661"/>
    <n v="10449.5"/>
    <n v="7955"/>
    <n v="106"/>
    <n v="82"/>
    <n v="13905"/>
    <n v="0"/>
    <n v="0"/>
    <n v="14624"/>
    <m/>
    <m/>
    <m/>
    <m/>
    <n v="0"/>
    <n v="0"/>
    <m/>
    <m/>
    <m/>
    <m/>
    <m/>
    <m/>
    <m/>
    <m/>
    <m/>
    <m/>
    <m/>
    <m/>
  </r>
  <r>
    <x v="9"/>
    <s v="Roanoke-Chowan Community College"/>
    <m/>
    <n v="199467"/>
    <x v="7"/>
    <n v="10352"/>
    <n v="10849"/>
    <n v="3063"/>
    <n v="3270"/>
    <n v="11"/>
    <n v="59"/>
    <n v="7278"/>
    <n v="0"/>
    <n v="0"/>
    <n v="7520"/>
    <m/>
    <m/>
    <m/>
    <m/>
    <n v="0"/>
    <n v="0"/>
    <m/>
    <m/>
    <m/>
    <m/>
    <m/>
    <m/>
    <m/>
    <m/>
    <m/>
    <m/>
    <m/>
    <m/>
  </r>
  <r>
    <x v="9"/>
    <s v="Robeson Community College"/>
    <s v="Met the criteria for Two-Year 2 in 2020-21 and 2021-22"/>
    <n v="199476"/>
    <x v="7"/>
    <n v="41285"/>
    <n v="39906"/>
    <n v="15757"/>
    <n v="13902"/>
    <n v="541"/>
    <n v="522"/>
    <n v="24987"/>
    <n v="0"/>
    <n v="0"/>
    <n v="25482"/>
    <m/>
    <m/>
    <m/>
    <m/>
    <n v="0"/>
    <n v="0"/>
    <m/>
    <m/>
    <m/>
    <m/>
    <m/>
    <m/>
    <m/>
    <m/>
    <m/>
    <m/>
    <m/>
    <m/>
  </r>
  <r>
    <x v="9"/>
    <s v="Rockingham Community College "/>
    <m/>
    <n v="199485"/>
    <x v="7"/>
    <n v="36900"/>
    <n v="32833"/>
    <n v="15132"/>
    <n v="11677"/>
    <n v="737"/>
    <n v="617"/>
    <n v="21031"/>
    <n v="0"/>
    <n v="0"/>
    <n v="20539"/>
    <m/>
    <m/>
    <m/>
    <m/>
    <n v="0"/>
    <n v="0"/>
    <m/>
    <m/>
    <m/>
    <m/>
    <m/>
    <m/>
    <m/>
    <m/>
    <m/>
    <m/>
    <m/>
    <m/>
  </r>
  <r>
    <x v="9"/>
    <s v="Sampson Community College"/>
    <m/>
    <n v="199625"/>
    <x v="7"/>
    <n v="37544"/>
    <n v="36898"/>
    <n v="8295"/>
    <n v="4853"/>
    <n v="43"/>
    <n v="75"/>
    <n v="29206"/>
    <n v="0"/>
    <n v="0"/>
    <n v="31970"/>
    <m/>
    <m/>
    <m/>
    <m/>
    <n v="0"/>
    <n v="0"/>
    <m/>
    <m/>
    <m/>
    <m/>
    <m/>
    <m/>
    <m/>
    <m/>
    <m/>
    <m/>
    <m/>
    <m/>
  </r>
  <r>
    <x v="9"/>
    <s v="Southeastern Community College "/>
    <m/>
    <n v="199722"/>
    <x v="7"/>
    <n v="29888"/>
    <n v="26234"/>
    <n v="9777"/>
    <n v="7468"/>
    <n v="712"/>
    <n v="405"/>
    <n v="19399"/>
    <n v="0"/>
    <n v="0"/>
    <n v="18361"/>
    <m/>
    <m/>
    <m/>
    <m/>
    <n v="0"/>
    <n v="0"/>
    <m/>
    <m/>
    <m/>
    <m/>
    <m/>
    <m/>
    <m/>
    <m/>
    <m/>
    <m/>
    <m/>
    <m/>
  </r>
  <r>
    <x v="9"/>
    <s v="Southwestern Community College "/>
    <m/>
    <n v="199731"/>
    <x v="7"/>
    <n v="44668"/>
    <n v="43322"/>
    <n v="17649"/>
    <n v="14791"/>
    <n v="1451"/>
    <n v="1112"/>
    <n v="25568"/>
    <n v="0"/>
    <n v="0"/>
    <n v="27419"/>
    <m/>
    <m/>
    <m/>
    <m/>
    <n v="0"/>
    <n v="0"/>
    <m/>
    <m/>
    <m/>
    <m/>
    <m/>
    <m/>
    <m/>
    <m/>
    <m/>
    <m/>
    <m/>
    <m/>
  </r>
  <r>
    <x v="9"/>
    <s v="Tri-County Community College "/>
    <m/>
    <n v="199795"/>
    <x v="7"/>
    <n v="23541"/>
    <n v="22599"/>
    <n v="5733"/>
    <n v="4611"/>
    <n v="1541"/>
    <n v="2460"/>
    <n v="16267"/>
    <n v="0"/>
    <n v="0"/>
    <n v="15528"/>
    <m/>
    <m/>
    <m/>
    <m/>
    <n v="0"/>
    <n v="0"/>
    <m/>
    <m/>
    <m/>
    <m/>
    <m/>
    <m/>
    <m/>
    <m/>
    <m/>
    <m/>
    <m/>
    <m/>
  </r>
  <r>
    <x v="9"/>
    <s v="Western Piedmont Community College "/>
    <m/>
    <n v="199908"/>
    <x v="7"/>
    <n v="40876"/>
    <n v="37033"/>
    <n v="7514"/>
    <n v="10654"/>
    <n v="7486"/>
    <n v="1178"/>
    <n v="25876"/>
    <n v="0"/>
    <n v="0"/>
    <n v="25201"/>
    <m/>
    <m/>
    <m/>
    <m/>
    <n v="0"/>
    <n v="0"/>
    <m/>
    <m/>
    <m/>
    <m/>
    <m/>
    <m/>
    <m/>
    <m/>
    <m/>
    <m/>
    <m/>
    <m/>
  </r>
  <r>
    <x v="9"/>
    <s v="Wilson Community College"/>
    <m/>
    <n v="199953"/>
    <x v="7"/>
    <n v="35979.5"/>
    <n v="33874.5"/>
    <n v="7898.5"/>
    <n v="5916.5"/>
    <n v="1412"/>
    <n v="809"/>
    <n v="26669"/>
    <n v="0"/>
    <n v="0"/>
    <n v="27149"/>
    <m/>
    <m/>
    <m/>
    <m/>
    <n v="0"/>
    <n v="0"/>
    <m/>
    <m/>
    <m/>
    <m/>
    <m/>
    <m/>
    <m/>
    <m/>
    <m/>
    <m/>
    <m/>
    <m/>
  </r>
  <r>
    <x v="10"/>
    <m/>
    <m/>
    <m/>
    <x v="13"/>
    <n v="0"/>
    <n v="0"/>
    <m/>
    <m/>
    <m/>
    <m/>
    <m/>
    <m/>
    <m/>
    <m/>
    <m/>
    <m/>
    <m/>
    <m/>
    <n v="0"/>
    <n v="0"/>
    <m/>
    <m/>
    <m/>
    <m/>
    <m/>
    <m/>
    <m/>
    <m/>
    <m/>
    <m/>
    <m/>
    <m/>
  </r>
  <r>
    <x v="10"/>
    <m/>
    <m/>
    <m/>
    <x v="13"/>
    <n v="0"/>
    <n v="0"/>
    <m/>
    <m/>
    <m/>
    <m/>
    <m/>
    <m/>
    <m/>
    <m/>
    <m/>
    <m/>
    <m/>
    <m/>
    <n v="0"/>
    <n v="0"/>
    <m/>
    <m/>
    <m/>
    <m/>
    <m/>
    <m/>
    <m/>
    <m/>
    <m/>
    <m/>
    <m/>
    <m/>
  </r>
  <r>
    <x v="11"/>
    <s v="Clemson University"/>
    <m/>
    <n v="217882"/>
    <x v="0"/>
    <n v="635293"/>
    <n v="656889"/>
    <n v="442126"/>
    <n v="388437"/>
    <n v="8621"/>
    <n v="10716"/>
    <n v="184546"/>
    <m/>
    <m/>
    <n v="257736"/>
    <m/>
    <m/>
    <m/>
    <m/>
    <n v="96995"/>
    <n v="97108"/>
    <n v="36682"/>
    <n v="36431"/>
    <n v="16683"/>
    <n v="19212"/>
    <n v="43630"/>
    <m/>
    <m/>
    <n v="41465"/>
    <m/>
    <m/>
    <m/>
    <m/>
  </r>
  <r>
    <x v="11"/>
    <s v="University of South Carolina-Columbia"/>
    <m/>
    <n v="218663"/>
    <x v="0"/>
    <n v="846368"/>
    <n v="826984"/>
    <n v="387849"/>
    <n v="378154"/>
    <n v="10170"/>
    <n v="4697"/>
    <n v="448323"/>
    <n v="26"/>
    <m/>
    <n v="443725"/>
    <n v="30"/>
    <n v="378"/>
    <m/>
    <m/>
    <n v="170036"/>
    <n v="178621"/>
    <n v="91422"/>
    <n v="103962"/>
    <n v="3282"/>
    <n v="1326"/>
    <n v="68757"/>
    <n v="6575"/>
    <m/>
    <n v="66857"/>
    <n v="6462"/>
    <n v="14"/>
    <m/>
    <m/>
  </r>
  <r>
    <x v="11"/>
    <s v="College of Charleston"/>
    <m/>
    <n v="217819"/>
    <x v="2"/>
    <n v="280124"/>
    <n v="283771"/>
    <n v="186173"/>
    <n v="161579"/>
    <n v="4389"/>
    <n v="4446"/>
    <n v="89562"/>
    <m/>
    <m/>
    <n v="117746"/>
    <m/>
    <m/>
    <m/>
    <m/>
    <n v="16449"/>
    <n v="15943"/>
    <n v="4889"/>
    <n v="5159"/>
    <n v="843"/>
    <n v="564"/>
    <n v="10717"/>
    <m/>
    <m/>
    <n v="10220"/>
    <m/>
    <m/>
    <m/>
    <m/>
  </r>
  <r>
    <x v="11"/>
    <s v="The Citadel, the Military College of South Carolina "/>
    <m/>
    <n v="217864"/>
    <x v="2"/>
    <n v="98265"/>
    <n v="94963"/>
    <n v="90532"/>
    <n v="81875"/>
    <n v="158"/>
    <n v="111"/>
    <n v="7575"/>
    <m/>
    <m/>
    <n v="12977"/>
    <m/>
    <m/>
    <m/>
    <m/>
    <n v="14825"/>
    <n v="17135"/>
    <n v="5755"/>
    <n v="5633"/>
    <n v="381"/>
    <n v="585"/>
    <n v="8689"/>
    <m/>
    <m/>
    <n v="10917"/>
    <m/>
    <m/>
    <m/>
    <m/>
  </r>
  <r>
    <x v="11"/>
    <s v="Winthrop University "/>
    <m/>
    <n v="218964"/>
    <x v="2"/>
    <n v="134935"/>
    <n v="122650"/>
    <n v="78192"/>
    <n v="68423"/>
    <n v="1379"/>
    <n v="1166"/>
    <n v="55364"/>
    <m/>
    <m/>
    <n v="53061"/>
    <m/>
    <m/>
    <m/>
    <m/>
    <n v="16735"/>
    <n v="18205"/>
    <n v="4440"/>
    <n v="4915"/>
    <n v="440"/>
    <n v="326"/>
    <n v="11855"/>
    <m/>
    <m/>
    <n v="12964"/>
    <m/>
    <m/>
    <m/>
    <m/>
  </r>
  <r>
    <x v="11"/>
    <s v="Coastal Carolina University"/>
    <m/>
    <n v="218724"/>
    <x v="3"/>
    <n v="283480"/>
    <n v="282684"/>
    <n v="214772"/>
    <n v="178813"/>
    <n v="1373"/>
    <n v="742"/>
    <n v="67335"/>
    <m/>
    <m/>
    <n v="103129"/>
    <m/>
    <m/>
    <m/>
    <m/>
    <n v="12670"/>
    <n v="12629"/>
    <n v="4267"/>
    <n v="3898"/>
    <n v="510"/>
    <n v="20"/>
    <n v="7893"/>
    <m/>
    <m/>
    <n v="8711"/>
    <m/>
    <m/>
    <m/>
    <m/>
  </r>
  <r>
    <x v="11"/>
    <s v="Francis Marion University "/>
    <m/>
    <n v="218061"/>
    <x v="4"/>
    <n v="90676"/>
    <n v="86858"/>
    <n v="66493"/>
    <n v="61381"/>
    <n v="4721"/>
    <n v="2660"/>
    <n v="19462"/>
    <m/>
    <m/>
    <n v="22817"/>
    <m/>
    <m/>
    <m/>
    <m/>
    <n v="11755"/>
    <n v="9042"/>
    <n v="4391"/>
    <n v="2965"/>
    <n v="822"/>
    <n v="72"/>
    <n v="6542"/>
    <m/>
    <m/>
    <n v="6005"/>
    <m/>
    <m/>
    <m/>
    <m/>
  </r>
  <r>
    <x v="11"/>
    <s v="South Carolina State University "/>
    <m/>
    <n v="218733"/>
    <x v="4"/>
    <n v="58908"/>
    <n v="55203"/>
    <n v="48890"/>
    <n v="46578"/>
    <m/>
    <m/>
    <n v="10018"/>
    <m/>
    <m/>
    <n v="8625"/>
    <m/>
    <m/>
    <m/>
    <m/>
    <n v="5561"/>
    <n v="5823"/>
    <n v="3313"/>
    <n v="3744"/>
    <m/>
    <n v="10"/>
    <n v="2248"/>
    <m/>
    <m/>
    <n v="2069"/>
    <m/>
    <m/>
    <m/>
    <m/>
  </r>
  <r>
    <x v="11"/>
    <s v="Lander University"/>
    <s v="Met the criteria for Four-Year 5 in 2021-22"/>
    <n v="218229"/>
    <x v="11"/>
    <n v="94947"/>
    <n v="99783.5"/>
    <n v="68525"/>
    <n v="71925"/>
    <n v="231"/>
    <n v="309"/>
    <n v="26191"/>
    <m/>
    <m/>
    <n v="27549.5"/>
    <m/>
    <m/>
    <m/>
    <m/>
    <n v="2168"/>
    <n v="3359"/>
    <n v="105"/>
    <n v="362"/>
    <n v="66"/>
    <n v="117"/>
    <n v="1997"/>
    <m/>
    <m/>
    <n v="2880"/>
    <m/>
    <m/>
    <m/>
    <m/>
  </r>
  <r>
    <x v="11"/>
    <s v="University of South Carolina-Aiken"/>
    <s v="Reclassified Met the criteria for Four-Year 5 in 2019-20 and 2020-21, and 2021, 22"/>
    <n v="218645"/>
    <x v="4"/>
    <n v="88250"/>
    <n v="85808"/>
    <n v="38770"/>
    <n v="37005"/>
    <n v="2938"/>
    <n v="3175"/>
    <n v="46542"/>
    <m/>
    <m/>
    <n v="45628"/>
    <m/>
    <m/>
    <m/>
    <m/>
    <n v="5233"/>
    <n v="9711"/>
    <n v="210"/>
    <n v="417"/>
    <m/>
    <m/>
    <n v="5023"/>
    <m/>
    <m/>
    <n v="9294"/>
    <m/>
    <m/>
    <m/>
    <m/>
  </r>
  <r>
    <x v="11"/>
    <s v="University of South Carolina-Beaufort"/>
    <m/>
    <n v="218654"/>
    <x v="11"/>
    <n v="57500"/>
    <n v="54544"/>
    <n v="28495"/>
    <n v="24121"/>
    <n v="2287"/>
    <n v="803"/>
    <n v="26718"/>
    <m/>
    <m/>
    <n v="29271"/>
    <n v="349"/>
    <m/>
    <m/>
    <m/>
    <n v="15"/>
    <n v="18"/>
    <n v="15"/>
    <n v="18"/>
    <m/>
    <m/>
    <m/>
    <m/>
    <m/>
    <m/>
    <m/>
    <m/>
    <m/>
    <m/>
  </r>
  <r>
    <x v="11"/>
    <s v="University of South Carolina-Upstate"/>
    <s v="Met the criteria for Four-Year 5 in 2021-22"/>
    <n v="218742"/>
    <x v="11"/>
    <n v="144446"/>
    <n v="138132"/>
    <n v="51603"/>
    <n v="32345"/>
    <n v="5438"/>
    <n v="3462"/>
    <n v="87405"/>
    <m/>
    <m/>
    <n v="99868"/>
    <n v="2457"/>
    <m/>
    <m/>
    <m/>
    <n v="6643"/>
    <n v="6641"/>
    <n v="2341"/>
    <n v="114"/>
    <n v="54"/>
    <m/>
    <n v="4248"/>
    <m/>
    <m/>
    <n v="6527"/>
    <m/>
    <m/>
    <m/>
    <m/>
  </r>
  <r>
    <x v="11"/>
    <s v="Greenville Technical College "/>
    <m/>
    <n v="218113"/>
    <x v="5"/>
    <n v="223915"/>
    <n v="207283"/>
    <n v="72880"/>
    <n v="38523"/>
    <n v="9502"/>
    <n v="11238"/>
    <n v="141533"/>
    <m/>
    <m/>
    <n v="157522"/>
    <m/>
    <m/>
    <m/>
    <m/>
    <n v="0"/>
    <n v="0"/>
    <m/>
    <m/>
    <m/>
    <m/>
    <m/>
    <m/>
    <m/>
    <m/>
    <m/>
    <m/>
    <m/>
    <m/>
  </r>
  <r>
    <x v="11"/>
    <s v="Horry-Georgetown Technical College "/>
    <s v="Met the criteria for Two-Year 2 in 2020-21, and 2021-22"/>
    <n v="218140"/>
    <x v="5"/>
    <n v="148653"/>
    <n v="143590"/>
    <n v="68821"/>
    <n v="46574"/>
    <n v="20723"/>
    <n v="3235"/>
    <n v="59109"/>
    <m/>
    <m/>
    <n v="93781"/>
    <m/>
    <m/>
    <m/>
    <m/>
    <n v="0"/>
    <n v="0"/>
    <m/>
    <m/>
    <m/>
    <m/>
    <m/>
    <m/>
    <m/>
    <m/>
    <m/>
    <m/>
    <m/>
    <m/>
  </r>
  <r>
    <x v="11"/>
    <s v="Midlands Technical College "/>
    <m/>
    <n v="218353"/>
    <x v="5"/>
    <n v="197166"/>
    <n v="188027"/>
    <n v="74937"/>
    <n v="42791"/>
    <n v="15404"/>
    <n v="12766"/>
    <n v="106825"/>
    <m/>
    <m/>
    <n v="132470"/>
    <m/>
    <m/>
    <m/>
    <m/>
    <n v="0"/>
    <n v="0"/>
    <m/>
    <m/>
    <m/>
    <m/>
    <m/>
    <m/>
    <m/>
    <m/>
    <m/>
    <m/>
    <m/>
    <m/>
  </r>
  <r>
    <x v="11"/>
    <s v="Trident Technical College "/>
    <m/>
    <n v="218894"/>
    <x v="5"/>
    <n v="246575"/>
    <n v="233583"/>
    <n v="35746"/>
    <n v="20895"/>
    <n v="10549"/>
    <n v="14158"/>
    <n v="200280"/>
    <m/>
    <m/>
    <n v="198530"/>
    <m/>
    <m/>
    <m/>
    <m/>
    <n v="0"/>
    <n v="0"/>
    <m/>
    <m/>
    <m/>
    <m/>
    <m/>
    <m/>
    <m/>
    <m/>
    <m/>
    <m/>
    <m/>
    <m/>
  </r>
  <r>
    <x v="11"/>
    <s v="Central Carolina Technical College "/>
    <s v="Met the criteria for Two-Year 3 in 2021-22"/>
    <n v="218858"/>
    <x v="6"/>
    <n v="65661"/>
    <n v="57633"/>
    <n v="23457"/>
    <n v="10535"/>
    <n v="6987"/>
    <n v="10667"/>
    <n v="35217"/>
    <m/>
    <m/>
    <n v="36431"/>
    <m/>
    <m/>
    <m/>
    <m/>
    <n v="0"/>
    <n v="0"/>
    <m/>
    <m/>
    <m/>
    <m/>
    <m/>
    <m/>
    <m/>
    <m/>
    <m/>
    <m/>
    <m/>
    <m/>
  </r>
  <r>
    <x v="11"/>
    <s v="Florence-Darlington Technical College "/>
    <m/>
    <n v="218025"/>
    <x v="6"/>
    <n v="71082"/>
    <n v="60547"/>
    <n v="25544"/>
    <n v="22063"/>
    <n v="3920"/>
    <n v="4245"/>
    <n v="40424"/>
    <n v="1194"/>
    <m/>
    <n v="32970"/>
    <n v="1269"/>
    <m/>
    <m/>
    <m/>
    <n v="0"/>
    <n v="0"/>
    <m/>
    <m/>
    <m/>
    <m/>
    <m/>
    <m/>
    <m/>
    <m/>
    <m/>
    <m/>
    <m/>
    <m/>
  </r>
  <r>
    <x v="11"/>
    <s v="Piedmont Technical College "/>
    <m/>
    <n v="218520"/>
    <x v="6"/>
    <n v="106149"/>
    <n v="98809"/>
    <n v="20122"/>
    <n v="11877"/>
    <n v="10156"/>
    <n v="8096"/>
    <n v="72472"/>
    <n v="3399"/>
    <m/>
    <n v="76567"/>
    <n v="2269"/>
    <m/>
    <m/>
    <m/>
    <n v="0"/>
    <n v="0"/>
    <m/>
    <m/>
    <m/>
    <m/>
    <m/>
    <m/>
    <m/>
    <m/>
    <m/>
    <m/>
    <m/>
    <m/>
  </r>
  <r>
    <x v="11"/>
    <s v="Spartanburg Community College "/>
    <m/>
    <n v="218830"/>
    <x v="6"/>
    <n v="92922"/>
    <n v="108338"/>
    <n v="44098"/>
    <n v="42080"/>
    <n v="12778"/>
    <n v="9848"/>
    <n v="36046"/>
    <m/>
    <m/>
    <n v="56410"/>
    <m/>
    <m/>
    <m/>
    <m/>
    <n v="0"/>
    <n v="0"/>
    <m/>
    <m/>
    <m/>
    <m/>
    <m/>
    <m/>
    <m/>
    <m/>
    <m/>
    <m/>
    <m/>
    <m/>
  </r>
  <r>
    <x v="11"/>
    <s v="Tri-County Technical College "/>
    <m/>
    <n v="218885"/>
    <x v="6"/>
    <n v="141207"/>
    <n v="138452"/>
    <n v="44090"/>
    <n v="48659"/>
    <n v="4553"/>
    <n v="5603"/>
    <n v="92564"/>
    <m/>
    <m/>
    <n v="84190"/>
    <m/>
    <m/>
    <m/>
    <m/>
    <n v="0"/>
    <n v="0"/>
    <m/>
    <m/>
    <m/>
    <m/>
    <m/>
    <m/>
    <m/>
    <m/>
    <m/>
    <m/>
    <m/>
    <m/>
  </r>
  <r>
    <x v="11"/>
    <s v="York Technical College "/>
    <m/>
    <n v="218991"/>
    <x v="6"/>
    <n v="96947"/>
    <n v="87950"/>
    <n v="11343"/>
    <n v="4897"/>
    <n v="5013"/>
    <n v="7631"/>
    <n v="80591"/>
    <m/>
    <m/>
    <n v="75422"/>
    <m/>
    <m/>
    <m/>
    <m/>
    <n v="0"/>
    <n v="0"/>
    <m/>
    <m/>
    <m/>
    <m/>
    <m/>
    <m/>
    <m/>
    <m/>
    <m/>
    <m/>
    <m/>
    <m/>
  </r>
  <r>
    <x v="11"/>
    <s v="Aiken Technical College "/>
    <m/>
    <n v="217615"/>
    <x v="7"/>
    <n v="42315"/>
    <n v="40282"/>
    <n v="16175"/>
    <n v="7077"/>
    <n v="2092"/>
    <n v="2843"/>
    <n v="24048"/>
    <m/>
    <m/>
    <n v="30362"/>
    <m/>
    <m/>
    <m/>
    <m/>
    <n v="0"/>
    <n v="0"/>
    <m/>
    <m/>
    <m/>
    <m/>
    <m/>
    <m/>
    <m/>
    <m/>
    <m/>
    <m/>
    <m/>
    <m/>
  </r>
  <r>
    <x v="11"/>
    <s v="Denmark Technical College "/>
    <m/>
    <n v="217989"/>
    <x v="7"/>
    <n v="12654"/>
    <n v="13218"/>
    <n v="3133"/>
    <n v="4776"/>
    <n v="885"/>
    <n v="1288"/>
    <n v="8636"/>
    <m/>
    <m/>
    <n v="7154"/>
    <m/>
    <m/>
    <m/>
    <m/>
    <n v="0"/>
    <n v="0"/>
    <m/>
    <m/>
    <m/>
    <m/>
    <m/>
    <m/>
    <m/>
    <m/>
    <m/>
    <m/>
    <m/>
    <m/>
  </r>
  <r>
    <x v="11"/>
    <s v="Northeastern Technical College "/>
    <m/>
    <n v="217837"/>
    <x v="7"/>
    <n v="28692"/>
    <n v="30295"/>
    <n v="3246"/>
    <n v="2673"/>
    <n v="583"/>
    <n v="1096"/>
    <n v="24285"/>
    <n v="578"/>
    <m/>
    <n v="26325"/>
    <n v="201"/>
    <m/>
    <m/>
    <m/>
    <n v="0"/>
    <n v="0"/>
    <m/>
    <m/>
    <m/>
    <m/>
    <m/>
    <m/>
    <m/>
    <m/>
    <m/>
    <m/>
    <m/>
    <m/>
  </r>
  <r>
    <x v="11"/>
    <s v="Orangeburg-Calhoun Technical College "/>
    <m/>
    <n v="218487"/>
    <x v="7"/>
    <n v="48358"/>
    <n v="46955"/>
    <n v="14266"/>
    <n v="8570"/>
    <n v="5505"/>
    <n v="8608"/>
    <n v="28587"/>
    <m/>
    <m/>
    <n v="29777"/>
    <m/>
    <m/>
    <m/>
    <m/>
    <n v="0"/>
    <n v="0"/>
    <m/>
    <m/>
    <m/>
    <m/>
    <m/>
    <m/>
    <m/>
    <m/>
    <m/>
    <m/>
    <m/>
    <m/>
  </r>
  <r>
    <x v="11"/>
    <s v="Technical College of the Lowcountry"/>
    <m/>
    <n v="217712"/>
    <x v="7"/>
    <n v="42797"/>
    <n v="38957"/>
    <n v="12921"/>
    <n v="9524"/>
    <n v="1127"/>
    <n v="1805"/>
    <n v="28749"/>
    <m/>
    <m/>
    <n v="27628"/>
    <m/>
    <m/>
    <m/>
    <m/>
    <n v="0"/>
    <n v="0"/>
    <m/>
    <m/>
    <m/>
    <m/>
    <m/>
    <m/>
    <m/>
    <m/>
    <m/>
    <m/>
    <m/>
    <m/>
  </r>
  <r>
    <x v="11"/>
    <s v="University of South Carolina-Lancaster"/>
    <m/>
    <n v="218672"/>
    <x v="7"/>
    <n v="35556"/>
    <n v="35907"/>
    <n v="13308"/>
    <n v="9649"/>
    <n v="558"/>
    <n v="6977"/>
    <n v="16135"/>
    <m/>
    <n v="5555"/>
    <n v="19281"/>
    <m/>
    <m/>
    <m/>
    <m/>
    <n v="0"/>
    <n v="0"/>
    <m/>
    <m/>
    <m/>
    <m/>
    <m/>
    <m/>
    <m/>
    <m/>
    <m/>
    <m/>
    <m/>
    <m/>
  </r>
  <r>
    <x v="11"/>
    <s v="University of South Carolina-Salkehatchie"/>
    <m/>
    <n v="218681"/>
    <x v="7"/>
    <n v="19067"/>
    <n v="17360"/>
    <n v="8363"/>
    <n v="5405"/>
    <n v="4696"/>
    <n v="1781"/>
    <n v="6008"/>
    <m/>
    <m/>
    <n v="10174"/>
    <m/>
    <m/>
    <m/>
    <m/>
    <n v="0"/>
    <n v="0"/>
    <m/>
    <m/>
    <m/>
    <m/>
    <m/>
    <m/>
    <m/>
    <m/>
    <m/>
    <m/>
    <m/>
    <m/>
  </r>
  <r>
    <x v="11"/>
    <s v="University of South Carolina-Sumter"/>
    <m/>
    <n v="218690"/>
    <x v="7"/>
    <n v="25148"/>
    <n v="24615"/>
    <n v="8910"/>
    <n v="5817"/>
    <n v="3331"/>
    <n v="3129"/>
    <n v="12907"/>
    <m/>
    <m/>
    <n v="15669"/>
    <m/>
    <m/>
    <m/>
    <m/>
    <n v="0"/>
    <n v="0"/>
    <m/>
    <m/>
    <m/>
    <m/>
    <m/>
    <m/>
    <m/>
    <m/>
    <m/>
    <m/>
    <m/>
    <m/>
  </r>
  <r>
    <x v="11"/>
    <s v="University of South Carolina-Union"/>
    <m/>
    <n v="218706"/>
    <x v="7"/>
    <n v="20397"/>
    <n v="21196"/>
    <n v="5628"/>
    <n v="4665"/>
    <n v="5727"/>
    <n v="7805"/>
    <n v="9042"/>
    <m/>
    <m/>
    <n v="8726"/>
    <m/>
    <m/>
    <m/>
    <m/>
    <n v="0"/>
    <n v="0"/>
    <m/>
    <m/>
    <m/>
    <m/>
    <m/>
    <m/>
    <m/>
    <m/>
    <m/>
    <m/>
    <m/>
    <m/>
  </r>
  <r>
    <x v="11"/>
    <s v="Williamsburg Technical College "/>
    <m/>
    <n v="218955"/>
    <x v="7"/>
    <n v="13846"/>
    <n v="11533"/>
    <n v="6102"/>
    <n v="4481"/>
    <n v="1899"/>
    <n v="2071"/>
    <n v="5845"/>
    <m/>
    <m/>
    <n v="4981"/>
    <m/>
    <m/>
    <m/>
    <m/>
    <n v="0"/>
    <n v="0"/>
    <m/>
    <m/>
    <m/>
    <m/>
    <m/>
    <m/>
    <m/>
    <m/>
    <m/>
    <m/>
    <m/>
    <m/>
  </r>
  <r>
    <x v="12"/>
    <s v="University of Memphis"/>
    <m/>
    <n v="220862"/>
    <x v="0"/>
    <n v="414134"/>
    <n v="350068"/>
    <n v="232227"/>
    <n v="130844"/>
    <n v="20303"/>
    <n v="18785"/>
    <n v="131866"/>
    <n v="0"/>
    <n v="27537"/>
    <n v="156913"/>
    <n v="0"/>
    <n v="41202"/>
    <n v="2201"/>
    <n v="2324"/>
    <n v="68997"/>
    <n v="68593"/>
    <n v="32955"/>
    <n v="21620"/>
    <n v="78"/>
    <n v="18"/>
    <n v="29499"/>
    <n v="225"/>
    <n v="3341"/>
    <n v="36586"/>
    <n v="114"/>
    <n v="7338"/>
    <n v="2899"/>
    <n v="2917"/>
  </r>
  <r>
    <x v="12"/>
    <s v="University of Tennessee, Knoxville"/>
    <m/>
    <n v="221759"/>
    <x v="0"/>
    <n v="672972"/>
    <n v="689710"/>
    <n v="587265"/>
    <n v="499950"/>
    <n v="0"/>
    <n v="0"/>
    <n v="81623"/>
    <n v="0"/>
    <n v="832"/>
    <n v="185790"/>
    <n v="0"/>
    <n v="985"/>
    <n v="3252"/>
    <n v="2985"/>
    <n v="98584"/>
    <n v="100809"/>
    <n v="58033"/>
    <n v="58859"/>
    <n v="1775"/>
    <n v="858"/>
    <n v="36000"/>
    <n v="72"/>
    <n v="822"/>
    <n v="38180"/>
    <n v="54"/>
    <n v="927"/>
    <n v="1882"/>
    <n v="1931"/>
  </r>
  <r>
    <x v="12"/>
    <s v="East Tennessee State University "/>
    <m/>
    <n v="220075"/>
    <x v="1"/>
    <n v="296444"/>
    <n v="278622"/>
    <n v="166500"/>
    <n v="165086"/>
    <n v="10828"/>
    <n v="11485"/>
    <n v="96660"/>
    <n v="7234"/>
    <n v="13567"/>
    <n v="83189"/>
    <n v="5792"/>
    <n v="11669"/>
    <n v="1655"/>
    <n v="1401"/>
    <n v="45058"/>
    <n v="43519"/>
    <n v="14493"/>
    <n v="16115"/>
    <n v="469"/>
    <n v="315"/>
    <n v="27023"/>
    <n v="102"/>
    <n v="1438"/>
    <n v="23703"/>
    <n v="0"/>
    <n v="1673"/>
    <n v="1533"/>
    <n v="1713"/>
  </r>
  <r>
    <x v="12"/>
    <s v="Middle Tennessee State University "/>
    <m/>
    <n v="220978"/>
    <x v="1"/>
    <n v="496957"/>
    <n v="366610"/>
    <n v="256789"/>
    <n v="212399"/>
    <n v="7497"/>
    <n v="6212"/>
    <n v="213421"/>
    <n v="6"/>
    <n v="16424"/>
    <n v="131583"/>
    <n v="0"/>
    <n v="13924"/>
    <n v="2820"/>
    <n v="2492"/>
    <n v="38815"/>
    <n v="38954"/>
    <n v="13645"/>
    <n v="11964"/>
    <n v="791"/>
    <n v="144"/>
    <n v="22107"/>
    <n v="0"/>
    <n v="603"/>
    <n v="23657"/>
    <n v="0"/>
    <n v="1552"/>
    <n v="1669"/>
    <n v="1637"/>
  </r>
  <r>
    <x v="12"/>
    <s v="Tennessee State University "/>
    <m/>
    <n v="221838"/>
    <x v="1"/>
    <n v="95724"/>
    <n v="91852"/>
    <n v="49849"/>
    <n v="55224"/>
    <n v="9226"/>
    <n v="3618"/>
    <n v="30769"/>
    <n v="0"/>
    <n v="5571"/>
    <n v="29390"/>
    <n v="0"/>
    <n v="3437"/>
    <n v="309"/>
    <n v="183"/>
    <n v="17346"/>
    <n v="16164"/>
    <n v="6762"/>
    <n v="5029"/>
    <n v="1628"/>
    <n v="190"/>
    <n v="6833"/>
    <n v="0"/>
    <n v="1854"/>
    <n v="8665"/>
    <n v="0"/>
    <n v="2095"/>
    <n v="269"/>
    <n v="185"/>
  </r>
  <r>
    <x v="12"/>
    <s v="Austin Peay State University "/>
    <m/>
    <n v="219602"/>
    <x v="2"/>
    <n v="225669"/>
    <n v="200421"/>
    <n v="66586"/>
    <n v="59997"/>
    <n v="7894"/>
    <n v="7011"/>
    <n v="99019"/>
    <n v="0"/>
    <n v="50526"/>
    <n v="100437"/>
    <n v="0"/>
    <n v="31174"/>
    <n v="1644"/>
    <n v="1802"/>
    <n v="20028"/>
    <n v="20538"/>
    <n v="2079"/>
    <n v="2117"/>
    <n v="0"/>
    <n v="15"/>
    <n v="14854"/>
    <n v="0"/>
    <n v="2427"/>
    <n v="15461"/>
    <n v="0"/>
    <n v="2206"/>
    <n v="668"/>
    <n v="739"/>
  </r>
  <r>
    <x v="12"/>
    <s v="Tennessee Technological University "/>
    <m/>
    <n v="221847"/>
    <x v="2"/>
    <n v="240055"/>
    <n v="231112"/>
    <n v="125584"/>
    <n v="96987"/>
    <n v="4399"/>
    <n v="2441"/>
    <n v="37308"/>
    <n v="0"/>
    <n v="70348"/>
    <n v="61464"/>
    <n v="0"/>
    <n v="68171"/>
    <n v="2416"/>
    <n v="2049"/>
    <n v="18595"/>
    <n v="20795"/>
    <n v="2914"/>
    <n v="2122"/>
    <n v="54"/>
    <n v="0"/>
    <n v="11823"/>
    <n v="0"/>
    <n v="2950"/>
    <n v="14363"/>
    <n v="0"/>
    <n v="3285"/>
    <n v="854"/>
    <n v="1025"/>
  </r>
  <r>
    <x v="12"/>
    <s v="University of Tennessee at Chattanooga"/>
    <m/>
    <n v="221740"/>
    <x v="2"/>
    <n v="287566"/>
    <n v="279262"/>
    <n v="104332"/>
    <n v="112406"/>
    <n v="140"/>
    <n v="0"/>
    <n v="182164"/>
    <n v="0"/>
    <n v="3"/>
    <n v="165928"/>
    <n v="0"/>
    <n v="0"/>
    <n v="927"/>
    <n v="928"/>
    <n v="27496"/>
    <n v="28693"/>
    <n v="8448"/>
    <n v="12155"/>
    <n v="0"/>
    <n v="0"/>
    <n v="18846"/>
    <n v="0"/>
    <n v="0"/>
    <n v="16187"/>
    <n v="0"/>
    <n v="0"/>
    <n v="202"/>
    <n v="351"/>
  </r>
  <r>
    <x v="12"/>
    <s v="University of Tennessee at Martin"/>
    <m/>
    <n v="221768"/>
    <x v="3"/>
    <n v="159845"/>
    <n v="148421"/>
    <n v="77520"/>
    <n v="72657"/>
    <n v="11065"/>
    <n v="10538"/>
    <n v="68830"/>
    <n v="2174"/>
    <n v="72"/>
    <n v="62851"/>
    <n v="2146"/>
    <n v="3"/>
    <n v="184"/>
    <n v="226"/>
    <n v="11662"/>
    <n v="12352"/>
    <n v="562"/>
    <n v="715"/>
    <n v="0"/>
    <n v="24"/>
    <n v="11100"/>
    <n v="0"/>
    <n v="0"/>
    <n v="11425"/>
    <n v="188"/>
    <n v="0"/>
    <n v="0"/>
    <n v="0"/>
  </r>
  <r>
    <x v="12"/>
    <s v="Chattanooga State Technical Community College "/>
    <s v="Met the criteria for Two-Year 1 in  2021-22"/>
    <n v="219824"/>
    <x v="5"/>
    <n v="111678"/>
    <n v="100532"/>
    <n v="43222"/>
    <n v="20758"/>
    <n v="3836"/>
    <n v="3838"/>
    <n v="53542"/>
    <n v="0"/>
    <n v="10785"/>
    <n v="53194"/>
    <n v="0"/>
    <n v="22525"/>
    <n v="293"/>
    <n v="217"/>
    <n v="0"/>
    <n v="0"/>
    <m/>
    <m/>
    <m/>
    <m/>
    <m/>
    <m/>
    <m/>
    <m/>
    <m/>
    <m/>
    <m/>
    <m/>
  </r>
  <r>
    <x v="12"/>
    <s v="Nashville State Technical Community College"/>
    <s v="Met the criteria for Two-Year 1 in  2021-22"/>
    <n v="221184"/>
    <x v="5"/>
    <n v="146932"/>
    <n v="135870"/>
    <n v="26576"/>
    <n v="15706"/>
    <n v="29122"/>
    <n v="15376"/>
    <n v="52562"/>
    <n v="33"/>
    <n v="38565"/>
    <n v="54977"/>
    <n v="0"/>
    <n v="49717"/>
    <n v="74"/>
    <n v="94"/>
    <n v="0"/>
    <n v="0"/>
    <m/>
    <m/>
    <m/>
    <m/>
    <m/>
    <m/>
    <m/>
    <m/>
    <m/>
    <m/>
    <m/>
    <m/>
  </r>
  <r>
    <x v="12"/>
    <s v="Pellissippi State Technical Community College"/>
    <m/>
    <n v="221643"/>
    <x v="5"/>
    <n v="197859"/>
    <n v="138164"/>
    <n v="43804"/>
    <n v="23231"/>
    <n v="22255"/>
    <n v="14785"/>
    <n v="116666"/>
    <n v="75"/>
    <n v="15005"/>
    <n v="84913"/>
    <n v="0"/>
    <n v="15054"/>
    <n v="54"/>
    <n v="181"/>
    <n v="0"/>
    <n v="0"/>
    <m/>
    <m/>
    <m/>
    <m/>
    <m/>
    <m/>
    <m/>
    <m/>
    <m/>
    <m/>
    <m/>
    <m/>
  </r>
  <r>
    <x v="12"/>
    <s v="Southwest Tennessee Community College"/>
    <s v="Met the criteria for Two-Year 1 in  2021-22"/>
    <n v="221485"/>
    <x v="5"/>
    <n v="160122"/>
    <n v="127431"/>
    <n v="0"/>
    <n v="0"/>
    <n v="50423"/>
    <n v="15782"/>
    <n v="76484"/>
    <n v="0"/>
    <n v="33035"/>
    <n v="69131"/>
    <n v="462"/>
    <n v="41966"/>
    <n v="180"/>
    <n v="90"/>
    <n v="0"/>
    <n v="0"/>
    <m/>
    <m/>
    <m/>
    <m/>
    <m/>
    <m/>
    <m/>
    <m/>
    <m/>
    <m/>
    <m/>
    <m/>
  </r>
  <r>
    <x v="12"/>
    <s v="Volunteer State Community College "/>
    <m/>
    <n v="222053"/>
    <x v="5"/>
    <n v="152858"/>
    <n v="130125"/>
    <n v="35606"/>
    <n v="20631"/>
    <n v="13000"/>
    <n v="6138"/>
    <n v="96348"/>
    <n v="1337"/>
    <n v="6126"/>
    <n v="90188"/>
    <n v="6"/>
    <n v="12887"/>
    <n v="441"/>
    <n v="275"/>
    <n v="0"/>
    <n v="0"/>
    <m/>
    <m/>
    <m/>
    <m/>
    <m/>
    <m/>
    <m/>
    <m/>
    <m/>
    <m/>
    <m/>
    <m/>
  </r>
  <r>
    <x v="12"/>
    <s v="Cleveland State Community College "/>
    <m/>
    <n v="219879"/>
    <x v="6"/>
    <n v="65272"/>
    <n v="58947"/>
    <n v="16888"/>
    <n v="7243"/>
    <n v="6266"/>
    <n v="5252"/>
    <n v="19006"/>
    <n v="51"/>
    <n v="22423"/>
    <n v="23040"/>
    <n v="609"/>
    <n v="21587"/>
    <n v="638"/>
    <n v="1216"/>
    <n v="0"/>
    <n v="0"/>
    <m/>
    <m/>
    <m/>
    <m/>
    <m/>
    <m/>
    <m/>
    <m/>
    <m/>
    <m/>
    <m/>
    <m/>
  </r>
  <r>
    <x v="12"/>
    <s v="Columbia State Community College "/>
    <m/>
    <n v="219888"/>
    <x v="6"/>
    <n v="80936"/>
    <n v="55214"/>
    <n v="16007"/>
    <n v="6173"/>
    <n v="20284"/>
    <n v="8110"/>
    <n v="35326"/>
    <n v="0"/>
    <n v="9087"/>
    <n v="32463"/>
    <n v="0"/>
    <n v="8240"/>
    <n v="232"/>
    <n v="228"/>
    <n v="0"/>
    <n v="0"/>
    <m/>
    <m/>
    <m/>
    <m/>
    <m/>
    <m/>
    <m/>
    <m/>
    <m/>
    <m/>
    <m/>
    <m/>
  </r>
  <r>
    <x v="12"/>
    <s v="Jackson State Community College "/>
    <m/>
    <n v="220400"/>
    <x v="6"/>
    <n v="69811"/>
    <n v="60606"/>
    <n v="19249"/>
    <n v="12949"/>
    <n v="6835"/>
    <n v="4442"/>
    <n v="33536"/>
    <n v="1402"/>
    <n v="8788"/>
    <n v="36292"/>
    <n v="489"/>
    <n v="6428"/>
    <n v="1"/>
    <n v="6"/>
    <n v="0"/>
    <n v="0"/>
    <m/>
    <m/>
    <m/>
    <m/>
    <m/>
    <m/>
    <m/>
    <m/>
    <m/>
    <m/>
    <m/>
    <m/>
  </r>
  <r>
    <x v="12"/>
    <s v="Motlow State Community College "/>
    <m/>
    <n v="221096"/>
    <x v="6"/>
    <n v="120033"/>
    <n v="98319"/>
    <n v="9460"/>
    <n v="5282"/>
    <n v="36805"/>
    <n v="23465"/>
    <n v="61237"/>
    <n v="2512"/>
    <n v="9776"/>
    <n v="63037"/>
    <n v="533"/>
    <n v="5819"/>
    <n v="243"/>
    <n v="183"/>
    <n v="0"/>
    <n v="0"/>
    <m/>
    <m/>
    <m/>
    <m/>
    <m/>
    <m/>
    <m/>
    <m/>
    <m/>
    <m/>
    <m/>
    <m/>
  </r>
  <r>
    <x v="12"/>
    <s v="Northeast State Technical Community College"/>
    <m/>
    <n v="221908"/>
    <x v="6"/>
    <n v="107998"/>
    <n v="97586"/>
    <n v="32806"/>
    <n v="18625"/>
    <n v="20933"/>
    <n v="18602"/>
    <n v="48996"/>
    <n v="727"/>
    <n v="4405"/>
    <n v="49272"/>
    <n v="48"/>
    <n v="10896"/>
    <n v="131"/>
    <n v="143"/>
    <n v="0"/>
    <n v="0"/>
    <m/>
    <m/>
    <m/>
    <m/>
    <m/>
    <m/>
    <m/>
    <m/>
    <m/>
    <m/>
    <m/>
    <m/>
  </r>
  <r>
    <x v="12"/>
    <s v="Roane State Community College "/>
    <m/>
    <n v="221397"/>
    <x v="6"/>
    <n v="107267"/>
    <n v="89038"/>
    <n v="13436"/>
    <n v="6738"/>
    <n v="47461"/>
    <n v="27064"/>
    <n v="33808"/>
    <n v="3543"/>
    <n v="8970"/>
    <n v="46551"/>
    <n v="1405"/>
    <n v="7245"/>
    <n v="49"/>
    <n v="35"/>
    <n v="0"/>
    <n v="0"/>
    <m/>
    <m/>
    <m/>
    <m/>
    <m/>
    <m/>
    <m/>
    <m/>
    <m/>
    <m/>
    <m/>
    <m/>
  </r>
  <r>
    <x v="12"/>
    <s v="Walters State Community College "/>
    <m/>
    <n v="222062"/>
    <x v="6"/>
    <n v="108190"/>
    <n v="82225"/>
    <n v="19500"/>
    <n v="6068"/>
    <n v="21455"/>
    <n v="13226"/>
    <n v="31058"/>
    <n v="3512"/>
    <n v="32665"/>
    <n v="37094"/>
    <n v="54"/>
    <n v="25783"/>
    <n v="0"/>
    <n v="0"/>
    <n v="0"/>
    <n v="0"/>
    <m/>
    <m/>
    <m/>
    <m/>
    <m/>
    <m/>
    <m/>
    <m/>
    <m/>
    <m/>
    <m/>
    <m/>
  </r>
  <r>
    <x v="12"/>
    <s v="Dyersburg State Community College "/>
    <m/>
    <n v="220057"/>
    <x v="7"/>
    <n v="51028"/>
    <n v="40734"/>
    <n v="13815"/>
    <n v="9103"/>
    <n v="16581"/>
    <n v="11161"/>
    <n v="16548"/>
    <n v="2798"/>
    <n v="1020"/>
    <n v="19326"/>
    <n v="0"/>
    <n v="959"/>
    <n v="266"/>
    <n v="185"/>
    <n v="0"/>
    <n v="0"/>
    <m/>
    <m/>
    <m/>
    <m/>
    <m/>
    <m/>
    <m/>
    <m/>
    <m/>
    <m/>
    <m/>
    <m/>
  </r>
  <r>
    <x v="12"/>
    <s v="Tennessee College of Applied Technology at Athens"/>
    <m/>
    <n v="219596"/>
    <x v="9"/>
    <n v="0"/>
    <n v="0"/>
    <m/>
    <m/>
    <m/>
    <m/>
    <m/>
    <m/>
    <m/>
    <m/>
    <m/>
    <m/>
    <m/>
    <m/>
    <n v="0"/>
    <n v="0"/>
    <m/>
    <m/>
    <m/>
    <m/>
    <m/>
    <m/>
    <m/>
    <m/>
    <m/>
    <m/>
    <m/>
    <m/>
  </r>
  <r>
    <x v="12"/>
    <s v="Tennessee College of Applied Technology at Chattanooga"/>
    <m/>
    <s v="219824B"/>
    <x v="9"/>
    <n v="0"/>
    <n v="0"/>
    <m/>
    <m/>
    <m/>
    <m/>
    <m/>
    <m/>
    <m/>
    <m/>
    <m/>
    <m/>
    <m/>
    <m/>
    <n v="0"/>
    <n v="0"/>
    <m/>
    <m/>
    <m/>
    <m/>
    <m/>
    <m/>
    <m/>
    <m/>
    <m/>
    <m/>
    <m/>
    <m/>
  </r>
  <r>
    <x v="12"/>
    <s v="Tennessee College of Applied Technology at Covington"/>
    <m/>
    <n v="219921"/>
    <x v="9"/>
    <n v="0"/>
    <n v="0"/>
    <m/>
    <m/>
    <m/>
    <m/>
    <m/>
    <m/>
    <m/>
    <m/>
    <m/>
    <m/>
    <m/>
    <m/>
    <n v="0"/>
    <n v="0"/>
    <m/>
    <m/>
    <m/>
    <m/>
    <m/>
    <m/>
    <m/>
    <m/>
    <m/>
    <m/>
    <m/>
    <m/>
  </r>
  <r>
    <x v="12"/>
    <s v="Tennessee College of Applied Technology at Crossville"/>
    <m/>
    <n v="221591"/>
    <x v="9"/>
    <n v="0"/>
    <n v="0"/>
    <m/>
    <m/>
    <m/>
    <m/>
    <m/>
    <m/>
    <m/>
    <m/>
    <m/>
    <m/>
    <m/>
    <m/>
    <n v="0"/>
    <n v="0"/>
    <m/>
    <m/>
    <m/>
    <m/>
    <m/>
    <m/>
    <m/>
    <m/>
    <m/>
    <m/>
    <m/>
    <m/>
  </r>
  <r>
    <x v="12"/>
    <s v="Tennessee College of Applied Technology at Crump"/>
    <m/>
    <n v="221430"/>
    <x v="9"/>
    <n v="0"/>
    <n v="0"/>
    <m/>
    <m/>
    <m/>
    <m/>
    <m/>
    <m/>
    <m/>
    <m/>
    <m/>
    <m/>
    <m/>
    <m/>
    <n v="0"/>
    <n v="0"/>
    <m/>
    <m/>
    <m/>
    <m/>
    <m/>
    <m/>
    <m/>
    <m/>
    <m/>
    <m/>
    <m/>
    <m/>
  </r>
  <r>
    <x v="12"/>
    <s v="Tennessee College of Applied Technology at Dickson"/>
    <m/>
    <n v="219994"/>
    <x v="9"/>
    <n v="0"/>
    <n v="0"/>
    <m/>
    <m/>
    <m/>
    <m/>
    <m/>
    <m/>
    <m/>
    <m/>
    <m/>
    <m/>
    <m/>
    <m/>
    <n v="0"/>
    <n v="0"/>
    <m/>
    <m/>
    <m/>
    <m/>
    <m/>
    <m/>
    <m/>
    <m/>
    <m/>
    <m/>
    <m/>
    <m/>
  </r>
  <r>
    <x v="12"/>
    <s v="Tennessee College of Applied Technology at Elizabethton"/>
    <m/>
    <n v="220127"/>
    <x v="9"/>
    <n v="0"/>
    <n v="0"/>
    <m/>
    <m/>
    <m/>
    <m/>
    <m/>
    <m/>
    <m/>
    <m/>
    <m/>
    <m/>
    <m/>
    <m/>
    <n v="0"/>
    <n v="0"/>
    <m/>
    <m/>
    <m/>
    <m/>
    <m/>
    <m/>
    <m/>
    <m/>
    <m/>
    <m/>
    <m/>
    <m/>
  </r>
  <r>
    <x v="12"/>
    <s v="Tennessee College of Applied Technology at Harriman"/>
    <m/>
    <n v="220251"/>
    <x v="9"/>
    <n v="0"/>
    <n v="0"/>
    <m/>
    <m/>
    <m/>
    <m/>
    <m/>
    <m/>
    <m/>
    <m/>
    <m/>
    <m/>
    <m/>
    <m/>
    <n v="0"/>
    <n v="0"/>
    <m/>
    <m/>
    <m/>
    <m/>
    <m/>
    <m/>
    <m/>
    <m/>
    <m/>
    <m/>
    <m/>
    <m/>
  </r>
  <r>
    <x v="12"/>
    <s v="Tennessee College of Applied Technology at Hartsville"/>
    <m/>
    <n v="220279"/>
    <x v="9"/>
    <n v="0"/>
    <n v="0"/>
    <m/>
    <m/>
    <m/>
    <m/>
    <m/>
    <m/>
    <m/>
    <m/>
    <m/>
    <m/>
    <m/>
    <m/>
    <n v="0"/>
    <n v="0"/>
    <m/>
    <m/>
    <m/>
    <m/>
    <m/>
    <m/>
    <m/>
    <m/>
    <m/>
    <m/>
    <m/>
    <m/>
  </r>
  <r>
    <x v="12"/>
    <s v="Tennessee College of Applied Technology at Hohenwald"/>
    <m/>
    <n v="220321"/>
    <x v="9"/>
    <n v="0"/>
    <n v="0"/>
    <m/>
    <m/>
    <m/>
    <m/>
    <m/>
    <m/>
    <m/>
    <m/>
    <m/>
    <m/>
    <m/>
    <m/>
    <n v="0"/>
    <n v="0"/>
    <m/>
    <m/>
    <m/>
    <m/>
    <m/>
    <m/>
    <m/>
    <m/>
    <m/>
    <m/>
    <m/>
    <m/>
  </r>
  <r>
    <x v="12"/>
    <s v="Tennessee College of Applied Technology at Jacksboro"/>
    <m/>
    <n v="220394"/>
    <x v="9"/>
    <n v="0"/>
    <n v="0"/>
    <m/>
    <m/>
    <m/>
    <m/>
    <m/>
    <m/>
    <m/>
    <m/>
    <m/>
    <m/>
    <m/>
    <m/>
    <n v="0"/>
    <n v="0"/>
    <m/>
    <m/>
    <m/>
    <m/>
    <m/>
    <m/>
    <m/>
    <m/>
    <m/>
    <m/>
    <m/>
    <m/>
  </r>
  <r>
    <x v="12"/>
    <s v="Tennessee College of Applied Technology at Jackson"/>
    <m/>
    <n v="221616"/>
    <x v="9"/>
    <n v="0"/>
    <n v="0"/>
    <m/>
    <m/>
    <m/>
    <m/>
    <m/>
    <m/>
    <m/>
    <m/>
    <m/>
    <m/>
    <m/>
    <m/>
    <n v="0"/>
    <n v="0"/>
    <m/>
    <m/>
    <m/>
    <m/>
    <m/>
    <m/>
    <m/>
    <m/>
    <m/>
    <m/>
    <m/>
    <m/>
  </r>
  <r>
    <x v="12"/>
    <s v="Tennessee College of Applied Technology at Knoxville"/>
    <m/>
    <n v="221625"/>
    <x v="9"/>
    <n v="0"/>
    <n v="0"/>
    <m/>
    <m/>
    <m/>
    <m/>
    <m/>
    <m/>
    <m/>
    <m/>
    <m/>
    <m/>
    <m/>
    <m/>
    <n v="0"/>
    <n v="0"/>
    <m/>
    <m/>
    <m/>
    <m/>
    <m/>
    <m/>
    <m/>
    <m/>
    <m/>
    <m/>
    <m/>
    <m/>
  </r>
  <r>
    <x v="12"/>
    <s v="Tennessee College of Applied Technology at Livingston"/>
    <m/>
    <n v="220640"/>
    <x v="9"/>
    <n v="0"/>
    <n v="0"/>
    <m/>
    <m/>
    <m/>
    <m/>
    <m/>
    <m/>
    <m/>
    <m/>
    <m/>
    <m/>
    <m/>
    <m/>
    <n v="0"/>
    <n v="0"/>
    <m/>
    <m/>
    <m/>
    <m/>
    <m/>
    <m/>
    <m/>
    <m/>
    <m/>
    <m/>
    <m/>
    <m/>
  </r>
  <r>
    <x v="12"/>
    <s v="Tennessee College of Applied Technology at McKenzie"/>
    <m/>
    <n v="220756"/>
    <x v="9"/>
    <n v="0"/>
    <n v="0"/>
    <m/>
    <m/>
    <m/>
    <m/>
    <m/>
    <m/>
    <m/>
    <m/>
    <m/>
    <m/>
    <m/>
    <m/>
    <n v="0"/>
    <n v="0"/>
    <m/>
    <m/>
    <m/>
    <m/>
    <m/>
    <m/>
    <m/>
    <m/>
    <m/>
    <m/>
    <m/>
    <m/>
  </r>
  <r>
    <x v="12"/>
    <s v="Tennessee College of Applied Technology at McMinnville"/>
    <m/>
    <n v="221607"/>
    <x v="9"/>
    <n v="0"/>
    <n v="0"/>
    <m/>
    <m/>
    <m/>
    <m/>
    <m/>
    <m/>
    <m/>
    <m/>
    <m/>
    <m/>
    <m/>
    <m/>
    <n v="0"/>
    <n v="0"/>
    <m/>
    <m/>
    <m/>
    <m/>
    <m/>
    <m/>
    <m/>
    <m/>
    <m/>
    <m/>
    <m/>
    <m/>
  </r>
  <r>
    <x v="12"/>
    <s v="Tennessee College of Applied Technology at Memphis"/>
    <s v="Met the criteria for Technical Institute or College 1 in 2019-20."/>
    <n v="220853"/>
    <x v="9"/>
    <n v="0"/>
    <n v="0"/>
    <m/>
    <m/>
    <m/>
    <m/>
    <m/>
    <m/>
    <m/>
    <m/>
    <m/>
    <m/>
    <m/>
    <m/>
    <n v="0"/>
    <n v="0"/>
    <m/>
    <m/>
    <m/>
    <m/>
    <m/>
    <m/>
    <m/>
    <m/>
    <m/>
    <m/>
    <m/>
    <m/>
  </r>
  <r>
    <x v="12"/>
    <s v="Tennessee College of Applied Technology at Morristown"/>
    <m/>
    <n v="221050"/>
    <x v="9"/>
    <n v="0"/>
    <n v="0"/>
    <m/>
    <m/>
    <m/>
    <m/>
    <m/>
    <m/>
    <m/>
    <m/>
    <m/>
    <m/>
    <m/>
    <m/>
    <n v="0"/>
    <n v="0"/>
    <m/>
    <m/>
    <m/>
    <m/>
    <m/>
    <m/>
    <m/>
    <m/>
    <m/>
    <m/>
    <m/>
    <m/>
  </r>
  <r>
    <x v="12"/>
    <s v="Tennessee College of Applied Technology at Murfreesboro"/>
    <m/>
    <n v="221102"/>
    <x v="9"/>
    <n v="0"/>
    <n v="0"/>
    <m/>
    <m/>
    <m/>
    <m/>
    <m/>
    <m/>
    <m/>
    <m/>
    <m/>
    <m/>
    <m/>
    <m/>
    <n v="0"/>
    <n v="0"/>
    <m/>
    <m/>
    <m/>
    <m/>
    <m/>
    <m/>
    <m/>
    <m/>
    <m/>
    <m/>
    <m/>
    <m/>
  </r>
  <r>
    <x v="12"/>
    <s v="Tennessee College of Applied Technology at Nashville"/>
    <m/>
    <n v="248925"/>
    <x v="9"/>
    <n v="0"/>
    <n v="0"/>
    <m/>
    <m/>
    <m/>
    <m/>
    <m/>
    <m/>
    <m/>
    <m/>
    <m/>
    <m/>
    <m/>
    <m/>
    <n v="0"/>
    <n v="0"/>
    <m/>
    <m/>
    <m/>
    <m/>
    <m/>
    <m/>
    <m/>
    <m/>
    <m/>
    <m/>
    <m/>
    <m/>
  </r>
  <r>
    <x v="12"/>
    <s v="Tennessee College of Applied Technology at Newbern"/>
    <m/>
    <n v="221236"/>
    <x v="9"/>
    <n v="0"/>
    <n v="0"/>
    <m/>
    <m/>
    <m/>
    <m/>
    <m/>
    <m/>
    <m/>
    <m/>
    <m/>
    <m/>
    <m/>
    <m/>
    <n v="0"/>
    <n v="0"/>
    <m/>
    <m/>
    <m/>
    <m/>
    <m/>
    <m/>
    <m/>
    <m/>
    <m/>
    <m/>
    <m/>
    <m/>
  </r>
  <r>
    <x v="12"/>
    <s v="Tennessee College of Applied Technology at Oneida"/>
    <m/>
    <n v="221582"/>
    <x v="9"/>
    <n v="0"/>
    <n v="0"/>
    <m/>
    <m/>
    <m/>
    <m/>
    <m/>
    <m/>
    <m/>
    <m/>
    <m/>
    <m/>
    <m/>
    <m/>
    <n v="0"/>
    <n v="0"/>
    <m/>
    <m/>
    <m/>
    <m/>
    <m/>
    <m/>
    <m/>
    <m/>
    <m/>
    <m/>
    <m/>
    <m/>
  </r>
  <r>
    <x v="12"/>
    <s v="Tennessee College of Applied Technology at Paris"/>
    <m/>
    <n v="221281"/>
    <x v="9"/>
    <n v="0"/>
    <n v="0"/>
    <m/>
    <m/>
    <m/>
    <m/>
    <m/>
    <m/>
    <m/>
    <m/>
    <m/>
    <m/>
    <m/>
    <m/>
    <n v="0"/>
    <n v="0"/>
    <m/>
    <m/>
    <m/>
    <m/>
    <m/>
    <m/>
    <m/>
    <m/>
    <m/>
    <m/>
    <m/>
    <m/>
  </r>
  <r>
    <x v="12"/>
    <s v="Tennessee College of Applied Technology at Pulaski"/>
    <m/>
    <n v="221333"/>
    <x v="9"/>
    <n v="0"/>
    <n v="0"/>
    <m/>
    <m/>
    <m/>
    <m/>
    <m/>
    <m/>
    <m/>
    <m/>
    <m/>
    <m/>
    <m/>
    <m/>
    <n v="0"/>
    <n v="0"/>
    <m/>
    <m/>
    <m/>
    <m/>
    <m/>
    <m/>
    <m/>
    <m/>
    <m/>
    <m/>
    <m/>
    <m/>
  </r>
  <r>
    <x v="12"/>
    <s v="Tennessee College of Applied Technology at Ripley"/>
    <m/>
    <n v="221388"/>
    <x v="9"/>
    <n v="0"/>
    <n v="0"/>
    <m/>
    <m/>
    <m/>
    <m/>
    <m/>
    <m/>
    <m/>
    <m/>
    <m/>
    <m/>
    <m/>
    <m/>
    <n v="0"/>
    <n v="0"/>
    <m/>
    <m/>
    <m/>
    <m/>
    <m/>
    <m/>
    <m/>
    <m/>
    <m/>
    <m/>
    <m/>
    <m/>
  </r>
  <r>
    <x v="12"/>
    <s v="Tennessee College of Applied Technology at Shelbyville"/>
    <m/>
    <n v="221494"/>
    <x v="9"/>
    <n v="0"/>
    <n v="0"/>
    <m/>
    <m/>
    <m/>
    <m/>
    <m/>
    <m/>
    <m/>
    <m/>
    <m/>
    <m/>
    <m/>
    <m/>
    <n v="0"/>
    <n v="0"/>
    <m/>
    <m/>
    <m/>
    <m/>
    <m/>
    <m/>
    <m/>
    <m/>
    <m/>
    <m/>
    <m/>
    <m/>
  </r>
  <r>
    <x v="12"/>
    <s v="Tennessee College of Applied Technology at Whiteville"/>
    <m/>
    <n v="221634"/>
    <x v="9"/>
    <n v="0"/>
    <n v="0"/>
    <m/>
    <m/>
    <m/>
    <m/>
    <m/>
    <m/>
    <m/>
    <m/>
    <m/>
    <m/>
    <m/>
    <m/>
    <n v="0"/>
    <n v="0"/>
    <m/>
    <m/>
    <m/>
    <m/>
    <m/>
    <m/>
    <m/>
    <m/>
    <m/>
    <m/>
    <m/>
    <m/>
  </r>
  <r>
    <x v="13"/>
    <s v="Texas A&amp;M University "/>
    <m/>
    <n v="228723"/>
    <x v="0"/>
    <n v="1412275"/>
    <n v="1427046"/>
    <n v="823823"/>
    <n v="1202915"/>
    <n v="12230"/>
    <n v="11183"/>
    <n v="570458"/>
    <n v="0"/>
    <n v="5764"/>
    <n v="206650"/>
    <n v="243"/>
    <n v="6055"/>
    <m/>
    <m/>
    <n v="230260"/>
    <n v="231045"/>
    <n v="152391"/>
    <n v="190806"/>
    <n v="5100"/>
    <n v="6220"/>
    <n v="69891"/>
    <n v="312"/>
    <n v="2566"/>
    <n v="31119"/>
    <n v="270"/>
    <n v="2630"/>
    <m/>
    <m/>
  </r>
  <r>
    <x v="13"/>
    <s v="Texas Tech University "/>
    <m/>
    <n v="229115"/>
    <x v="0"/>
    <n v="888800"/>
    <n v="894464"/>
    <n v="351427"/>
    <n v="357564"/>
    <n v="10335"/>
    <n v="6598"/>
    <n v="526744"/>
    <n v="294"/>
    <n v="0"/>
    <n v="529969"/>
    <n v="333"/>
    <n v="0"/>
    <m/>
    <m/>
    <n v="129541"/>
    <n v="135954"/>
    <n v="47673"/>
    <n v="63678"/>
    <n v="1698"/>
    <n v="1689"/>
    <n v="80170"/>
    <n v="0"/>
    <n v="0"/>
    <n v="70512"/>
    <n v="72"/>
    <n v="3"/>
    <m/>
    <m/>
  </r>
  <r>
    <x v="13"/>
    <s v="University of Houston"/>
    <m/>
    <n v="225511"/>
    <x v="0"/>
    <n v="1001990"/>
    <n v="963133"/>
    <n v="311905"/>
    <n v="255675"/>
    <n v="6903"/>
    <n v="9235"/>
    <n v="682997"/>
    <n v="185"/>
    <n v="0"/>
    <n v="698223"/>
    <n v="0"/>
    <n v="0"/>
    <m/>
    <m/>
    <n v="173410"/>
    <n v="176198"/>
    <n v="91616"/>
    <n v="85066"/>
    <n v="642"/>
    <n v="429"/>
    <n v="81125"/>
    <n v="27"/>
    <n v="0"/>
    <n v="90703"/>
    <n v="0"/>
    <n v="0"/>
    <m/>
    <m/>
  </r>
  <r>
    <x v="13"/>
    <s v="University of North Texas"/>
    <m/>
    <n v="227216"/>
    <x v="0"/>
    <n v="863539"/>
    <n v="847536"/>
    <n v="338553"/>
    <n v="295963"/>
    <n v="8181"/>
    <n v="10081"/>
    <n v="300745"/>
    <n v="187022"/>
    <n v="29038"/>
    <n v="293549"/>
    <n v="224558"/>
    <n v="23385"/>
    <m/>
    <m/>
    <n v="123365"/>
    <n v="149537"/>
    <n v="45380"/>
    <n v="57471"/>
    <n v="1763"/>
    <n v="1800"/>
    <n v="51174"/>
    <n v="21454"/>
    <n v="3594"/>
    <n v="61115"/>
    <n v="26405"/>
    <n v="2746"/>
    <m/>
    <m/>
  </r>
  <r>
    <x v="13"/>
    <s v="University of Texas at Arlington"/>
    <m/>
    <n v="228769"/>
    <x v="0"/>
    <n v="779723"/>
    <n v="753924"/>
    <n v="529207"/>
    <n v="470745"/>
    <n v="2931"/>
    <n v="2069"/>
    <n v="247576"/>
    <n v="9"/>
    <n v="0"/>
    <n v="280915"/>
    <n v="195"/>
    <n v="0"/>
    <m/>
    <m/>
    <n v="212826"/>
    <n v="207504"/>
    <n v="74600"/>
    <n v="68765"/>
    <n v="3678"/>
    <n v="2190"/>
    <n v="134506"/>
    <n v="12"/>
    <n v="30"/>
    <n v="136456"/>
    <n v="93"/>
    <n v="0"/>
    <m/>
    <m/>
  </r>
  <r>
    <x v="13"/>
    <s v="University of Texas at Austin"/>
    <m/>
    <n v="228778"/>
    <x v="0"/>
    <n v="1120460"/>
    <n v="1109701"/>
    <n v="464433"/>
    <n v="403588"/>
    <n v="3935"/>
    <n v="900"/>
    <n v="633484"/>
    <n v="18557"/>
    <n v="51"/>
    <n v="694747"/>
    <n v="10466"/>
    <n v="0"/>
    <m/>
    <m/>
    <n v="233178"/>
    <n v="234430"/>
    <n v="133947"/>
    <n v="137216"/>
    <n v="292"/>
    <n v="210"/>
    <n v="95864"/>
    <n v="2403"/>
    <n v="672"/>
    <n v="95322"/>
    <n v="1109"/>
    <n v="573"/>
    <m/>
    <m/>
  </r>
  <r>
    <x v="13"/>
    <s v="University of Texas at Dallas"/>
    <m/>
    <n v="228787"/>
    <x v="0"/>
    <n v="572876"/>
    <n v="562999"/>
    <n v="292499"/>
    <n v="252958"/>
    <n v="2296"/>
    <n v="1426"/>
    <n v="278081"/>
    <n v="0"/>
    <n v="0"/>
    <n v="308615"/>
    <n v="0"/>
    <n v="0"/>
    <m/>
    <m/>
    <n v="135638"/>
    <n v="133439"/>
    <n v="83071"/>
    <n v="51705"/>
    <n v="448"/>
    <n v="528"/>
    <n v="52119"/>
    <n v="0"/>
    <n v="0"/>
    <n v="81206"/>
    <n v="0"/>
    <n v="0"/>
    <m/>
    <m/>
  </r>
  <r>
    <x v="13"/>
    <s v="University of Texas at San Antonio"/>
    <m/>
    <n v="229027"/>
    <x v="0"/>
    <n v="742160"/>
    <n v="734443"/>
    <n v="243315"/>
    <n v="107307"/>
    <n v="1095"/>
    <n v="770"/>
    <n v="497315"/>
    <n v="147"/>
    <n v="288"/>
    <n v="625946"/>
    <n v="0"/>
    <n v="420"/>
    <m/>
    <m/>
    <n v="75558"/>
    <n v="79009"/>
    <n v="31449"/>
    <n v="17009"/>
    <n v="702"/>
    <n v="57"/>
    <n v="43407"/>
    <n v="0"/>
    <n v="0"/>
    <n v="61943"/>
    <n v="0"/>
    <n v="0"/>
    <m/>
    <m/>
  </r>
  <r>
    <x v="13"/>
    <s v="Texas State University"/>
    <m/>
    <n v="228459"/>
    <x v="1"/>
    <n v="860446"/>
    <n v="840788"/>
    <n v="469716"/>
    <n v="395499"/>
    <n v="11396"/>
    <n v="14986"/>
    <n v="378945"/>
    <n v="255"/>
    <n v="134"/>
    <n v="424248"/>
    <n v="255"/>
    <n v="5800"/>
    <m/>
    <m/>
    <n v="72696"/>
    <n v="74968"/>
    <n v="29815"/>
    <n v="28620"/>
    <n v="7068"/>
    <n v="9840"/>
    <n v="34916"/>
    <n v="477"/>
    <n v="420"/>
    <n v="35577"/>
    <n v="369"/>
    <n v="562"/>
    <m/>
    <m/>
  </r>
  <r>
    <x v="13"/>
    <s v="Texas Woman's University"/>
    <s v="Met the requirments for Four-Year 1 in 2020-21, and 2021-22"/>
    <n v="229179"/>
    <x v="1"/>
    <n v="251440"/>
    <n v="241491"/>
    <n v="103049"/>
    <n v="78707"/>
    <n v="11730"/>
    <n v="12114"/>
    <n v="136661"/>
    <n v="0"/>
    <n v="0"/>
    <n v="150670"/>
    <n v="0"/>
    <n v="0"/>
    <m/>
    <m/>
    <n v="101598"/>
    <n v="110076"/>
    <n v="30722"/>
    <n v="30669"/>
    <n v="309"/>
    <n v="276"/>
    <n v="70431"/>
    <n v="136"/>
    <n v="0"/>
    <n v="78829"/>
    <n v="302"/>
    <n v="0"/>
    <m/>
    <m/>
  </r>
  <r>
    <x v="13"/>
    <s v="University of Texas at El Paso"/>
    <s v="Met the requirments for Four-Year 1 in 2020-21, and 2021-22"/>
    <n v="228796"/>
    <x v="1"/>
    <n v="519352"/>
    <n v="475836"/>
    <n v="182198"/>
    <n v="157971"/>
    <n v="685"/>
    <n v="408"/>
    <n v="336469"/>
    <n v="0"/>
    <n v="0"/>
    <n v="317457"/>
    <n v="0"/>
    <n v="0"/>
    <m/>
    <m/>
    <n v="65249"/>
    <n v="69249"/>
    <n v="26015"/>
    <n v="23285"/>
    <n v="219"/>
    <n v="33"/>
    <n v="39015"/>
    <n v="0"/>
    <n v="0"/>
    <n v="45931"/>
    <n v="0"/>
    <n v="0"/>
    <m/>
    <m/>
  </r>
  <r>
    <x v="13"/>
    <s v="Angelo State University"/>
    <m/>
    <n v="222831"/>
    <x v="2"/>
    <n v="193011"/>
    <n v="187438"/>
    <n v="132800"/>
    <n v="121488"/>
    <n v="0"/>
    <n v="0"/>
    <n v="60211"/>
    <n v="0"/>
    <n v="0"/>
    <n v="65950"/>
    <n v="0"/>
    <n v="0"/>
    <m/>
    <m/>
    <n v="27476"/>
    <n v="29750"/>
    <n v="6188"/>
    <n v="6109"/>
    <n v="0"/>
    <n v="0"/>
    <n v="21288"/>
    <n v="0"/>
    <n v="0"/>
    <n v="23641"/>
    <n v="0"/>
    <n v="0"/>
    <m/>
    <m/>
  </r>
  <r>
    <x v="13"/>
    <s v="Lamar University"/>
    <s v="Met the requirments for 4-Year 2 in 2021-22"/>
    <n v="226091"/>
    <x v="2"/>
    <n v="215931"/>
    <n v="208182"/>
    <n v="79965"/>
    <n v="52744"/>
    <n v="0"/>
    <n v="0"/>
    <n v="135966"/>
    <n v="0"/>
    <n v="0"/>
    <n v="155438"/>
    <n v="0"/>
    <n v="0"/>
    <m/>
    <m/>
    <n v="141145"/>
    <n v="152901"/>
    <n v="8003"/>
    <n v="6241"/>
    <n v="54"/>
    <n v="174"/>
    <n v="133088"/>
    <n v="0"/>
    <n v="0"/>
    <n v="146486"/>
    <n v="0"/>
    <n v="0"/>
    <m/>
    <m/>
  </r>
  <r>
    <x v="13"/>
    <s v="Midwestern State University"/>
    <m/>
    <n v="226833"/>
    <x v="2"/>
    <n v="121707"/>
    <n v="114406"/>
    <n v="81492"/>
    <n v="72251"/>
    <n v="781"/>
    <n v="864"/>
    <n v="39389"/>
    <n v="45"/>
    <n v="0"/>
    <n v="41224"/>
    <n v="67"/>
    <n v="0"/>
    <m/>
    <m/>
    <n v="9659"/>
    <n v="10216"/>
    <n v="2269"/>
    <n v="2511"/>
    <n v="0"/>
    <n v="0"/>
    <n v="7390"/>
    <n v="0"/>
    <n v="0"/>
    <n v="7705"/>
    <n v="0"/>
    <n v="0"/>
    <m/>
    <m/>
  </r>
  <r>
    <x v="13"/>
    <s v="Prairie View A&amp;M University"/>
    <m/>
    <n v="227526"/>
    <x v="2"/>
    <n v="225954"/>
    <n v="225834"/>
    <n v="94845"/>
    <n v="152499"/>
    <n v="6124"/>
    <n v="14037"/>
    <n v="124985"/>
    <n v="0"/>
    <n v="0"/>
    <n v="59198"/>
    <n v="100"/>
    <n v="0"/>
    <m/>
    <m/>
    <n v="12904"/>
    <n v="14319"/>
    <n v="3150"/>
    <n v="4503"/>
    <n v="1056"/>
    <n v="1723"/>
    <n v="8698"/>
    <n v="0"/>
    <n v="0"/>
    <n v="8078"/>
    <n v="15"/>
    <n v="0"/>
    <m/>
    <m/>
  </r>
  <r>
    <x v="13"/>
    <s v="Sam Houston State University "/>
    <s v="Met the requirments for 4-Year 2 in 2021-22"/>
    <n v="227881"/>
    <x v="2"/>
    <n v="478918"/>
    <n v="455344"/>
    <n v="169547"/>
    <n v="171110"/>
    <n v="1788"/>
    <n v="852"/>
    <n v="307583"/>
    <n v="0"/>
    <n v="0"/>
    <n v="283382"/>
    <n v="0"/>
    <n v="0"/>
    <m/>
    <m/>
    <n v="43490"/>
    <n v="47613"/>
    <n v="10805"/>
    <n v="11292"/>
    <n v="66"/>
    <n v="1149"/>
    <n v="32619"/>
    <n v="0"/>
    <n v="0"/>
    <n v="35172"/>
    <n v="0"/>
    <n v="0"/>
    <m/>
    <m/>
  </r>
  <r>
    <x v="13"/>
    <s v="Stephen F. Austin State University"/>
    <m/>
    <n v="228431"/>
    <x v="2"/>
    <n v="277484"/>
    <n v="273193"/>
    <n v="113256"/>
    <n v="71514"/>
    <n v="5832"/>
    <n v="6700"/>
    <n v="156053"/>
    <n v="1746"/>
    <n v="597"/>
    <n v="193130"/>
    <n v="1456"/>
    <n v="393"/>
    <m/>
    <m/>
    <n v="25189"/>
    <n v="30309"/>
    <n v="6287"/>
    <n v="5449"/>
    <n v="472"/>
    <n v="145"/>
    <n v="18360"/>
    <n v="16"/>
    <n v="54"/>
    <n v="24539"/>
    <n v="78"/>
    <n v="98"/>
    <m/>
    <m/>
  </r>
  <r>
    <x v="13"/>
    <s v="Sul Ross State University "/>
    <m/>
    <n v="228501"/>
    <x v="2"/>
    <n v="28178"/>
    <n v="25670"/>
    <n v="17397"/>
    <n v="14071"/>
    <n v="120"/>
    <n v="315"/>
    <n v="7878"/>
    <n v="378"/>
    <n v="2405"/>
    <n v="11032"/>
    <n v="252"/>
    <n v="0"/>
    <m/>
    <m/>
    <n v="6517"/>
    <n v="6371"/>
    <n v="875"/>
    <n v="578"/>
    <n v="60"/>
    <n v="158"/>
    <n v="5377"/>
    <n v="4"/>
    <n v="201"/>
    <n v="5632"/>
    <n v="3"/>
    <n v="0"/>
    <m/>
    <m/>
  </r>
  <r>
    <x v="13"/>
    <s v="Tarleton State University"/>
    <m/>
    <n v="228529"/>
    <x v="2"/>
    <n v="294766"/>
    <n v="298089"/>
    <n v="88029"/>
    <n v="93432"/>
    <n v="8358"/>
    <n v="836"/>
    <n v="198189"/>
    <n v="190"/>
    <n v="0"/>
    <n v="203419"/>
    <n v="402"/>
    <n v="0"/>
    <m/>
    <m/>
    <n v="33580"/>
    <n v="37732"/>
    <n v="1695"/>
    <n v="925"/>
    <n v="1983"/>
    <n v="1563"/>
    <n v="29869"/>
    <n v="33"/>
    <n v="0"/>
    <n v="35199"/>
    <n v="45"/>
    <n v="0"/>
    <m/>
    <m/>
  </r>
  <r>
    <x v="13"/>
    <s v="Texas A&amp;M International University"/>
    <m/>
    <n v="226152"/>
    <x v="2"/>
    <n v="181203"/>
    <n v="173189"/>
    <n v="130387"/>
    <n v="121049"/>
    <n v="516"/>
    <n v="132"/>
    <n v="50300"/>
    <n v="0"/>
    <n v="0"/>
    <n v="52008"/>
    <n v="0"/>
    <n v="0"/>
    <m/>
    <m/>
    <n v="22151"/>
    <n v="24931"/>
    <n v="5095"/>
    <n v="3947"/>
    <n v="81"/>
    <n v="138"/>
    <n v="16975"/>
    <n v="0"/>
    <n v="0"/>
    <n v="20846"/>
    <n v="0"/>
    <n v="0"/>
    <m/>
    <m/>
  </r>
  <r>
    <x v="13"/>
    <s v="Texas A&amp;M University-Commerce"/>
    <s v="Met the requirments for 4-Year 2 in 2021-22"/>
    <n v="224554"/>
    <x v="2"/>
    <n v="204988"/>
    <n v="184649"/>
    <n v="52968"/>
    <n v="22294"/>
    <n v="11266"/>
    <n v="7191"/>
    <n v="140661"/>
    <n v="93"/>
    <n v="0"/>
    <n v="155109"/>
    <n v="55"/>
    <n v="0"/>
    <m/>
    <m/>
    <n v="61837"/>
    <n v="64314"/>
    <n v="5424"/>
    <n v="4153"/>
    <n v="1672"/>
    <n v="577"/>
    <n v="54726"/>
    <n v="15"/>
    <n v="0"/>
    <n v="59569"/>
    <n v="15"/>
    <n v="0"/>
    <m/>
    <m/>
  </r>
  <r>
    <x v="13"/>
    <s v="Texas A&amp;M University-Corpus Christi "/>
    <s v="Met the requirments for 4-Year 2 in 2021-22"/>
    <n v="224147"/>
    <x v="2"/>
    <n v="224349"/>
    <n v="207923"/>
    <n v="105385"/>
    <n v="94743"/>
    <n v="0"/>
    <n v="0"/>
    <n v="118917"/>
    <n v="47"/>
    <n v="0"/>
    <n v="113084"/>
    <n v="96"/>
    <n v="0"/>
    <m/>
    <m/>
    <n v="42530"/>
    <n v="54140"/>
    <n v="7224"/>
    <n v="7708"/>
    <n v="0"/>
    <n v="0"/>
    <n v="35303"/>
    <n v="3"/>
    <n v="0"/>
    <n v="46429"/>
    <n v="3"/>
    <n v="0"/>
    <m/>
    <m/>
  </r>
  <r>
    <x v="13"/>
    <s v="Texas A&amp;M University-Kingsville"/>
    <m/>
    <n v="228705"/>
    <x v="2"/>
    <n v="142771"/>
    <n v="129140"/>
    <n v="82918"/>
    <n v="65628"/>
    <n v="2704"/>
    <n v="1607"/>
    <n v="47202"/>
    <n v="9947"/>
    <n v="0"/>
    <n v="61842"/>
    <n v="63"/>
    <n v="0"/>
    <m/>
    <m/>
    <n v="24117"/>
    <n v="25464"/>
    <n v="12077"/>
    <n v="10060"/>
    <n v="75"/>
    <n v="0"/>
    <n v="10778"/>
    <n v="1187"/>
    <n v="0"/>
    <n v="15305"/>
    <n v="99"/>
    <n v="0"/>
    <m/>
    <m/>
  </r>
  <r>
    <x v="13"/>
    <s v="Texas Southern University "/>
    <m/>
    <n v="229063"/>
    <x v="2"/>
    <n v="157667"/>
    <n v="148823"/>
    <n v="91243"/>
    <n v="89286"/>
    <n v="48"/>
    <n v="54"/>
    <n v="0"/>
    <n v="0"/>
    <n v="66376"/>
    <n v="0"/>
    <n v="0"/>
    <n v="59483"/>
    <m/>
    <m/>
    <n v="41935"/>
    <n v="41514"/>
    <n v="29399"/>
    <n v="30351"/>
    <n v="0"/>
    <n v="0"/>
    <n v="0"/>
    <n v="0"/>
    <n v="12536"/>
    <n v="0"/>
    <n v="0"/>
    <n v="11163"/>
    <m/>
    <m/>
  </r>
  <r>
    <x v="13"/>
    <s v="University of Houston-Clear Lake "/>
    <m/>
    <n v="225414"/>
    <x v="2"/>
    <n v="151280"/>
    <n v="152629"/>
    <n v="51744"/>
    <n v="45769"/>
    <n v="4557"/>
    <n v="2577"/>
    <n v="94979"/>
    <n v="0"/>
    <n v="0"/>
    <n v="104283"/>
    <n v="0"/>
    <n v="0"/>
    <m/>
    <m/>
    <n v="41126"/>
    <n v="40137"/>
    <n v="10572"/>
    <n v="7763"/>
    <n v="4194"/>
    <n v="2151"/>
    <n v="26360"/>
    <n v="0"/>
    <n v="0"/>
    <n v="30223"/>
    <n v="0"/>
    <n v="0"/>
    <m/>
    <m/>
  </r>
  <r>
    <x v="13"/>
    <s v="University of Texas at Tyler"/>
    <m/>
    <n v="228802"/>
    <x v="2"/>
    <n v="179820"/>
    <n v="176525"/>
    <n v="55022"/>
    <n v="51716"/>
    <n v="8697"/>
    <n v="7613"/>
    <n v="115077"/>
    <n v="1024"/>
    <n v="0"/>
    <n v="115961"/>
    <n v="1235"/>
    <n v="0"/>
    <m/>
    <m/>
    <n v="38854"/>
    <n v="38455"/>
    <n v="3651"/>
    <n v="4086"/>
    <n v="18"/>
    <n v="12"/>
    <n v="35122"/>
    <n v="63"/>
    <n v="0"/>
    <n v="34291"/>
    <n v="66"/>
    <n v="0"/>
    <m/>
    <m/>
  </r>
  <r>
    <x v="13"/>
    <s v="University of Texas Permian Basin"/>
    <m/>
    <n v="229018"/>
    <x v="2"/>
    <n v="102741"/>
    <n v="101003"/>
    <n v="31108"/>
    <n v="33979"/>
    <n v="81"/>
    <n v="213"/>
    <n v="71552"/>
    <n v="0"/>
    <n v="0"/>
    <n v="66811"/>
    <n v="0"/>
    <n v="0"/>
    <m/>
    <m/>
    <n v="15981"/>
    <n v="17820"/>
    <n v="1716"/>
    <n v="1588"/>
    <n v="0"/>
    <n v="0"/>
    <n v="14265"/>
    <n v="0"/>
    <n v="0"/>
    <n v="16232"/>
    <n v="0"/>
    <n v="0"/>
    <m/>
    <m/>
  </r>
  <r>
    <x v="13"/>
    <s v="University of Texas-Rio Grande Valley"/>
    <s v="Met the requirments for 4-Year 2 in 2021-22"/>
    <n v="227368"/>
    <x v="2"/>
    <n v="722418"/>
    <n v="688467"/>
    <n v="198346"/>
    <n v="184788"/>
    <n v="2653"/>
    <n v="4264"/>
    <n v="514775"/>
    <n v="6644"/>
    <n v="0"/>
    <n v="495454"/>
    <n v="3961"/>
    <n v="0"/>
    <m/>
    <m/>
    <n v="89493"/>
    <n v="110798"/>
    <n v="14757"/>
    <n v="18981"/>
    <n v="456"/>
    <n v="478"/>
    <n v="72742"/>
    <n v="1538"/>
    <n v="0"/>
    <n v="90565"/>
    <n v="774"/>
    <n v="0"/>
    <m/>
    <m/>
  </r>
  <r>
    <x v="13"/>
    <s v="West Texas A&amp;M University"/>
    <m/>
    <n v="229814"/>
    <x v="2"/>
    <n v="187090"/>
    <n v="177055"/>
    <n v="113689"/>
    <n v="100997"/>
    <n v="303"/>
    <n v="33"/>
    <n v="73098"/>
    <n v="0"/>
    <n v="0"/>
    <n v="76025"/>
    <n v="0"/>
    <n v="0"/>
    <m/>
    <m/>
    <n v="38575"/>
    <n v="37951"/>
    <n v="5400"/>
    <n v="4637"/>
    <n v="0"/>
    <n v="0"/>
    <n v="33175"/>
    <n v="0"/>
    <n v="0"/>
    <n v="33314"/>
    <n v="0"/>
    <n v="0"/>
    <m/>
    <m/>
  </r>
  <r>
    <x v="13"/>
    <s v="Texas A&amp;M -Texarkana"/>
    <s v="Met the requirments for 4-Year 3 in 2021-22"/>
    <n v="224545"/>
    <x v="3"/>
    <n v="43513"/>
    <n v="41165"/>
    <n v="14065"/>
    <n v="12297"/>
    <n v="772"/>
    <n v="522"/>
    <n v="28544"/>
    <n v="132"/>
    <n v="0"/>
    <n v="28157"/>
    <n v="189"/>
    <n v="0"/>
    <m/>
    <m/>
    <n v="5528"/>
    <n v="5390"/>
    <n v="433"/>
    <n v="375"/>
    <n v="75"/>
    <n v="0"/>
    <n v="5020"/>
    <n v="0"/>
    <n v="0"/>
    <n v="5015"/>
    <n v="0"/>
    <n v="0"/>
    <m/>
    <m/>
  </r>
  <r>
    <x v="13"/>
    <s v="Texas A&amp;M University-Central Texas"/>
    <m/>
    <n v="483036"/>
    <x v="2"/>
    <n v="39440"/>
    <n v="36958"/>
    <n v="10185"/>
    <n v="2595"/>
    <n v="444"/>
    <n v="342"/>
    <n v="27142"/>
    <n v="1669"/>
    <n v="0"/>
    <n v="32397"/>
    <n v="1624"/>
    <n v="0"/>
    <m/>
    <m/>
    <n v="7891"/>
    <n v="7961"/>
    <n v="2134"/>
    <n v="312"/>
    <n v="0"/>
    <n v="0"/>
    <n v="5508"/>
    <n v="249"/>
    <n v="0"/>
    <n v="6710"/>
    <n v="939"/>
    <n v="0"/>
    <m/>
    <m/>
  </r>
  <r>
    <x v="13"/>
    <s v="University of Houston-Downtown"/>
    <s v="Met the requirments for 4-Year 3 in 2021-22"/>
    <n v="225432"/>
    <x v="3"/>
    <n v="293542"/>
    <n v="295433"/>
    <n v="55135"/>
    <n v="33511"/>
    <n v="3035"/>
    <n v="1966"/>
    <n v="235043"/>
    <n v="329"/>
    <n v="0"/>
    <n v="259465"/>
    <n v="491"/>
    <n v="0"/>
    <m/>
    <m/>
    <n v="27336"/>
    <n v="26950"/>
    <n v="1077"/>
    <n v="837"/>
    <n v="0"/>
    <n v="0"/>
    <n v="26220"/>
    <n v="39"/>
    <n v="0"/>
    <n v="26062"/>
    <n v="51"/>
    <n v="0"/>
    <m/>
    <m/>
  </r>
  <r>
    <x v="13"/>
    <s v="University of Houston-Victoria"/>
    <s v="Met the requirments for 4-Year 3 in 2021-22"/>
    <n v="225502"/>
    <x v="3"/>
    <n v="75176"/>
    <n v="71106"/>
    <n v="10029"/>
    <n v="5479"/>
    <n v="1404"/>
    <n v="885"/>
    <n v="61964"/>
    <n v="1779"/>
    <n v="0"/>
    <n v="64184"/>
    <n v="558"/>
    <n v="0"/>
    <m/>
    <m/>
    <n v="24568"/>
    <n v="21280"/>
    <n v="127"/>
    <n v="90"/>
    <n v="769"/>
    <n v="405"/>
    <n v="22997"/>
    <n v="675"/>
    <n v="0"/>
    <n v="20374"/>
    <n v="411"/>
    <n v="0"/>
    <m/>
    <m/>
  </r>
  <r>
    <x v="13"/>
    <s v="Sul Ross State University-Rio Grande College"/>
    <s v="Met the requirments for 4-Year 4 in 2021-22"/>
    <s v="228501B"/>
    <x v="4"/>
    <n v="14314"/>
    <n v="13433"/>
    <n v="629"/>
    <n v="726"/>
    <n v="168"/>
    <n v="144"/>
    <n v="9309"/>
    <n v="2142"/>
    <n v="2066"/>
    <n v="11441"/>
    <n v="1122"/>
    <n v="0"/>
    <m/>
    <m/>
    <n v="1512"/>
    <n v="1596"/>
    <n v="192"/>
    <n v="6"/>
    <n v="120"/>
    <n v="174"/>
    <n v="948"/>
    <n v="90"/>
    <n v="162"/>
    <n v="1398"/>
    <n v="18"/>
    <n v="0"/>
    <m/>
    <m/>
  </r>
  <r>
    <x v="13"/>
    <s v="Texas A&amp;M University at Galveston"/>
    <s v="Met the requirments for 4-Year 4 in 2021-22"/>
    <n v="228714"/>
    <x v="4"/>
    <n v="50583"/>
    <n v="49604"/>
    <n v="28418"/>
    <n v="42548"/>
    <n v="5621"/>
    <n v="3041"/>
    <n v="16475"/>
    <n v="9"/>
    <n v="60"/>
    <n v="3915"/>
    <n v="0"/>
    <n v="100"/>
    <m/>
    <m/>
    <n v="2949"/>
    <n v="3330"/>
    <n v="1326"/>
    <n v="2040"/>
    <n v="143"/>
    <n v="219"/>
    <n v="1446"/>
    <n v="0"/>
    <n v="34"/>
    <n v="1070"/>
    <n v="0"/>
    <n v="1"/>
    <m/>
    <m/>
  </r>
  <r>
    <x v="13"/>
    <s v="Texas A&amp;M University-San Antonio"/>
    <s v="Met the requirments for 4-Year 4 in 2021-22"/>
    <n v="870501"/>
    <x v="3"/>
    <n v="134983"/>
    <n v="133102"/>
    <n v="45530"/>
    <n v="25164"/>
    <n v="807"/>
    <n v="0"/>
    <n v="88493"/>
    <n v="0"/>
    <n v="153"/>
    <n v="107489"/>
    <n v="0"/>
    <n v="449"/>
    <m/>
    <m/>
    <n v="10713"/>
    <n v="8326"/>
    <n v="2115"/>
    <n v="1063"/>
    <n v="0"/>
    <n v="0"/>
    <n v="7482"/>
    <n v="0"/>
    <n v="1116"/>
    <n v="7263"/>
    <n v="0"/>
    <n v="0"/>
    <m/>
    <m/>
  </r>
  <r>
    <x v="13"/>
    <s v="Brazosport College "/>
    <s v="Met the criteria Two-Year 2 in 2020-21, and 2021-22"/>
    <n v="223506"/>
    <x v="12"/>
    <n v="66819"/>
    <n v="66450"/>
    <n v="22631"/>
    <n v="14106"/>
    <n v="1074"/>
    <n v="991"/>
    <n v="43114"/>
    <n v="0"/>
    <n v="0"/>
    <n v="51353"/>
    <n v="0"/>
    <n v="0"/>
    <m/>
    <m/>
    <n v="0"/>
    <n v="0"/>
    <n v="0"/>
    <n v="0"/>
    <n v="0"/>
    <n v="0"/>
    <n v="0"/>
    <n v="0"/>
    <n v="0"/>
    <n v="0"/>
    <n v="0"/>
    <n v="0"/>
    <m/>
    <m/>
  </r>
  <r>
    <x v="13"/>
    <s v="Midland College "/>
    <s v="Met the criteria Two-Year 2 in 2020-21, and 2021-22"/>
    <n v="226806"/>
    <x v="12"/>
    <n v="87722"/>
    <n v="86243"/>
    <n v="28881"/>
    <n v="30732"/>
    <n v="9972"/>
    <n v="10367"/>
    <n v="48230"/>
    <n v="639"/>
    <n v="0"/>
    <n v="44670"/>
    <n v="474"/>
    <n v="0"/>
    <m/>
    <m/>
    <n v="0"/>
    <n v="0"/>
    <n v="0"/>
    <n v="0"/>
    <n v="0"/>
    <n v="0"/>
    <n v="0"/>
    <n v="0"/>
    <n v="0"/>
    <n v="0"/>
    <n v="0"/>
    <n v="0"/>
    <m/>
    <m/>
  </r>
  <r>
    <x v="13"/>
    <s v="South Texas College"/>
    <s v="Met the critera for Two-Year 1 in 2020-21, and 2021-22"/>
    <n v="409315"/>
    <x v="12"/>
    <n v="591272"/>
    <n v="524265"/>
    <n v="213381"/>
    <n v="119684"/>
    <n v="0"/>
    <n v="0"/>
    <n v="377891"/>
    <n v="0"/>
    <n v="0"/>
    <n v="404581"/>
    <n v="0"/>
    <n v="0"/>
    <m/>
    <m/>
    <n v="0"/>
    <n v="0"/>
    <n v="0"/>
    <n v="0"/>
    <n v="0"/>
    <n v="0"/>
    <n v="0"/>
    <n v="0"/>
    <n v="0"/>
    <n v="0"/>
    <n v="0"/>
    <n v="0"/>
    <m/>
    <m/>
  </r>
  <r>
    <x v="13"/>
    <s v="Amarillo College "/>
    <m/>
    <n v="222576"/>
    <x v="5"/>
    <n v="166868"/>
    <n v="160783"/>
    <n v="77187"/>
    <n v="67059"/>
    <n v="7069"/>
    <n v="9694"/>
    <n v="82306"/>
    <n v="306"/>
    <n v="0"/>
    <n v="83922"/>
    <n v="108"/>
    <n v="0"/>
    <m/>
    <m/>
    <n v="0"/>
    <n v="0"/>
    <n v="0"/>
    <n v="0"/>
    <n v="0"/>
    <n v="0"/>
    <n v="0"/>
    <n v="0"/>
    <n v="0"/>
    <n v="0"/>
    <n v="0"/>
    <n v="0"/>
    <m/>
    <m/>
  </r>
  <r>
    <x v="13"/>
    <s v="Austin Community College "/>
    <m/>
    <n v="222992"/>
    <x v="5"/>
    <n v="722940"/>
    <n v="674400"/>
    <n v="231307"/>
    <n v="73995"/>
    <n v="20846"/>
    <n v="18690"/>
    <n v="470787"/>
    <n v="0"/>
    <n v="0"/>
    <n v="581715"/>
    <n v="0"/>
    <n v="0"/>
    <m/>
    <m/>
    <n v="0"/>
    <n v="0"/>
    <n v="0"/>
    <n v="0"/>
    <n v="0"/>
    <n v="0"/>
    <n v="0"/>
    <n v="0"/>
    <n v="0"/>
    <n v="0"/>
    <n v="0"/>
    <n v="0"/>
    <m/>
    <m/>
  </r>
  <r>
    <x v="13"/>
    <s v="Blinn College"/>
    <s v="Met the criteria Two-Year 3 in 2021-22"/>
    <n v="223427"/>
    <x v="5"/>
    <n v="408413"/>
    <n v="361863"/>
    <n v="25308"/>
    <n v="20582"/>
    <n v="107915"/>
    <n v="89735"/>
    <n v="265522"/>
    <n v="9665"/>
    <n v="3"/>
    <n v="230622"/>
    <n v="16607"/>
    <n v="4317"/>
    <m/>
    <m/>
    <n v="0"/>
    <n v="0"/>
    <n v="0"/>
    <n v="0"/>
    <n v="0"/>
    <n v="0"/>
    <n v="0"/>
    <n v="0"/>
    <n v="0"/>
    <n v="0"/>
    <n v="0"/>
    <n v="0"/>
    <m/>
    <m/>
  </r>
  <r>
    <x v="13"/>
    <s v="Brookhaven College (DCCCD)"/>
    <m/>
    <n v="223524"/>
    <x v="5"/>
    <n v="135968"/>
    <n v="0"/>
    <n v="50660"/>
    <m/>
    <n v="4186"/>
    <m/>
    <n v="81122"/>
    <n v="0"/>
    <n v="0"/>
    <m/>
    <m/>
    <m/>
    <m/>
    <m/>
    <n v="0"/>
    <n v="0"/>
    <n v="0"/>
    <n v="0"/>
    <n v="0"/>
    <n v="0"/>
    <n v="0"/>
    <n v="0"/>
    <n v="0"/>
    <n v="0"/>
    <n v="0"/>
    <n v="0"/>
    <m/>
    <m/>
  </r>
  <r>
    <x v="13"/>
    <s v="Central Texas College "/>
    <m/>
    <n v="223816"/>
    <x v="5"/>
    <n v="201609"/>
    <n v="168756"/>
    <n v="32259"/>
    <n v="21547"/>
    <n v="13078"/>
    <n v="5786"/>
    <n v="136438"/>
    <n v="19647"/>
    <n v="187"/>
    <n v="122333"/>
    <n v="18838"/>
    <n v="252"/>
    <m/>
    <m/>
    <n v="0"/>
    <n v="0"/>
    <n v="0"/>
    <n v="0"/>
    <n v="0"/>
    <n v="0"/>
    <n v="0"/>
    <n v="0"/>
    <n v="0"/>
    <n v="0"/>
    <n v="0"/>
    <n v="0"/>
    <m/>
    <m/>
  </r>
  <r>
    <x v="13"/>
    <s v="Collin County Community College District"/>
    <m/>
    <n v="247834"/>
    <x v="5"/>
    <n v="640606"/>
    <n v="627448"/>
    <n v="208802"/>
    <n v="181981"/>
    <n v="41879"/>
    <n v="40409"/>
    <n v="389835"/>
    <n v="0"/>
    <n v="90"/>
    <n v="405058"/>
    <n v="0"/>
    <n v="0"/>
    <m/>
    <m/>
    <n v="0"/>
    <n v="0"/>
    <n v="0"/>
    <n v="0"/>
    <n v="0"/>
    <n v="0"/>
    <n v="0"/>
    <n v="0"/>
    <n v="0"/>
    <n v="0"/>
    <n v="0"/>
    <n v="0"/>
    <m/>
    <m/>
  </r>
  <r>
    <x v="13"/>
    <s v="Del Mar College "/>
    <m/>
    <n v="224350"/>
    <x v="5"/>
    <n v="193052"/>
    <n v="193040"/>
    <n v="95810"/>
    <n v="57901"/>
    <n v="4207"/>
    <n v="3175"/>
    <n v="91076"/>
    <n v="1959"/>
    <n v="0"/>
    <n v="130374"/>
    <n v="1590"/>
    <n v="0"/>
    <m/>
    <m/>
    <n v="0"/>
    <n v="0"/>
    <n v="0"/>
    <n v="0"/>
    <n v="0"/>
    <n v="0"/>
    <n v="0"/>
    <n v="0"/>
    <n v="0"/>
    <n v="0"/>
    <n v="0"/>
    <n v="0"/>
    <m/>
    <m/>
  </r>
  <r>
    <x v="13"/>
    <s v="Eastfield College (DCCCD)"/>
    <s v="Met the criteria Two-Year 3 2021-22"/>
    <n v="224572"/>
    <x v="5"/>
    <n v="193615"/>
    <n v="0"/>
    <n v="70359"/>
    <m/>
    <n v="21301"/>
    <m/>
    <n v="101834"/>
    <n v="0"/>
    <n v="121"/>
    <m/>
    <m/>
    <m/>
    <m/>
    <m/>
    <n v="0"/>
    <n v="0"/>
    <n v="0"/>
    <n v="0"/>
    <n v="0"/>
    <n v="0"/>
    <n v="0"/>
    <n v="0"/>
    <n v="0"/>
    <n v="0"/>
    <n v="0"/>
    <n v="0"/>
    <m/>
    <m/>
  </r>
  <r>
    <x v="13"/>
    <s v="El Centro College  (DCCCD)"/>
    <s v="Met the criteria Two-Year 3 2021-22"/>
    <n v="224615"/>
    <x v="5"/>
    <n v="107210"/>
    <n v="0"/>
    <n v="39319"/>
    <m/>
    <n v="7960"/>
    <m/>
    <n v="59931"/>
    <n v="0"/>
    <n v="0"/>
    <m/>
    <m/>
    <m/>
    <m/>
    <m/>
    <n v="0"/>
    <n v="0"/>
    <n v="0"/>
    <n v="0"/>
    <n v="0"/>
    <n v="0"/>
    <n v="0"/>
    <n v="0"/>
    <n v="0"/>
    <n v="0"/>
    <n v="0"/>
    <n v="0"/>
    <m/>
    <m/>
  </r>
  <r>
    <x v="13"/>
    <s v="El Paso County Community College District"/>
    <m/>
    <n v="224642"/>
    <x v="5"/>
    <n v="489541"/>
    <n v="420247"/>
    <n v="144491"/>
    <n v="25421"/>
    <n v="34137"/>
    <n v="37999"/>
    <n v="310913"/>
    <n v="0"/>
    <n v="0"/>
    <n v="356827"/>
    <n v="0"/>
    <n v="0"/>
    <m/>
    <m/>
    <n v="0"/>
    <n v="0"/>
    <n v="0"/>
    <n v="0"/>
    <n v="0"/>
    <n v="0"/>
    <n v="0"/>
    <n v="0"/>
    <n v="0"/>
    <n v="0"/>
    <n v="0"/>
    <n v="0"/>
    <m/>
    <m/>
  </r>
  <r>
    <x v="13"/>
    <s v="Houston Community College"/>
    <m/>
    <n v="225423"/>
    <x v="5"/>
    <n v="955174"/>
    <n v="866165"/>
    <n v="223918"/>
    <n v="57821"/>
    <n v="75957"/>
    <n v="26518"/>
    <n v="655299"/>
    <n v="0"/>
    <n v="0"/>
    <n v="781826"/>
    <n v="0"/>
    <n v="0"/>
    <m/>
    <m/>
    <n v="0"/>
    <n v="0"/>
    <n v="0"/>
    <n v="0"/>
    <n v="0"/>
    <n v="0"/>
    <n v="0"/>
    <n v="0"/>
    <n v="0"/>
    <n v="0"/>
    <n v="0"/>
    <n v="0"/>
    <m/>
    <m/>
  </r>
  <r>
    <x v="13"/>
    <s v="Laredo College "/>
    <m/>
    <n v="226134"/>
    <x v="5"/>
    <n v="145391"/>
    <n v="183455"/>
    <n v="47717"/>
    <n v="19501"/>
    <n v="23119"/>
    <n v="18873"/>
    <n v="74246"/>
    <n v="309"/>
    <n v="0"/>
    <n v="142284"/>
    <n v="2797"/>
    <n v="0"/>
    <m/>
    <m/>
    <n v="0"/>
    <n v="0"/>
    <n v="0"/>
    <n v="0"/>
    <n v="0"/>
    <n v="0"/>
    <n v="0"/>
    <n v="0"/>
    <n v="0"/>
    <n v="0"/>
    <n v="0"/>
    <n v="0"/>
    <m/>
    <m/>
  </r>
  <r>
    <x v="13"/>
    <s v="Lone Star College System District"/>
    <m/>
    <n v="227182"/>
    <x v="5"/>
    <n v="1236648"/>
    <n v="1268558"/>
    <n v="314472"/>
    <n v="86904"/>
    <n v="90811"/>
    <n v="72123"/>
    <n v="831365"/>
    <n v="0"/>
    <n v="0"/>
    <n v="1109531"/>
    <n v="0"/>
    <n v="0"/>
    <m/>
    <m/>
    <n v="0"/>
    <n v="0"/>
    <n v="0"/>
    <n v="0"/>
    <n v="0"/>
    <n v="0"/>
    <n v="0"/>
    <n v="0"/>
    <n v="0"/>
    <n v="0"/>
    <n v="0"/>
    <n v="0"/>
    <m/>
    <m/>
  </r>
  <r>
    <x v="13"/>
    <s v="McLennan Community College "/>
    <m/>
    <n v="226578"/>
    <x v="5"/>
    <n v="168316"/>
    <n v="151035"/>
    <n v="41760"/>
    <n v="24926"/>
    <n v="0"/>
    <n v="0"/>
    <n v="126385"/>
    <n v="171"/>
    <n v="0"/>
    <n v="126109"/>
    <n v="0"/>
    <n v="0"/>
    <m/>
    <m/>
    <n v="0"/>
    <n v="0"/>
    <n v="0"/>
    <n v="0"/>
    <n v="0"/>
    <n v="0"/>
    <n v="0"/>
    <n v="0"/>
    <n v="0"/>
    <n v="0"/>
    <n v="0"/>
    <n v="0"/>
    <m/>
    <m/>
  </r>
  <r>
    <x v="13"/>
    <s v="Mountain View College  (DCCCD)"/>
    <s v="Met the criteria Two-Year 3 2021-22"/>
    <n v="226930"/>
    <x v="5"/>
    <n v="119701"/>
    <n v="0"/>
    <n v="45733"/>
    <m/>
    <n v="6261"/>
    <m/>
    <n v="67707"/>
    <n v="0"/>
    <n v="0"/>
    <m/>
    <m/>
    <m/>
    <m/>
    <m/>
    <n v="0"/>
    <n v="0"/>
    <n v="0"/>
    <n v="0"/>
    <n v="0"/>
    <n v="0"/>
    <n v="0"/>
    <n v="0"/>
    <n v="0"/>
    <n v="0"/>
    <n v="0"/>
    <n v="0"/>
    <m/>
    <m/>
  </r>
  <r>
    <x v="13"/>
    <s v="Navarro College "/>
    <s v="Met the criteria Two-Year 2 2021-22"/>
    <n v="227146"/>
    <x v="5"/>
    <n v="151825"/>
    <n v="134849"/>
    <n v="35423"/>
    <n v="26353"/>
    <n v="54239"/>
    <n v="35440"/>
    <n v="62163"/>
    <n v="0"/>
    <n v="0"/>
    <n v="72960"/>
    <n v="96"/>
    <n v="0"/>
    <m/>
    <m/>
    <n v="0"/>
    <n v="0"/>
    <n v="0"/>
    <n v="0"/>
    <n v="0"/>
    <n v="0"/>
    <n v="0"/>
    <n v="0"/>
    <n v="0"/>
    <n v="0"/>
    <n v="0"/>
    <n v="0"/>
    <m/>
    <m/>
  </r>
  <r>
    <x v="13"/>
    <s v="North Central Texas Community College"/>
    <m/>
    <n v="224110"/>
    <x v="5"/>
    <n v="168484"/>
    <n v="150323"/>
    <n v="12104"/>
    <n v="10326"/>
    <n v="42060"/>
    <n v="23801"/>
    <n v="114155"/>
    <n v="150"/>
    <n v="15"/>
    <n v="116022"/>
    <n v="171"/>
    <n v="3"/>
    <m/>
    <m/>
    <n v="0"/>
    <n v="0"/>
    <n v="0"/>
    <n v="0"/>
    <n v="0"/>
    <n v="0"/>
    <n v="0"/>
    <n v="0"/>
    <n v="0"/>
    <n v="0"/>
    <n v="0"/>
    <n v="0"/>
    <m/>
    <m/>
  </r>
  <r>
    <x v="13"/>
    <s v="North Lake College (DCCCD)"/>
    <s v="Met the criteria Two-Year 3 2021-22"/>
    <n v="227191"/>
    <x v="5"/>
    <n v="123876"/>
    <n v="0"/>
    <n v="39947"/>
    <m/>
    <n v="2483"/>
    <m/>
    <n v="81446"/>
    <n v="0"/>
    <n v="0"/>
    <m/>
    <m/>
    <m/>
    <m/>
    <m/>
    <n v="0"/>
    <n v="0"/>
    <n v="0"/>
    <n v="0"/>
    <n v="0"/>
    <n v="0"/>
    <n v="0"/>
    <n v="0"/>
    <n v="0"/>
    <n v="0"/>
    <n v="0"/>
    <n v="0"/>
    <m/>
    <m/>
  </r>
  <r>
    <x v="13"/>
    <s v="Northwest Vista College (ACCD)"/>
    <m/>
    <n v="420398"/>
    <x v="5"/>
    <n v="286134"/>
    <n v="252191"/>
    <n v="153586"/>
    <n v="20267"/>
    <n v="41752"/>
    <n v="39361"/>
    <n v="90796"/>
    <n v="0"/>
    <n v="0"/>
    <n v="100079"/>
    <n v="0"/>
    <n v="92484"/>
    <m/>
    <m/>
    <n v="0"/>
    <n v="0"/>
    <n v="0"/>
    <n v="0"/>
    <n v="0"/>
    <n v="0"/>
    <n v="0"/>
    <n v="0"/>
    <n v="0"/>
    <n v="0"/>
    <n v="0"/>
    <n v="0"/>
    <m/>
    <m/>
  </r>
  <r>
    <x v="13"/>
    <s v="Palo Alto College (ACCD)"/>
    <s v="Met the criteria Two-Year 2 2021-22"/>
    <n v="246354"/>
    <x v="5"/>
    <n v="163134"/>
    <n v="145243"/>
    <n v="77970"/>
    <n v="20943"/>
    <n v="10838"/>
    <n v="12685"/>
    <n v="74326"/>
    <n v="0"/>
    <n v="0"/>
    <n v="72871"/>
    <n v="0"/>
    <n v="38744"/>
    <m/>
    <m/>
    <n v="0"/>
    <n v="0"/>
    <n v="0"/>
    <n v="0"/>
    <n v="0"/>
    <n v="0"/>
    <n v="0"/>
    <n v="0"/>
    <n v="0"/>
    <n v="0"/>
    <n v="0"/>
    <n v="0"/>
    <m/>
    <m/>
  </r>
  <r>
    <x v="13"/>
    <s v="Richland College (DCCCD)"/>
    <s v="Met the criteria Two-Year 3 2021-22"/>
    <n v="227766"/>
    <x v="5"/>
    <n v="220780"/>
    <n v="0"/>
    <n v="79724"/>
    <m/>
    <n v="13223"/>
    <m/>
    <n v="127833"/>
    <n v="0"/>
    <n v="0"/>
    <m/>
    <m/>
    <m/>
    <m/>
    <m/>
    <n v="0"/>
    <n v="0"/>
    <n v="0"/>
    <n v="0"/>
    <n v="0"/>
    <n v="0"/>
    <n v="0"/>
    <n v="0"/>
    <n v="0"/>
    <n v="0"/>
    <n v="0"/>
    <n v="0"/>
    <m/>
    <m/>
  </r>
  <r>
    <x v="13"/>
    <s v="San Antonio College (ACCD)"/>
    <m/>
    <n v="227924"/>
    <x v="5"/>
    <n v="303452"/>
    <n v="268707"/>
    <n v="160935"/>
    <n v="57061"/>
    <n v="15653"/>
    <n v="12837"/>
    <n v="126864"/>
    <n v="0"/>
    <n v="0"/>
    <n v="133632"/>
    <n v="0"/>
    <n v="65177"/>
    <m/>
    <m/>
    <n v="0"/>
    <n v="0"/>
    <n v="0"/>
    <n v="0"/>
    <n v="0"/>
    <n v="0"/>
    <n v="0"/>
    <n v="0"/>
    <n v="0"/>
    <n v="0"/>
    <n v="0"/>
    <n v="0"/>
    <m/>
    <m/>
  </r>
  <r>
    <x v="13"/>
    <s v="San Jacinto College"/>
    <m/>
    <n v="227979"/>
    <x v="5"/>
    <n v="589014"/>
    <n v="575198"/>
    <n v="192338"/>
    <n v="143253"/>
    <n v="7029"/>
    <n v="7289"/>
    <n v="389623"/>
    <n v="24"/>
    <n v="0"/>
    <n v="424656"/>
    <n v="0"/>
    <n v="0"/>
    <m/>
    <m/>
    <n v="0"/>
    <n v="0"/>
    <n v="0"/>
    <n v="0"/>
    <n v="0"/>
    <n v="0"/>
    <n v="0"/>
    <n v="0"/>
    <n v="0"/>
    <n v="0"/>
    <n v="0"/>
    <n v="0"/>
    <m/>
    <m/>
  </r>
  <r>
    <x v="13"/>
    <s v="South Plains College "/>
    <m/>
    <n v="228158"/>
    <x v="5"/>
    <n v="178439"/>
    <n v="173949"/>
    <n v="51481"/>
    <n v="49501"/>
    <n v="46399"/>
    <n v="42490"/>
    <n v="78021"/>
    <n v="2538"/>
    <n v="0"/>
    <n v="80761"/>
    <n v="1197"/>
    <n v="0"/>
    <m/>
    <m/>
    <n v="0"/>
    <n v="0"/>
    <n v="0"/>
    <n v="0"/>
    <n v="0"/>
    <n v="0"/>
    <n v="0"/>
    <n v="0"/>
    <n v="0"/>
    <n v="0"/>
    <n v="0"/>
    <n v="0"/>
    <m/>
    <m/>
  </r>
  <r>
    <x v="13"/>
    <s v="St. Philip's College (ACCD)"/>
    <m/>
    <n v="227854"/>
    <x v="5"/>
    <n v="183846"/>
    <n v="177159"/>
    <n v="81995"/>
    <n v="27888"/>
    <n v="28339"/>
    <n v="23955"/>
    <n v="73512"/>
    <n v="0"/>
    <n v="0"/>
    <n v="70773"/>
    <n v="0"/>
    <n v="54543"/>
    <m/>
    <m/>
    <n v="0"/>
    <n v="0"/>
    <n v="0"/>
    <n v="0"/>
    <n v="0"/>
    <n v="0"/>
    <n v="0"/>
    <n v="0"/>
    <n v="0"/>
    <n v="0"/>
    <n v="0"/>
    <n v="0"/>
    <m/>
    <m/>
  </r>
  <r>
    <x v="13"/>
    <s v="Tarrant County College"/>
    <m/>
    <n v="228547"/>
    <x v="5"/>
    <n v="892273"/>
    <n v="777956"/>
    <n v="661403"/>
    <n v="233999"/>
    <n v="37574"/>
    <n v="28617"/>
    <n v="193296"/>
    <n v="0"/>
    <n v="0"/>
    <n v="515340"/>
    <n v="0"/>
    <n v="0"/>
    <m/>
    <m/>
    <n v="0"/>
    <n v="0"/>
    <n v="0"/>
    <n v="0"/>
    <n v="0"/>
    <n v="0"/>
    <n v="0"/>
    <n v="0"/>
    <n v="0"/>
    <n v="0"/>
    <n v="0"/>
    <n v="0"/>
    <m/>
    <m/>
  </r>
  <r>
    <x v="13"/>
    <s v="Trinity Valley Community College"/>
    <s v="Met the criteria Two-Year 2 2021-22"/>
    <n v="225308"/>
    <x v="5"/>
    <n v="119610"/>
    <n v="111238"/>
    <n v="20933"/>
    <n v="21106"/>
    <n v="12142"/>
    <n v="13309"/>
    <n v="80902"/>
    <n v="5633"/>
    <n v="0"/>
    <n v="73448"/>
    <n v="3375"/>
    <n v="0"/>
    <m/>
    <m/>
    <n v="0"/>
    <n v="0"/>
    <n v="0"/>
    <n v="0"/>
    <n v="0"/>
    <n v="0"/>
    <n v="0"/>
    <n v="0"/>
    <n v="0"/>
    <n v="0"/>
    <n v="0"/>
    <n v="0"/>
    <m/>
    <m/>
  </r>
  <r>
    <x v="13"/>
    <s v="Tyler Junior College "/>
    <m/>
    <n v="229355"/>
    <x v="5"/>
    <n v="247920"/>
    <n v="238589"/>
    <n v="104136"/>
    <n v="98796"/>
    <n v="13223"/>
    <n v="15841"/>
    <n v="130561"/>
    <n v="0"/>
    <n v="0"/>
    <n v="123952"/>
    <n v="0"/>
    <n v="0"/>
    <m/>
    <m/>
    <n v="0"/>
    <n v="0"/>
    <n v="0"/>
    <n v="0"/>
    <n v="0"/>
    <n v="0"/>
    <n v="0"/>
    <n v="0"/>
    <n v="0"/>
    <n v="0"/>
    <n v="0"/>
    <n v="0"/>
    <m/>
    <m/>
  </r>
  <r>
    <x v="13"/>
    <s v="Alvin Community College "/>
    <m/>
    <n v="222567"/>
    <x v="6"/>
    <n v="101159"/>
    <n v="90181"/>
    <n v="27836"/>
    <n v="15931"/>
    <n v="19998"/>
    <n v="12867"/>
    <n v="29107"/>
    <n v="24218"/>
    <n v="0"/>
    <n v="36312"/>
    <n v="25071"/>
    <n v="0"/>
    <m/>
    <m/>
    <n v="0"/>
    <n v="0"/>
    <n v="0"/>
    <n v="0"/>
    <n v="0"/>
    <n v="0"/>
    <n v="0"/>
    <n v="0"/>
    <n v="0"/>
    <n v="0"/>
    <n v="0"/>
    <n v="0"/>
    <m/>
    <m/>
  </r>
  <r>
    <x v="13"/>
    <s v="Angelina College "/>
    <m/>
    <n v="222822"/>
    <x v="6"/>
    <n v="77650"/>
    <n v="73448"/>
    <n v="17455"/>
    <n v="12126"/>
    <n v="6627"/>
    <n v="8485"/>
    <n v="53480"/>
    <n v="70"/>
    <n v="18"/>
    <n v="52837"/>
    <n v="0"/>
    <n v="0"/>
    <m/>
    <m/>
    <n v="0"/>
    <n v="0"/>
    <n v="0"/>
    <n v="0"/>
    <n v="0"/>
    <n v="0"/>
    <n v="0"/>
    <n v="0"/>
    <n v="0"/>
    <n v="0"/>
    <n v="0"/>
    <n v="0"/>
    <m/>
    <m/>
  </r>
  <r>
    <x v="13"/>
    <s v="Cedar Valley College (DCCCD)"/>
    <s v="Met the criteria Two-Year 3 2021-22"/>
    <n v="223773"/>
    <x v="6"/>
    <n v="95881"/>
    <n v="0"/>
    <n v="22988"/>
    <m/>
    <n v="7267"/>
    <m/>
    <n v="65626"/>
    <n v="0"/>
    <n v="0"/>
    <m/>
    <m/>
    <m/>
    <m/>
    <m/>
    <n v="0"/>
    <n v="0"/>
    <n v="0"/>
    <n v="0"/>
    <n v="0"/>
    <n v="0"/>
    <n v="0"/>
    <n v="0"/>
    <n v="0"/>
    <n v="0"/>
    <n v="0"/>
    <n v="0"/>
    <m/>
    <m/>
  </r>
  <r>
    <x v="13"/>
    <s v="Cisco Junior College "/>
    <m/>
    <n v="223898"/>
    <x v="6"/>
    <n v="66147"/>
    <n v="61493"/>
    <n v="792"/>
    <n v="5140"/>
    <n v="1784"/>
    <n v="12019"/>
    <n v="63487"/>
    <n v="84"/>
    <n v="0"/>
    <n v="42667"/>
    <n v="231"/>
    <n v="1436"/>
    <m/>
    <m/>
    <n v="0"/>
    <n v="0"/>
    <n v="0"/>
    <n v="0"/>
    <n v="0"/>
    <n v="0"/>
    <n v="0"/>
    <n v="0"/>
    <n v="0"/>
    <n v="0"/>
    <n v="0"/>
    <n v="0"/>
    <m/>
    <m/>
  </r>
  <r>
    <x v="13"/>
    <s v="Coastal Bend College"/>
    <m/>
    <n v="223320"/>
    <x v="6"/>
    <n v="76389"/>
    <n v="64245"/>
    <n v="6750"/>
    <n v="6560"/>
    <n v="15128"/>
    <n v="11378"/>
    <n v="51377"/>
    <n v="2813"/>
    <n v="321"/>
    <n v="45029"/>
    <n v="351"/>
    <n v="927"/>
    <m/>
    <m/>
    <n v="0"/>
    <n v="0"/>
    <n v="0"/>
    <n v="0"/>
    <n v="0"/>
    <n v="0"/>
    <n v="0"/>
    <n v="0"/>
    <n v="0"/>
    <n v="0"/>
    <n v="0"/>
    <n v="0"/>
    <m/>
    <m/>
  </r>
  <r>
    <x v="13"/>
    <s v="College of the Mainland"/>
    <m/>
    <n v="226408"/>
    <x v="6"/>
    <n v="85885"/>
    <n v="76165"/>
    <n v="50038"/>
    <n v="32638"/>
    <n v="3140"/>
    <n v="2528"/>
    <n v="32707"/>
    <n v="0"/>
    <n v="0"/>
    <n v="40999"/>
    <n v="0"/>
    <n v="0"/>
    <m/>
    <m/>
    <n v="0"/>
    <n v="0"/>
    <n v="0"/>
    <n v="0"/>
    <n v="0"/>
    <n v="0"/>
    <n v="0"/>
    <n v="0"/>
    <n v="0"/>
    <n v="0"/>
    <n v="0"/>
    <n v="0"/>
    <m/>
    <m/>
  </r>
  <r>
    <x v="13"/>
    <s v="Grayson County College "/>
    <m/>
    <n v="225070"/>
    <x v="6"/>
    <n v="76820"/>
    <n v="70406"/>
    <n v="25184"/>
    <n v="24599"/>
    <n v="0"/>
    <n v="0"/>
    <n v="51126"/>
    <n v="366"/>
    <n v="144"/>
    <n v="45557"/>
    <n v="250"/>
    <n v="0"/>
    <m/>
    <m/>
    <n v="0"/>
    <n v="0"/>
    <n v="0"/>
    <n v="0"/>
    <n v="0"/>
    <n v="0"/>
    <n v="0"/>
    <n v="0"/>
    <n v="0"/>
    <n v="0"/>
    <n v="0"/>
    <n v="0"/>
    <m/>
    <m/>
  </r>
  <r>
    <x v="13"/>
    <s v="Hill College"/>
    <m/>
    <n v="225371"/>
    <x v="6"/>
    <n v="81875"/>
    <n v="74411"/>
    <n v="12834"/>
    <n v="15620"/>
    <n v="22198"/>
    <n v="12394"/>
    <n v="46402"/>
    <n v="441"/>
    <n v="0"/>
    <n v="46009"/>
    <n v="388"/>
    <n v="0"/>
    <m/>
    <m/>
    <n v="0"/>
    <n v="0"/>
    <n v="0"/>
    <n v="0"/>
    <n v="0"/>
    <n v="0"/>
    <n v="0"/>
    <n v="0"/>
    <n v="0"/>
    <n v="0"/>
    <n v="0"/>
    <n v="0"/>
    <m/>
    <m/>
  </r>
  <r>
    <x v="13"/>
    <s v="Howard College (HCJCD)"/>
    <m/>
    <n v="225520"/>
    <x v="6"/>
    <n v="59738"/>
    <n v="58065"/>
    <n v="2345"/>
    <n v="7982"/>
    <n v="11837"/>
    <n v="18178"/>
    <n v="44800"/>
    <n v="756"/>
    <n v="0"/>
    <n v="31167"/>
    <n v="738"/>
    <n v="0"/>
    <m/>
    <m/>
    <n v="0"/>
    <n v="0"/>
    <n v="0"/>
    <n v="0"/>
    <n v="0"/>
    <n v="0"/>
    <n v="0"/>
    <n v="0"/>
    <n v="0"/>
    <n v="0"/>
    <n v="0"/>
    <n v="0"/>
    <m/>
    <m/>
  </r>
  <r>
    <x v="13"/>
    <s v="Kilgore College "/>
    <m/>
    <n v="226019"/>
    <x v="6"/>
    <n v="120776"/>
    <n v="97841"/>
    <n v="37493"/>
    <n v="23882"/>
    <n v="26883"/>
    <n v="22464"/>
    <n v="56400"/>
    <n v="0"/>
    <n v="0"/>
    <n v="51495"/>
    <n v="0"/>
    <n v="0"/>
    <m/>
    <m/>
    <n v="0"/>
    <n v="0"/>
    <n v="0"/>
    <n v="0"/>
    <n v="0"/>
    <n v="0"/>
    <n v="0"/>
    <n v="0"/>
    <n v="0"/>
    <n v="0"/>
    <n v="0"/>
    <n v="0"/>
    <m/>
    <m/>
  </r>
  <r>
    <x v="13"/>
    <s v="Lamar Institute of Technology"/>
    <m/>
    <n v="441760"/>
    <x v="6"/>
    <n v="77358"/>
    <n v="78719"/>
    <n v="39512"/>
    <n v="34894"/>
    <n v="7089"/>
    <n v="10398"/>
    <n v="30727"/>
    <n v="30"/>
    <n v="0"/>
    <n v="33400"/>
    <n v="27"/>
    <n v="0"/>
    <m/>
    <m/>
    <n v="0"/>
    <n v="0"/>
    <n v="0"/>
    <n v="0"/>
    <n v="0"/>
    <n v="0"/>
    <n v="0"/>
    <n v="0"/>
    <n v="0"/>
    <n v="0"/>
    <n v="0"/>
    <n v="0"/>
    <m/>
    <m/>
  </r>
  <r>
    <x v="13"/>
    <s v="Lee College "/>
    <s v="Met the criteria Two-Year 1 2021-22"/>
    <n v="226204"/>
    <x v="6"/>
    <n v="130215"/>
    <n v="162054"/>
    <n v="31383"/>
    <n v="22880"/>
    <n v="30578"/>
    <n v="46950"/>
    <n v="68254"/>
    <n v="0"/>
    <n v="0"/>
    <n v="92224"/>
    <n v="0"/>
    <n v="0"/>
    <m/>
    <m/>
    <n v="0"/>
    <n v="0"/>
    <n v="0"/>
    <n v="0"/>
    <n v="0"/>
    <n v="0"/>
    <n v="0"/>
    <n v="0"/>
    <n v="0"/>
    <n v="0"/>
    <n v="0"/>
    <n v="0"/>
    <m/>
    <m/>
  </r>
  <r>
    <x v="13"/>
    <s v="Northeast Texas Community College "/>
    <s v="Met the requirments for  Two-year 3 in 2020-21, and 2021-22"/>
    <n v="227225"/>
    <x v="6"/>
    <n v="58522"/>
    <n v="56068"/>
    <n v="15087"/>
    <n v="15423"/>
    <n v="3657"/>
    <n v="4424"/>
    <n v="39778"/>
    <n v="0"/>
    <n v="0"/>
    <n v="36221"/>
    <n v="0"/>
    <n v="0"/>
    <m/>
    <m/>
    <n v="0"/>
    <n v="0"/>
    <n v="0"/>
    <n v="0"/>
    <n v="0"/>
    <n v="0"/>
    <n v="0"/>
    <n v="0"/>
    <n v="0"/>
    <n v="0"/>
    <n v="0"/>
    <n v="0"/>
    <m/>
    <m/>
  </r>
  <r>
    <x v="13"/>
    <s v="Odessa College "/>
    <m/>
    <n v="227304"/>
    <x v="6"/>
    <n v="128094"/>
    <n v="138005"/>
    <n v="47960"/>
    <n v="44372"/>
    <n v="11892"/>
    <n v="12935"/>
    <n v="68242"/>
    <n v="0"/>
    <n v="0"/>
    <n v="80698"/>
    <n v="0"/>
    <n v="0"/>
    <m/>
    <m/>
    <n v="0"/>
    <n v="0"/>
    <n v="0"/>
    <n v="0"/>
    <n v="0"/>
    <n v="0"/>
    <n v="0"/>
    <n v="0"/>
    <n v="0"/>
    <n v="0"/>
    <n v="0"/>
    <n v="0"/>
    <m/>
    <m/>
  </r>
  <r>
    <x v="13"/>
    <s v="Paris Junior College"/>
    <m/>
    <n v="227401"/>
    <x v="6"/>
    <n v="88913"/>
    <n v="83214"/>
    <n v="27875"/>
    <n v="27770"/>
    <n v="10861"/>
    <n v="7770"/>
    <n v="47453"/>
    <n v="2724"/>
    <n v="0"/>
    <n v="44472"/>
    <n v="3202"/>
    <n v="0"/>
    <m/>
    <m/>
    <n v="0"/>
    <n v="0"/>
    <n v="0"/>
    <n v="0"/>
    <n v="0"/>
    <n v="0"/>
    <n v="0"/>
    <n v="0"/>
    <n v="0"/>
    <n v="0"/>
    <n v="0"/>
    <n v="0"/>
    <m/>
    <m/>
  </r>
  <r>
    <x v="13"/>
    <s v="Southwest Texas Junior College "/>
    <m/>
    <n v="228316"/>
    <x v="6"/>
    <n v="121546"/>
    <n v="108250"/>
    <n v="12406"/>
    <n v="8099"/>
    <n v="46543"/>
    <n v="33818"/>
    <n v="27752"/>
    <n v="34845"/>
    <n v="0"/>
    <n v="24713"/>
    <n v="41620"/>
    <n v="0"/>
    <m/>
    <m/>
    <n v="0"/>
    <n v="0"/>
    <n v="0"/>
    <n v="0"/>
    <n v="0"/>
    <n v="0"/>
    <n v="0"/>
    <n v="0"/>
    <n v="0"/>
    <n v="0"/>
    <n v="0"/>
    <n v="0"/>
    <m/>
    <m/>
  </r>
  <r>
    <x v="13"/>
    <s v="Temple College "/>
    <m/>
    <n v="228608"/>
    <x v="6"/>
    <n v="85093"/>
    <n v="85453"/>
    <n v="30319"/>
    <n v="23943"/>
    <n v="7820"/>
    <n v="4417"/>
    <n v="46954"/>
    <n v="0"/>
    <n v="0"/>
    <n v="57093"/>
    <n v="0"/>
    <n v="0"/>
    <m/>
    <m/>
    <n v="0"/>
    <n v="0"/>
    <n v="0"/>
    <n v="0"/>
    <n v="0"/>
    <n v="0"/>
    <n v="0"/>
    <n v="0"/>
    <n v="0"/>
    <n v="0"/>
    <n v="0"/>
    <n v="0"/>
    <m/>
    <m/>
  </r>
  <r>
    <x v="13"/>
    <s v="Texarkana College "/>
    <m/>
    <n v="228699"/>
    <x v="6"/>
    <n v="71649"/>
    <n v="63787"/>
    <n v="19490"/>
    <n v="12188"/>
    <n v="4951"/>
    <n v="7867"/>
    <n v="47169"/>
    <n v="0"/>
    <n v="39"/>
    <n v="43708"/>
    <n v="0"/>
    <n v="24"/>
    <m/>
    <m/>
    <n v="0"/>
    <n v="0"/>
    <n v="0"/>
    <n v="0"/>
    <n v="0"/>
    <n v="0"/>
    <n v="0"/>
    <n v="0"/>
    <n v="0"/>
    <n v="0"/>
    <n v="0"/>
    <n v="0"/>
    <m/>
    <m/>
  </r>
  <r>
    <x v="13"/>
    <s v="Texas Southmost College "/>
    <s v="Changed IPEDS # from 229072"/>
    <n v="227377"/>
    <x v="6"/>
    <n v="144896"/>
    <n v="133610"/>
    <n v="37270"/>
    <n v="62998"/>
    <n v="24982"/>
    <n v="17244"/>
    <n v="82644"/>
    <n v="0"/>
    <n v="0"/>
    <n v="53368"/>
    <n v="0"/>
    <n v="0"/>
    <m/>
    <m/>
    <n v="0"/>
    <n v="0"/>
    <n v="0"/>
    <n v="0"/>
    <n v="0"/>
    <n v="0"/>
    <n v="0"/>
    <n v="0"/>
    <n v="0"/>
    <n v="0"/>
    <n v="0"/>
    <n v="0"/>
    <m/>
    <m/>
  </r>
  <r>
    <x v="13"/>
    <s v="Texas State Technical College-Harlingen "/>
    <m/>
    <n v="229319"/>
    <x v="6"/>
    <n v="80431"/>
    <n v="73586"/>
    <n v="1776"/>
    <n v="164"/>
    <n v="1339"/>
    <n v="1503"/>
    <n v="75270"/>
    <n v="0"/>
    <n v="2046"/>
    <n v="50951"/>
    <n v="0"/>
    <n v="20968"/>
    <m/>
    <m/>
    <n v="0"/>
    <n v="0"/>
    <n v="0"/>
    <n v="0"/>
    <n v="0"/>
    <n v="0"/>
    <n v="0"/>
    <n v="0"/>
    <n v="0"/>
    <n v="0"/>
    <n v="0"/>
    <n v="0"/>
    <m/>
    <m/>
  </r>
  <r>
    <x v="13"/>
    <s v="Texas State Technical College-Waco"/>
    <m/>
    <n v="228680"/>
    <x v="6"/>
    <n v="88872"/>
    <n v="80136"/>
    <n v="3185"/>
    <n v="354"/>
    <n v="977"/>
    <n v="1137"/>
    <n v="81911"/>
    <n v="0"/>
    <n v="2799"/>
    <n v="27697"/>
    <n v="0"/>
    <n v="50948"/>
    <m/>
    <m/>
    <n v="0"/>
    <n v="0"/>
    <n v="0"/>
    <n v="0"/>
    <n v="0"/>
    <n v="0"/>
    <n v="0"/>
    <n v="0"/>
    <n v="0"/>
    <n v="0"/>
    <n v="0"/>
    <n v="0"/>
    <m/>
    <m/>
  </r>
  <r>
    <x v="13"/>
    <s v="Vernon College "/>
    <s v="Met the requirments for  Two-year 3 in 2020-21, and 2021-22"/>
    <n v="229504"/>
    <x v="6"/>
    <n v="53493"/>
    <n v="45830"/>
    <n v="7083"/>
    <n v="5272"/>
    <n v="25906"/>
    <n v="18942"/>
    <n v="18529"/>
    <n v="1975"/>
    <n v="0"/>
    <n v="19884"/>
    <n v="1726"/>
    <n v="6"/>
    <m/>
    <m/>
    <n v="0"/>
    <n v="0"/>
    <n v="0"/>
    <n v="0"/>
    <n v="0"/>
    <n v="0"/>
    <n v="0"/>
    <n v="0"/>
    <n v="0"/>
    <n v="0"/>
    <n v="0"/>
    <n v="0"/>
    <m/>
    <m/>
  </r>
  <r>
    <x v="13"/>
    <s v="Victoria College "/>
    <s v="Met the requirments for  Two-year 3 in 021-22"/>
    <n v="229540"/>
    <x v="6"/>
    <n v="57116"/>
    <n v="51536"/>
    <n v="19347"/>
    <n v="15663"/>
    <n v="1725"/>
    <n v="1401"/>
    <n v="28354"/>
    <n v="7690"/>
    <n v="0"/>
    <n v="31836"/>
    <n v="1689"/>
    <n v="947"/>
    <m/>
    <m/>
    <n v="0"/>
    <n v="0"/>
    <n v="0"/>
    <n v="0"/>
    <n v="0"/>
    <n v="0"/>
    <n v="0"/>
    <n v="0"/>
    <n v="0"/>
    <n v="0"/>
    <n v="0"/>
    <n v="0"/>
    <m/>
    <m/>
  </r>
  <r>
    <x v="13"/>
    <s v="Weatherford College "/>
    <m/>
    <n v="229799"/>
    <x v="6"/>
    <n v="104886"/>
    <n v="99895"/>
    <n v="40780"/>
    <n v="32561"/>
    <n v="16034"/>
    <n v="16154"/>
    <n v="48033"/>
    <n v="39"/>
    <n v="0"/>
    <n v="50252"/>
    <n v="928"/>
    <n v="0"/>
    <m/>
    <m/>
    <n v="0"/>
    <n v="0"/>
    <n v="0"/>
    <n v="0"/>
    <n v="0"/>
    <n v="0"/>
    <n v="0"/>
    <n v="0"/>
    <n v="0"/>
    <n v="0"/>
    <n v="0"/>
    <n v="0"/>
    <m/>
    <m/>
  </r>
  <r>
    <x v="13"/>
    <s v="Wharton County Junior College "/>
    <m/>
    <n v="229841"/>
    <x v="6"/>
    <n v="133573"/>
    <n v="116562"/>
    <n v="19374"/>
    <n v="20780"/>
    <n v="38638"/>
    <n v="28021"/>
    <n v="74697"/>
    <n v="864"/>
    <n v="0"/>
    <n v="67439"/>
    <n v="322"/>
    <n v="0"/>
    <m/>
    <m/>
    <n v="0"/>
    <n v="0"/>
    <n v="0"/>
    <n v="0"/>
    <n v="0"/>
    <n v="0"/>
    <n v="0"/>
    <n v="0"/>
    <n v="0"/>
    <n v="0"/>
    <n v="0"/>
    <n v="0"/>
    <m/>
    <m/>
  </r>
  <r>
    <x v="13"/>
    <s v="Clarendon College "/>
    <m/>
    <n v="223922"/>
    <x v="7"/>
    <n v="29010"/>
    <n v="27954"/>
    <n v="7801"/>
    <n v="9003"/>
    <n v="7308"/>
    <n v="6763"/>
    <n v="13764"/>
    <n v="137"/>
    <n v="0"/>
    <n v="12062"/>
    <n v="126"/>
    <n v="0"/>
    <m/>
    <m/>
    <n v="0"/>
    <n v="0"/>
    <n v="0"/>
    <n v="0"/>
    <n v="0"/>
    <n v="0"/>
    <n v="0"/>
    <n v="0"/>
    <n v="0"/>
    <n v="0"/>
    <n v="0"/>
    <n v="0"/>
    <m/>
    <m/>
  </r>
  <r>
    <x v="13"/>
    <s v="Frank Phillips College "/>
    <m/>
    <n v="224891"/>
    <x v="7"/>
    <n v="28407"/>
    <n v="30904"/>
    <n v="12824"/>
    <n v="14995"/>
    <n v="2795"/>
    <n v="2570"/>
    <n v="11241"/>
    <n v="512"/>
    <n v="1035"/>
    <n v="11846"/>
    <n v="481"/>
    <n v="1012"/>
    <m/>
    <m/>
    <n v="0"/>
    <n v="0"/>
    <n v="0"/>
    <n v="0"/>
    <n v="0"/>
    <n v="0"/>
    <n v="0"/>
    <n v="0"/>
    <n v="0"/>
    <n v="0"/>
    <n v="0"/>
    <n v="0"/>
    <m/>
    <m/>
  </r>
  <r>
    <x v="13"/>
    <s v="Galveston College "/>
    <m/>
    <n v="224961"/>
    <x v="7"/>
    <n v="44725"/>
    <n v="42499"/>
    <n v="17154"/>
    <n v="15086"/>
    <n v="66"/>
    <n v="7"/>
    <n v="27505"/>
    <n v="0"/>
    <n v="0"/>
    <n v="27406"/>
    <n v="0"/>
    <n v="0"/>
    <m/>
    <m/>
    <n v="0"/>
    <n v="0"/>
    <n v="0"/>
    <n v="0"/>
    <n v="0"/>
    <n v="0"/>
    <n v="0"/>
    <n v="0"/>
    <n v="0"/>
    <n v="0"/>
    <n v="0"/>
    <n v="0"/>
    <m/>
    <m/>
  </r>
  <r>
    <x v="13"/>
    <s v="Lamar State College-Orange"/>
    <m/>
    <n v="226107"/>
    <x v="7"/>
    <n v="48327"/>
    <n v="45502"/>
    <n v="17520"/>
    <n v="12791"/>
    <n v="2349"/>
    <n v="2814"/>
    <n v="28458"/>
    <n v="0"/>
    <n v="0"/>
    <n v="29828"/>
    <n v="0"/>
    <n v="69"/>
    <m/>
    <m/>
    <n v="0"/>
    <n v="0"/>
    <n v="0"/>
    <n v="0"/>
    <n v="0"/>
    <n v="0"/>
    <n v="0"/>
    <n v="0"/>
    <n v="0"/>
    <n v="0"/>
    <n v="0"/>
    <n v="0"/>
    <m/>
    <m/>
  </r>
  <r>
    <x v="13"/>
    <s v="Lamar State College-Port Arthur"/>
    <m/>
    <n v="226116"/>
    <x v="7"/>
    <n v="54149"/>
    <n v="45825"/>
    <n v="19743"/>
    <n v="13163"/>
    <n v="6412"/>
    <n v="4983"/>
    <n v="27994"/>
    <n v="0"/>
    <n v="0"/>
    <n v="27679"/>
    <n v="0"/>
    <n v="0"/>
    <m/>
    <m/>
    <n v="0"/>
    <n v="0"/>
    <n v="0"/>
    <n v="0"/>
    <n v="0"/>
    <n v="0"/>
    <n v="0"/>
    <n v="0"/>
    <n v="0"/>
    <n v="0"/>
    <n v="0"/>
    <n v="0"/>
    <m/>
    <m/>
  </r>
  <r>
    <x v="13"/>
    <s v="Northeast Lakeview College (ACCD)"/>
    <m/>
    <n v="488730"/>
    <x v="6"/>
    <n v="102345"/>
    <n v="90934"/>
    <n v="68266"/>
    <n v="21302"/>
    <n v="1161"/>
    <n v="4653"/>
    <n v="32918"/>
    <n v="0"/>
    <n v="0"/>
    <n v="37652"/>
    <n v="0"/>
    <n v="27327"/>
    <m/>
    <m/>
    <n v="0"/>
    <n v="0"/>
    <n v="0"/>
    <n v="0"/>
    <n v="0"/>
    <n v="0"/>
    <n v="0"/>
    <n v="0"/>
    <n v="0"/>
    <n v="0"/>
    <n v="0"/>
    <n v="0"/>
    <m/>
    <m/>
  </r>
  <r>
    <x v="13"/>
    <s v="Panola College"/>
    <m/>
    <n v="227386"/>
    <x v="7"/>
    <n v="48742"/>
    <n v="49410"/>
    <n v="15598"/>
    <n v="13902"/>
    <n v="6660"/>
    <n v="6890"/>
    <n v="26346"/>
    <n v="138"/>
    <n v="0"/>
    <n v="28498"/>
    <n v="120"/>
    <n v="0"/>
    <m/>
    <m/>
    <n v="0"/>
    <n v="0"/>
    <n v="0"/>
    <n v="0"/>
    <n v="0"/>
    <n v="0"/>
    <n v="0"/>
    <n v="0"/>
    <n v="0"/>
    <n v="0"/>
    <n v="0"/>
    <n v="0"/>
    <m/>
    <m/>
  </r>
  <r>
    <x v="13"/>
    <s v="Ranger College "/>
    <m/>
    <n v="227687"/>
    <x v="7"/>
    <n v="44838"/>
    <n v="43220"/>
    <n v="8671"/>
    <n v="7319"/>
    <n v="17220"/>
    <n v="16020"/>
    <n v="17837"/>
    <n v="1110"/>
    <n v="0"/>
    <n v="18723"/>
    <n v="1109"/>
    <n v="49"/>
    <m/>
    <m/>
    <n v="0"/>
    <n v="0"/>
    <n v="0"/>
    <n v="0"/>
    <n v="0"/>
    <n v="0"/>
    <n v="0"/>
    <n v="0"/>
    <n v="0"/>
    <n v="0"/>
    <n v="0"/>
    <n v="0"/>
    <m/>
    <m/>
  </r>
  <r>
    <x v="13"/>
    <s v="Southwest Collegiate Institute for the Deaf (HCJCD)"/>
    <m/>
    <n v="382911"/>
    <x v="7"/>
    <n v="1096"/>
    <n v="1159"/>
    <n v="767"/>
    <n v="776"/>
    <n v="60"/>
    <n v="261"/>
    <n v="18"/>
    <n v="251"/>
    <n v="0"/>
    <n v="24"/>
    <n v="98"/>
    <n v="0"/>
    <m/>
    <m/>
    <n v="0"/>
    <n v="0"/>
    <n v="0"/>
    <n v="0"/>
    <n v="0"/>
    <n v="0"/>
    <n v="0"/>
    <n v="0"/>
    <n v="0"/>
    <n v="0"/>
    <n v="0"/>
    <n v="0"/>
    <m/>
    <m/>
  </r>
  <r>
    <x v="13"/>
    <s v="Texas State Technical College-Fort Bend"/>
    <m/>
    <s v="N/A"/>
    <x v="7"/>
    <n v="12482"/>
    <n v="15016"/>
    <n v="178"/>
    <n v="0"/>
    <n v="80"/>
    <n v="269"/>
    <n v="11538"/>
    <n v="0"/>
    <n v="686"/>
    <n v="2151"/>
    <n v="0"/>
    <n v="12596"/>
    <m/>
    <m/>
    <n v="0"/>
    <n v="0"/>
    <n v="0"/>
    <n v="0"/>
    <n v="0"/>
    <n v="0"/>
    <n v="0"/>
    <n v="0"/>
    <n v="0"/>
    <n v="0"/>
    <n v="0"/>
    <n v="0"/>
    <m/>
    <m/>
  </r>
  <r>
    <x v="13"/>
    <s v="Texas State Technical College-Marshall"/>
    <m/>
    <n v="408394"/>
    <x v="7"/>
    <n v="13125"/>
    <n v="13198"/>
    <n v="315"/>
    <n v="0"/>
    <n v="159"/>
    <n v="123"/>
    <n v="11468"/>
    <n v="0"/>
    <n v="1183"/>
    <n v="4358"/>
    <n v="0"/>
    <n v="8717"/>
    <m/>
    <m/>
    <n v="0"/>
    <n v="0"/>
    <n v="0"/>
    <n v="0"/>
    <n v="0"/>
    <n v="0"/>
    <n v="0"/>
    <n v="0"/>
    <n v="0"/>
    <n v="0"/>
    <n v="0"/>
    <n v="0"/>
    <m/>
    <m/>
  </r>
  <r>
    <x v="13"/>
    <s v="Texas State Technical College-North Texas"/>
    <m/>
    <s v="N/A"/>
    <x v="7"/>
    <n v="5856"/>
    <n v="5952"/>
    <n v="0"/>
    <n v="0"/>
    <n v="207"/>
    <n v="48"/>
    <n v="5388"/>
    <n v="0"/>
    <n v="261"/>
    <n v="1201"/>
    <n v="0"/>
    <n v="4703"/>
    <m/>
    <m/>
    <n v="0"/>
    <n v="0"/>
    <n v="0"/>
    <n v="0"/>
    <n v="0"/>
    <n v="0"/>
    <n v="0"/>
    <n v="0"/>
    <n v="0"/>
    <n v="0"/>
    <n v="0"/>
    <n v="0"/>
    <m/>
    <m/>
  </r>
  <r>
    <x v="13"/>
    <s v="Texas State Technical College-West Texas"/>
    <m/>
    <n v="229328"/>
    <x v="7"/>
    <n v="32847"/>
    <n v="26322"/>
    <n v="1424"/>
    <n v="6"/>
    <n v="2727"/>
    <n v="1090"/>
    <n v="27548"/>
    <n v="0"/>
    <n v="1148"/>
    <n v="14939"/>
    <n v="0"/>
    <n v="10287"/>
    <m/>
    <m/>
    <n v="0"/>
    <n v="0"/>
    <n v="0"/>
    <n v="0"/>
    <n v="0"/>
    <n v="0"/>
    <n v="0"/>
    <n v="0"/>
    <n v="0"/>
    <n v="0"/>
    <n v="0"/>
    <n v="0"/>
    <m/>
    <m/>
  </r>
  <r>
    <x v="13"/>
    <s v="Western Texas College "/>
    <m/>
    <n v="229832"/>
    <x v="7"/>
    <n v="35425"/>
    <n v="30766"/>
    <n v="10949"/>
    <n v="9896"/>
    <n v="3089"/>
    <n v="4209"/>
    <n v="20364"/>
    <n v="1023"/>
    <n v="0"/>
    <n v="15950"/>
    <n v="711"/>
    <n v="0"/>
    <m/>
    <m/>
    <n v="0"/>
    <n v="0"/>
    <n v="0"/>
    <n v="0"/>
    <n v="0"/>
    <n v="0"/>
    <n v="0"/>
    <n v="0"/>
    <n v="0"/>
    <n v="0"/>
    <n v="0"/>
    <n v="0"/>
    <m/>
    <m/>
  </r>
  <r>
    <x v="13"/>
    <s v="University of North Texas at Dallas"/>
    <m/>
    <n v="484905"/>
    <x v="3"/>
    <n v="79775"/>
    <n v="81052"/>
    <n v="38350"/>
    <n v="43000"/>
    <n v="0"/>
    <n v="0"/>
    <n v="41181"/>
    <n v="0"/>
    <n v="244"/>
    <n v="37860"/>
    <n v="0"/>
    <n v="192"/>
    <m/>
    <m/>
    <n v="17267"/>
    <n v="17211"/>
    <n v="6844"/>
    <n v="12201"/>
    <n v="4976"/>
    <n v="360"/>
    <n v="5447"/>
    <n v="0"/>
    <n v="0"/>
    <n v="4650"/>
    <n v="0"/>
    <n v="0"/>
    <m/>
    <m/>
  </r>
  <r>
    <x v="13"/>
    <s v="Dallas College"/>
    <m/>
    <n v="224615"/>
    <x v="5"/>
    <n v="380470"/>
    <n v="1292750"/>
    <n v="2765"/>
    <n v="176742"/>
    <n v="675"/>
    <n v="54007"/>
    <n v="377024"/>
    <n v="0"/>
    <n v="6"/>
    <n v="1061989"/>
    <n v="0"/>
    <n v="12"/>
    <m/>
    <m/>
    <n v="0"/>
    <n v="0"/>
    <n v="0"/>
    <n v="0"/>
    <n v="0"/>
    <n v="0"/>
    <n v="0"/>
    <n v="0"/>
    <n v="0"/>
    <n v="0"/>
    <n v="0"/>
    <n v="0"/>
    <m/>
    <m/>
  </r>
  <r>
    <x v="13"/>
    <s v="Texas State Technical College-Connect (Online only)"/>
    <m/>
    <m/>
    <x v="7"/>
    <n v="0"/>
    <n v="18069"/>
    <m/>
    <m/>
    <m/>
    <n v="453"/>
    <m/>
    <m/>
    <m/>
    <n v="17550"/>
    <n v="0"/>
    <n v="66"/>
    <m/>
    <m/>
    <n v="0"/>
    <n v="0"/>
    <m/>
    <m/>
    <m/>
    <n v="0"/>
    <m/>
    <m/>
    <m/>
    <n v="0"/>
    <n v="0"/>
    <n v="0"/>
    <m/>
    <m/>
  </r>
  <r>
    <x v="14"/>
    <s v="George Mason University "/>
    <m/>
    <n v="232186"/>
    <x v="0"/>
    <n v="759225.5"/>
    <n v="758489.5"/>
    <n v="330381.5"/>
    <n v="193358.5"/>
    <n v="18097"/>
    <n v="7093"/>
    <n v="404189"/>
    <n v="6558"/>
    <n v="0"/>
    <n v="536064"/>
    <n v="21974"/>
    <n v="0"/>
    <m/>
    <m/>
    <n v="173111.5"/>
    <n v="183632.5"/>
    <n v="74645.5"/>
    <n v="56108"/>
    <n v="8649"/>
    <n v="3196"/>
    <n v="87061.5"/>
    <n v="2755.5"/>
    <n v="0"/>
    <n v="119663.5"/>
    <n v="4665"/>
    <n v="0"/>
    <m/>
    <m/>
  </r>
  <r>
    <x v="14"/>
    <s v="Old Dominion University "/>
    <m/>
    <n v="232982"/>
    <x v="0"/>
    <n v="510637"/>
    <n v="487991"/>
    <n v="193340"/>
    <n v="145312"/>
    <n v="5068"/>
    <n v="1787"/>
    <n v="219655"/>
    <n v="92569"/>
    <n v="5"/>
    <n v="239020"/>
    <n v="101869"/>
    <n v="3"/>
    <m/>
    <m/>
    <n v="68263"/>
    <n v="72409"/>
    <n v="23166"/>
    <n v="20377"/>
    <n v="570"/>
    <n v="942"/>
    <n v="27193"/>
    <n v="15455"/>
    <n v="1879"/>
    <n v="28789"/>
    <n v="20860"/>
    <n v="1441"/>
    <m/>
    <m/>
  </r>
  <r>
    <x v="14"/>
    <s v="University of Virginia"/>
    <m/>
    <n v="234076"/>
    <x v="0"/>
    <n v="502424"/>
    <n v="519652.5"/>
    <n v="256936.5"/>
    <n v="248607"/>
    <n v="6017.5"/>
    <n v="2186"/>
    <n v="40621.5"/>
    <n v="198848.5"/>
    <n v="0"/>
    <n v="41096"/>
    <n v="227763.5"/>
    <n v="0"/>
    <m/>
    <m/>
    <n v="200911.5"/>
    <n v="206552.5"/>
    <n v="127664"/>
    <n v="121794.5"/>
    <n v="5723.5"/>
    <n v="1589.5"/>
    <n v="20953"/>
    <n v="46571"/>
    <n v="0"/>
    <n v="24527.5"/>
    <n v="58641"/>
    <n v="0"/>
    <m/>
    <m/>
  </r>
  <r>
    <x v="14"/>
    <s v="Virginia Commonwealth University"/>
    <m/>
    <n v="234030"/>
    <x v="0"/>
    <n v="623201.5"/>
    <n v="602868"/>
    <n v="290369"/>
    <n v="120460.5"/>
    <n v="4865"/>
    <n v="3427.5"/>
    <n v="173474"/>
    <n v="154493.5"/>
    <n v="0"/>
    <n v="202927"/>
    <n v="276053"/>
    <n v="0"/>
    <m/>
    <m/>
    <n v="134150"/>
    <n v="138987.5"/>
    <n v="82179"/>
    <n v="53509.5"/>
    <n v="2967"/>
    <n v="2474"/>
    <n v="21677"/>
    <n v="27327"/>
    <n v="0"/>
    <n v="24449"/>
    <n v="58555"/>
    <n v="0"/>
    <m/>
    <m/>
  </r>
  <r>
    <x v="14"/>
    <s v="Virginia Tech "/>
    <m/>
    <n v="233921"/>
    <x v="0"/>
    <n v="922288"/>
    <n v="926770"/>
    <n v="750028"/>
    <n v="688151"/>
    <n v="53"/>
    <n v="156"/>
    <n v="78890"/>
    <n v="93317"/>
    <n v="0"/>
    <n v="102511"/>
    <n v="135952"/>
    <n v="0"/>
    <m/>
    <m/>
    <n v="143731"/>
    <n v="150692"/>
    <n v="102218"/>
    <n v="85010"/>
    <n v="12753"/>
    <n v="6782"/>
    <n v="18029"/>
    <n v="10731"/>
    <n v="0"/>
    <n v="48731"/>
    <n v="10169"/>
    <n v="0"/>
    <m/>
    <m/>
  </r>
  <r>
    <x v="14"/>
    <s v="William &amp; Mary"/>
    <m/>
    <n v="231624"/>
    <x v="1"/>
    <n v="182600.3"/>
    <n v="186084.5"/>
    <n v="99756.5"/>
    <n v="98008.5"/>
    <n v="4038.3"/>
    <n v="1478"/>
    <n v="62603"/>
    <n v="16202.5"/>
    <n v="0"/>
    <n v="74580"/>
    <n v="12018"/>
    <n v="0"/>
    <m/>
    <m/>
    <n v="62133.5"/>
    <n v="67359"/>
    <n v="28399"/>
    <n v="23302"/>
    <n v="3452.5"/>
    <n v="2266.5"/>
    <n v="25868.5"/>
    <n v="4413.5"/>
    <n v="0"/>
    <n v="38994.5"/>
    <n v="2796"/>
    <n v="0"/>
    <m/>
    <m/>
  </r>
  <r>
    <x v="14"/>
    <s v="James Madison University"/>
    <s v="Met the requirments for 4-Year 2 in 2021-22"/>
    <n v="232423"/>
    <x v="2"/>
    <n v="589265"/>
    <n v="597687"/>
    <n v="296761"/>
    <n v="282745"/>
    <n v="8845"/>
    <n v="3119"/>
    <n v="283659"/>
    <n v="0"/>
    <n v="0"/>
    <n v="311823"/>
    <n v="0"/>
    <n v="0"/>
    <m/>
    <m/>
    <n v="35561"/>
    <n v="37373"/>
    <n v="18205"/>
    <n v="16469"/>
    <n v="2357"/>
    <n v="1309"/>
    <n v="14999"/>
    <n v="0"/>
    <n v="0"/>
    <n v="19595"/>
    <n v="0"/>
    <n v="0"/>
    <m/>
    <m/>
  </r>
  <r>
    <x v="14"/>
    <s v="Longwood University "/>
    <m/>
    <n v="232566"/>
    <x v="4"/>
    <n v="109575"/>
    <n v="101537"/>
    <n v="81487"/>
    <n v="72257"/>
    <n v="704"/>
    <n v="1354"/>
    <n v="24846"/>
    <n v="2538"/>
    <n v="0"/>
    <n v="25866"/>
    <n v="2060"/>
    <n v="0"/>
    <m/>
    <m/>
    <n v="14553"/>
    <n v="20396"/>
    <n v="1589"/>
    <n v="1986"/>
    <n v="795"/>
    <n v="591"/>
    <n v="12169"/>
    <n v="0"/>
    <n v="0"/>
    <n v="17819"/>
    <n v="0"/>
    <n v="0"/>
    <m/>
    <m/>
  </r>
  <r>
    <x v="14"/>
    <s v="Norfolk State University "/>
    <m/>
    <n v="232937"/>
    <x v="3"/>
    <n v="136802"/>
    <n v="133357"/>
    <n v="93223"/>
    <n v="68889"/>
    <n v="80"/>
    <n v="0"/>
    <n v="43499"/>
    <n v="0"/>
    <n v="0"/>
    <n v="64468"/>
    <n v="0"/>
    <n v="0"/>
    <m/>
    <m/>
    <n v="8473"/>
    <n v="8173"/>
    <n v="6106"/>
    <n v="4606"/>
    <n v="0"/>
    <n v="0"/>
    <n v="2367"/>
    <n v="0"/>
    <n v="0"/>
    <n v="3567"/>
    <n v="0"/>
    <n v="0"/>
    <m/>
    <m/>
  </r>
  <r>
    <x v="14"/>
    <s v="Radford University"/>
    <m/>
    <n v="233277"/>
    <x v="2"/>
    <n v="219564"/>
    <n v="192180"/>
    <n v="130018"/>
    <n v="77867"/>
    <n v="14187"/>
    <n v="14523"/>
    <n v="70615"/>
    <n v="4744"/>
    <n v="0"/>
    <n v="80768"/>
    <n v="19022"/>
    <n v="0"/>
    <m/>
    <m/>
    <n v="40716"/>
    <n v="36857.199999999997"/>
    <n v="7111"/>
    <n v="6356"/>
    <n v="7869"/>
    <n v="7548"/>
    <n v="25459"/>
    <n v="277"/>
    <n v="0"/>
    <n v="19564.2"/>
    <n v="3389"/>
    <n v="0"/>
    <m/>
    <m/>
  </r>
  <r>
    <x v="14"/>
    <s v="University of Mary Washington "/>
    <m/>
    <n v="232681"/>
    <x v="4"/>
    <n v="115162"/>
    <n v="104295"/>
    <n v="55643"/>
    <n v="47160"/>
    <n v="0"/>
    <n v="0"/>
    <n v="16992"/>
    <n v="42527"/>
    <n v="0"/>
    <n v="18735"/>
    <n v="38400"/>
    <n v="0"/>
    <m/>
    <m/>
    <n v="5170.6000000000004"/>
    <n v="5132.8"/>
    <n v="1570.6"/>
    <n v="1859.4"/>
    <n v="0"/>
    <n v="69"/>
    <n v="1974"/>
    <n v="1626"/>
    <n v="0"/>
    <n v="1762.4"/>
    <n v="1442"/>
    <n v="0"/>
    <m/>
    <m/>
  </r>
  <r>
    <x v="14"/>
    <s v="Virginia State University "/>
    <m/>
    <n v="234155"/>
    <x v="2"/>
    <n v="113695"/>
    <n v="109595"/>
    <n v="97870"/>
    <n v="91498"/>
    <n v="117"/>
    <n v="212"/>
    <n v="15708"/>
    <n v="0"/>
    <n v="0"/>
    <n v="17885"/>
    <n v="0"/>
    <n v="0"/>
    <m/>
    <m/>
    <n v="6016"/>
    <n v="6771"/>
    <n v="5536"/>
    <n v="5976"/>
    <n v="0"/>
    <n v="186"/>
    <n v="480"/>
    <n v="0"/>
    <n v="0"/>
    <n v="609"/>
    <n v="0"/>
    <n v="0"/>
    <m/>
    <m/>
  </r>
  <r>
    <x v="14"/>
    <s v="Christopher Newport University"/>
    <m/>
    <n v="231712"/>
    <x v="4"/>
    <n v="139327"/>
    <n v="132230"/>
    <n v="103475"/>
    <n v="105391"/>
    <n v="854"/>
    <n v="0"/>
    <n v="34998"/>
    <n v="0"/>
    <n v="0"/>
    <n v="26839"/>
    <n v="0"/>
    <n v="0"/>
    <m/>
    <m/>
    <n v="2776"/>
    <n v="3251"/>
    <n v="2080"/>
    <n v="2625"/>
    <n v="0"/>
    <n v="0"/>
    <n v="696"/>
    <n v="0"/>
    <n v="0"/>
    <n v="626"/>
    <n v="0"/>
    <n v="0"/>
    <m/>
    <m/>
  </r>
  <r>
    <x v="14"/>
    <s v="University of Virginia's College at Wise"/>
    <s v="Was University of Virginia's College Wise"/>
    <n v="233897"/>
    <x v="11"/>
    <n v="45821"/>
    <n v="46290"/>
    <n v="32708"/>
    <n v="33373"/>
    <n v="717"/>
    <n v="0"/>
    <n v="12396"/>
    <n v="0"/>
    <n v="0"/>
    <n v="12917"/>
    <n v="0"/>
    <n v="0"/>
    <m/>
    <m/>
    <n v="0"/>
    <n v="0"/>
    <n v="0"/>
    <m/>
    <m/>
    <m/>
    <m/>
    <m/>
    <m/>
    <m/>
    <m/>
    <m/>
    <m/>
    <m/>
  </r>
  <r>
    <x v="14"/>
    <s v="J.S. Reynolds Community College"/>
    <m/>
    <n v="232414"/>
    <x v="5"/>
    <n v="157772"/>
    <n v="146315"/>
    <n v="39668"/>
    <n v="10342"/>
    <n v="18462"/>
    <n v="20660"/>
    <n v="96819"/>
    <n v="92"/>
    <n v="2731"/>
    <n v="113361"/>
    <n v="357"/>
    <n v="1595"/>
    <m/>
    <m/>
    <n v="0"/>
    <n v="0"/>
    <n v="0"/>
    <m/>
    <m/>
    <m/>
    <m/>
    <m/>
    <m/>
    <m/>
    <m/>
    <m/>
    <m/>
    <m/>
  </r>
  <r>
    <x v="14"/>
    <s v="Brightpoint Community College"/>
    <s v="Was John Tyler Community College"/>
    <n v="232450"/>
    <x v="5"/>
    <n v="158949"/>
    <n v="149393"/>
    <n v="43773"/>
    <n v="19352"/>
    <n v="26931"/>
    <n v="25410"/>
    <n v="75827"/>
    <n v="5812"/>
    <n v="6606"/>
    <n v="83819"/>
    <n v="14387"/>
    <n v="6425"/>
    <m/>
    <m/>
    <n v="0"/>
    <n v="0"/>
    <n v="0"/>
    <m/>
    <m/>
    <m/>
    <m/>
    <m/>
    <m/>
    <m/>
    <m/>
    <m/>
    <m/>
    <m/>
  </r>
  <r>
    <x v="14"/>
    <s v="Northern Virginia Community College "/>
    <m/>
    <n v="232946"/>
    <x v="5"/>
    <n v="923343"/>
    <n v="929298"/>
    <n v="348674"/>
    <n v="218357"/>
    <n v="108807"/>
    <n v="108523"/>
    <n v="420022"/>
    <n v="45757"/>
    <n v="83"/>
    <n v="599656"/>
    <n v="2576"/>
    <n v="186"/>
    <m/>
    <m/>
    <n v="0"/>
    <n v="0"/>
    <n v="0"/>
    <m/>
    <m/>
    <m/>
    <m/>
    <m/>
    <m/>
    <m/>
    <m/>
    <m/>
    <m/>
    <m/>
  </r>
  <r>
    <x v="14"/>
    <s v="Virginia Peninsula Community College"/>
    <s v="Reclassifed: Met the criteria for Two-Year 2 in 2019-20 and 2020-21 and 2021-22 was Thomas Nelson Community College"/>
    <n v="233754"/>
    <x v="6"/>
    <n v="132345"/>
    <n v="118434"/>
    <n v="45693"/>
    <n v="4071"/>
    <n v="6657"/>
    <n v="7361"/>
    <n v="78682"/>
    <n v="184"/>
    <n v="1129"/>
    <n v="100756"/>
    <n v="947"/>
    <n v="5299"/>
    <m/>
    <m/>
    <n v="0"/>
    <n v="0"/>
    <n v="0"/>
    <m/>
    <m/>
    <m/>
    <m/>
    <m/>
    <m/>
    <m/>
    <m/>
    <m/>
    <m/>
    <m/>
  </r>
  <r>
    <x v="14"/>
    <s v="Tidewater Community College "/>
    <m/>
    <n v="233772"/>
    <x v="5"/>
    <n v="359351"/>
    <n v="325714"/>
    <n v="119520"/>
    <n v="25237"/>
    <n v="15817"/>
    <n v="12698"/>
    <n v="218874"/>
    <n v="3243"/>
    <n v="1897"/>
    <n v="275413"/>
    <n v="9674"/>
    <n v="2692"/>
    <m/>
    <m/>
    <n v="0"/>
    <n v="0"/>
    <n v="0"/>
    <m/>
    <m/>
    <m/>
    <m/>
    <m/>
    <m/>
    <m/>
    <m/>
    <m/>
    <m/>
    <m/>
  </r>
  <r>
    <x v="14"/>
    <s v="Blue Ridge Community College "/>
    <m/>
    <n v="231536"/>
    <x v="6"/>
    <n v="64957"/>
    <n v="59883"/>
    <n v="15647"/>
    <n v="9250"/>
    <n v="3842"/>
    <n v="5003"/>
    <n v="44823"/>
    <n v="574"/>
    <n v="71"/>
    <n v="44545"/>
    <n v="634"/>
    <n v="451"/>
    <m/>
    <m/>
    <n v="0"/>
    <n v="0"/>
    <n v="0"/>
    <m/>
    <m/>
    <m/>
    <m/>
    <m/>
    <m/>
    <m/>
    <m/>
    <m/>
    <m/>
    <m/>
  </r>
  <r>
    <x v="14"/>
    <s v="Central Virginia Community College "/>
    <m/>
    <n v="231697"/>
    <x v="6"/>
    <n v="64772"/>
    <n v="61162"/>
    <n v="17305"/>
    <n v="9858"/>
    <n v="8530"/>
    <n v="6726"/>
    <n v="34671"/>
    <n v="4226"/>
    <n v="40"/>
    <n v="40008"/>
    <n v="4501"/>
    <n v="69"/>
    <m/>
    <m/>
    <n v="0"/>
    <n v="0"/>
    <n v="0"/>
    <m/>
    <m/>
    <m/>
    <m/>
    <m/>
    <m/>
    <m/>
    <m/>
    <m/>
    <m/>
    <m/>
  </r>
  <r>
    <x v="14"/>
    <s v="Germanna Community College"/>
    <m/>
    <n v="232195"/>
    <x v="6"/>
    <n v="135978"/>
    <n v="141104"/>
    <n v="27812"/>
    <n v="3887"/>
    <n v="17979"/>
    <n v="12801"/>
    <n v="83065"/>
    <n v="7122"/>
    <n v="0"/>
    <n v="121759"/>
    <n v="2591"/>
    <n v="66"/>
    <m/>
    <m/>
    <n v="0"/>
    <n v="0"/>
    <n v="0"/>
    <m/>
    <m/>
    <m/>
    <m/>
    <m/>
    <m/>
    <m/>
    <m/>
    <m/>
    <m/>
    <m/>
  </r>
  <r>
    <x v="14"/>
    <s v="Laurel Ridge Community College"/>
    <s v="Was Lord Fairfax Community College"/>
    <n v="232575"/>
    <x v="6"/>
    <n v="115532"/>
    <n v="107077"/>
    <n v="17496"/>
    <n v="8847"/>
    <n v="33298"/>
    <n v="31885"/>
    <n v="49793"/>
    <n v="14945"/>
    <n v="0"/>
    <n v="60732"/>
    <n v="5383"/>
    <n v="230"/>
    <m/>
    <m/>
    <n v="0"/>
    <n v="0"/>
    <n v="0"/>
    <m/>
    <m/>
    <m/>
    <m/>
    <m/>
    <m/>
    <m/>
    <m/>
    <m/>
    <m/>
    <m/>
  </r>
  <r>
    <x v="14"/>
    <s v="New River Community College "/>
    <m/>
    <n v="232867"/>
    <x v="6"/>
    <n v="78768"/>
    <n v="74857"/>
    <n v="10406"/>
    <n v="9209"/>
    <n v="26416"/>
    <n v="17121"/>
    <n v="41104"/>
    <n v="842"/>
    <n v="0"/>
    <n v="48300"/>
    <n v="227"/>
    <n v="0"/>
    <m/>
    <m/>
    <n v="0"/>
    <n v="0"/>
    <n v="0"/>
    <m/>
    <m/>
    <m/>
    <m/>
    <m/>
    <m/>
    <m/>
    <m/>
    <m/>
    <m/>
    <m/>
  </r>
  <r>
    <x v="14"/>
    <s v="Piedmont Virginia Community College "/>
    <m/>
    <n v="233116"/>
    <x v="6"/>
    <n v="82065"/>
    <n v="79882"/>
    <n v="20828"/>
    <n v="10981"/>
    <n v="18212"/>
    <n v="16843"/>
    <n v="41019"/>
    <n v="1941"/>
    <n v="65"/>
    <n v="50131"/>
    <n v="1893"/>
    <n v="34"/>
    <m/>
    <m/>
    <n v="0"/>
    <n v="0"/>
    <n v="0"/>
    <m/>
    <m/>
    <m/>
    <m/>
    <m/>
    <m/>
    <m/>
    <m/>
    <m/>
    <m/>
    <m/>
  </r>
  <r>
    <x v="14"/>
    <s v="Southside Virginia Community College"/>
    <s v="Reclassifed Met the criteria for Two-Year 3 in 2019-20 and 2020-21, and 2021-22"/>
    <n v="233639"/>
    <x v="7"/>
    <n v="59742"/>
    <n v="56309"/>
    <n v="5380"/>
    <n v="3905"/>
    <n v="13603"/>
    <n v="9575"/>
    <n v="37427"/>
    <n v="2224"/>
    <n v="1108"/>
    <n v="40586"/>
    <n v="990"/>
    <n v="1253"/>
    <m/>
    <m/>
    <n v="0"/>
    <n v="0"/>
    <n v="0"/>
    <m/>
    <m/>
    <m/>
    <m/>
    <m/>
    <m/>
    <m/>
    <m/>
    <m/>
    <m/>
    <m/>
  </r>
  <r>
    <x v="14"/>
    <s v="Virginia Western Community College "/>
    <m/>
    <n v="233949"/>
    <x v="6"/>
    <n v="103122"/>
    <n v="99605"/>
    <n v="26919"/>
    <n v="13001"/>
    <n v="19742"/>
    <n v="19203"/>
    <n v="51025"/>
    <n v="5436"/>
    <n v="0"/>
    <n v="64335"/>
    <n v="3066"/>
    <n v="0"/>
    <m/>
    <m/>
    <n v="0"/>
    <n v="0"/>
    <n v="0"/>
    <m/>
    <m/>
    <m/>
    <m/>
    <m/>
    <m/>
    <m/>
    <m/>
    <m/>
    <m/>
    <m/>
  </r>
  <r>
    <x v="14"/>
    <s v="Mountain Gateway Community College"/>
    <s v="Was D.S. Lancaster Community College "/>
    <n v="231873"/>
    <x v="7"/>
    <n v="18656"/>
    <n v="19403"/>
    <n v="3845"/>
    <n v="3999"/>
    <n v="4773"/>
    <n v="4635"/>
    <n v="8993"/>
    <n v="769"/>
    <n v="276"/>
    <n v="10469"/>
    <n v="182"/>
    <n v="118"/>
    <m/>
    <m/>
    <n v="0"/>
    <n v="0"/>
    <n v="0"/>
    <m/>
    <m/>
    <m/>
    <m/>
    <m/>
    <m/>
    <m/>
    <m/>
    <m/>
    <m/>
    <m/>
  </r>
  <r>
    <x v="14"/>
    <s v="Danville Community College "/>
    <m/>
    <n v="231882"/>
    <x v="7"/>
    <n v="49488"/>
    <n v="44130"/>
    <n v="17149"/>
    <n v="6741"/>
    <n v="6726"/>
    <n v="11097"/>
    <n v="17911"/>
    <n v="4678"/>
    <n v="3024"/>
    <n v="17989"/>
    <n v="4469"/>
    <n v="3834"/>
    <m/>
    <m/>
    <n v="0"/>
    <n v="0"/>
    <n v="0"/>
    <m/>
    <m/>
    <m/>
    <m/>
    <m/>
    <m/>
    <m/>
    <m/>
    <m/>
    <m/>
    <m/>
  </r>
  <r>
    <x v="14"/>
    <s v="Eastern Shore Community College"/>
    <m/>
    <n v="232052"/>
    <x v="7"/>
    <n v="12182"/>
    <n v="11724"/>
    <n v="3463"/>
    <n v="1277"/>
    <n v="3126"/>
    <n v="2919"/>
    <n v="4217"/>
    <n v="286"/>
    <n v="1090"/>
    <n v="5922"/>
    <n v="429"/>
    <n v="1177"/>
    <m/>
    <m/>
    <n v="0"/>
    <n v="0"/>
    <n v="0"/>
    <m/>
    <m/>
    <m/>
    <m/>
    <m/>
    <m/>
    <m/>
    <m/>
    <m/>
    <m/>
    <m/>
  </r>
  <r>
    <x v="14"/>
    <s v="Mountain Empire Community College"/>
    <m/>
    <n v="232788"/>
    <x v="7"/>
    <n v="45237"/>
    <n v="43685"/>
    <n v="9040"/>
    <n v="1655"/>
    <n v="6919"/>
    <n v="6819"/>
    <n v="24467"/>
    <n v="3364"/>
    <n v="1447"/>
    <n v="30458"/>
    <n v="1750"/>
    <n v="3003"/>
    <m/>
    <m/>
    <n v="0"/>
    <n v="0"/>
    <n v="0"/>
    <m/>
    <m/>
    <m/>
    <m/>
    <m/>
    <m/>
    <m/>
    <m/>
    <m/>
    <m/>
    <m/>
  </r>
  <r>
    <x v="14"/>
    <s v="Patrick &amp; Henry Community College"/>
    <s v="Was  Patrick Henry Community College"/>
    <n v="233019"/>
    <x v="7"/>
    <n v="46085"/>
    <n v="42537"/>
    <n v="15750"/>
    <n v="12312"/>
    <n v="3742"/>
    <n v="2516"/>
    <n v="23902"/>
    <n v="2673"/>
    <n v="18"/>
    <n v="25937"/>
    <n v="1772"/>
    <n v="0"/>
    <m/>
    <m/>
    <n v="0"/>
    <n v="0"/>
    <n v="0"/>
    <m/>
    <m/>
    <m/>
    <m/>
    <m/>
    <m/>
    <m/>
    <m/>
    <m/>
    <m/>
    <m/>
  </r>
  <r>
    <x v="14"/>
    <s v="Paul D. Camp Community College"/>
    <m/>
    <n v="233037"/>
    <x v="7"/>
    <n v="22936"/>
    <n v="22047"/>
    <n v="2699"/>
    <n v="2095"/>
    <n v="5967"/>
    <n v="5791"/>
    <n v="10869"/>
    <n v="2384"/>
    <n v="1017"/>
    <n v="10884"/>
    <n v="2210"/>
    <n v="1067"/>
    <m/>
    <m/>
    <n v="0"/>
    <n v="0"/>
    <n v="0"/>
    <m/>
    <m/>
    <m/>
    <m/>
    <m/>
    <m/>
    <m/>
    <m/>
    <m/>
    <m/>
    <m/>
  </r>
  <r>
    <x v="14"/>
    <s v="Rappahannock Community College"/>
    <m/>
    <n v="233310"/>
    <x v="7"/>
    <n v="47910"/>
    <n v="45196"/>
    <n v="6538"/>
    <n v="5764"/>
    <n v="14042"/>
    <n v="13694"/>
    <n v="20616"/>
    <n v="6714"/>
    <n v="0"/>
    <n v="22035"/>
    <n v="3703"/>
    <n v="0"/>
    <m/>
    <m/>
    <n v="0"/>
    <n v="0"/>
    <n v="0"/>
    <m/>
    <m/>
    <m/>
    <m/>
    <m/>
    <m/>
    <m/>
    <m/>
    <m/>
    <m/>
    <m/>
  </r>
  <r>
    <x v="14"/>
    <s v="Richard Bland College "/>
    <m/>
    <n v="233338"/>
    <x v="7"/>
    <n v="36848"/>
    <n v="32546"/>
    <n v="19540"/>
    <n v="22855"/>
    <n v="11435"/>
    <n v="0"/>
    <n v="5873"/>
    <n v="0"/>
    <n v="0"/>
    <n v="9685"/>
    <n v="6"/>
    <n v="0"/>
    <m/>
    <m/>
    <n v="0"/>
    <n v="0"/>
    <n v="0"/>
    <m/>
    <m/>
    <m/>
    <m/>
    <m/>
    <m/>
    <m/>
    <m/>
    <m/>
    <m/>
    <m/>
  </r>
  <r>
    <x v="14"/>
    <s v="Southwest Virginia Community College "/>
    <m/>
    <n v="233648"/>
    <x v="7"/>
    <n v="48714"/>
    <n v="48246"/>
    <n v="7865"/>
    <n v="2763"/>
    <n v="4481"/>
    <n v="1039"/>
    <n v="31726"/>
    <n v="4642"/>
    <n v="0"/>
    <n v="39582"/>
    <n v="4834"/>
    <n v="28"/>
    <m/>
    <m/>
    <n v="0"/>
    <n v="0"/>
    <n v="0"/>
    <m/>
    <m/>
    <m/>
    <m/>
    <m/>
    <m/>
    <m/>
    <m/>
    <m/>
    <m/>
    <m/>
  </r>
  <r>
    <x v="14"/>
    <s v="Virginia Highlands Community College "/>
    <m/>
    <n v="233903"/>
    <x v="7"/>
    <n v="41985"/>
    <n v="44775"/>
    <n v="9096"/>
    <n v="8807"/>
    <n v="6396"/>
    <n v="6919"/>
    <n v="20767"/>
    <n v="5360"/>
    <n v="366"/>
    <n v="23940"/>
    <n v="2807"/>
    <n v="2302"/>
    <m/>
    <m/>
    <n v="0"/>
    <n v="0"/>
    <n v="0"/>
    <m/>
    <m/>
    <m/>
    <m/>
    <m/>
    <m/>
    <m/>
    <m/>
    <m/>
    <m/>
    <m/>
  </r>
  <r>
    <x v="14"/>
    <s v="Wytheville Community College "/>
    <m/>
    <n v="234377"/>
    <x v="7"/>
    <n v="44087"/>
    <n v="41551.5"/>
    <n v="3528"/>
    <n v="2415"/>
    <n v="11184"/>
    <n v="10455"/>
    <n v="24909"/>
    <n v="4466"/>
    <n v="0"/>
    <n v="27146.5"/>
    <n v="1448"/>
    <n v="87"/>
    <m/>
    <m/>
    <n v="0"/>
    <n v="0"/>
    <n v="0"/>
    <m/>
    <m/>
    <m/>
    <m/>
    <m/>
    <m/>
    <m/>
    <m/>
    <m/>
    <m/>
    <m/>
  </r>
  <r>
    <x v="15"/>
    <s v="West Virginia University"/>
    <m/>
    <n v="238032"/>
    <x v="0"/>
    <n v="598709"/>
    <n v="563952"/>
    <n v="329095"/>
    <n v="286171"/>
    <n v="9465"/>
    <n v="1256"/>
    <n v="259318"/>
    <m/>
    <n v="831"/>
    <n v="276402"/>
    <m/>
    <n v="123"/>
    <m/>
    <m/>
    <n v="88595"/>
    <n v="90458"/>
    <n v="51120"/>
    <n v="48997"/>
    <n v="1213"/>
    <n v="111"/>
    <n v="35462"/>
    <n v="21"/>
    <n v="779"/>
    <n v="41227"/>
    <n v="0"/>
    <n v="123"/>
    <m/>
    <m/>
  </r>
  <r>
    <x v="15"/>
    <s v="Marshall University "/>
    <m/>
    <n v="237525"/>
    <x v="2"/>
    <n v="237987"/>
    <n v="220322"/>
    <n v="107586"/>
    <n v="95527"/>
    <n v="15655"/>
    <n v="15848"/>
    <n v="111493"/>
    <n v="3253"/>
    <m/>
    <n v="106483"/>
    <n v="2464"/>
    <m/>
    <m/>
    <m/>
    <n v="61591"/>
    <n v="61970"/>
    <n v="18142"/>
    <n v="22985"/>
    <n v="5728"/>
    <n v="9022"/>
    <n v="36941"/>
    <n v="780"/>
    <m/>
    <n v="29733"/>
    <n v="230"/>
    <m/>
    <m/>
    <m/>
  </r>
  <r>
    <x v="15"/>
    <s v="Concord University "/>
    <m/>
    <n v="237330"/>
    <x v="4"/>
    <n v="43427"/>
    <n v="41098"/>
    <n v="13278"/>
    <n v="10529"/>
    <n v="1618"/>
    <n v="392"/>
    <n v="27936"/>
    <n v="595"/>
    <m/>
    <n v="29607"/>
    <n v="570"/>
    <m/>
    <m/>
    <m/>
    <n v="6552"/>
    <n v="7536"/>
    <n v="375"/>
    <n v="309"/>
    <m/>
    <n v="0"/>
    <n v="6177"/>
    <m/>
    <m/>
    <n v="7227"/>
    <m/>
    <m/>
    <m/>
    <m/>
  </r>
  <r>
    <x v="15"/>
    <s v="Fairmont State University"/>
    <s v="Met the Requirment for Four-Year 4 in 2021-22"/>
    <n v="237367"/>
    <x v="4"/>
    <n v="94745"/>
    <n v="86232"/>
    <n v="62937"/>
    <n v="50414"/>
    <n v="2117"/>
    <n v="2701"/>
    <n v="29691"/>
    <m/>
    <m/>
    <n v="33117"/>
    <m/>
    <m/>
    <m/>
    <m/>
    <n v="3930"/>
    <n v="4592"/>
    <n v="654"/>
    <n v="785"/>
    <n v="3"/>
    <n v="0"/>
    <n v="3273"/>
    <m/>
    <m/>
    <n v="3807"/>
    <m/>
    <m/>
    <m/>
    <m/>
  </r>
  <r>
    <x v="15"/>
    <s v="Shepherd University "/>
    <m/>
    <n v="237792"/>
    <x v="4"/>
    <n v="75437"/>
    <n v="68523"/>
    <n v="39954"/>
    <n v="28081"/>
    <n v="0"/>
    <n v="0"/>
    <n v="35483"/>
    <m/>
    <m/>
    <n v="40442"/>
    <m/>
    <m/>
    <m/>
    <m/>
    <n v="11322"/>
    <n v="16947"/>
    <n v="3894"/>
    <n v="1784"/>
    <m/>
    <n v="0"/>
    <n v="7428"/>
    <m/>
    <m/>
    <n v="15163"/>
    <m/>
    <m/>
    <m/>
    <m/>
  </r>
  <r>
    <x v="15"/>
    <s v="West Liberty University"/>
    <s v="Reclassifed: Met the criteria for Four-Year 4 in 2019-20 2020-21, and 2021-22"/>
    <n v="237932"/>
    <x v="3"/>
    <n v="59963"/>
    <n v="54625"/>
    <n v="49687"/>
    <n v="48601"/>
    <n v="2309"/>
    <n v="1907"/>
    <n v="7967"/>
    <m/>
    <m/>
    <n v="4117"/>
    <m/>
    <m/>
    <m/>
    <m/>
    <n v="7340"/>
    <n v="8037"/>
    <n v="3345"/>
    <n v="4987"/>
    <n v="1035"/>
    <n v="969"/>
    <n v="2960"/>
    <m/>
    <m/>
    <n v="2081"/>
    <m/>
    <m/>
    <m/>
    <m/>
  </r>
  <r>
    <x v="15"/>
    <s v="Bluefield State College "/>
    <m/>
    <n v="237215"/>
    <x v="11"/>
    <n v="31533"/>
    <n v="30840"/>
    <n v="11407"/>
    <n v="10114"/>
    <n v="2918"/>
    <n v="1819"/>
    <n v="17208"/>
    <m/>
    <m/>
    <n v="18907"/>
    <m/>
    <m/>
    <m/>
    <m/>
    <n v="0"/>
    <n v="0"/>
    <m/>
    <m/>
    <m/>
    <m/>
    <m/>
    <m/>
    <m/>
    <m/>
    <m/>
    <m/>
    <m/>
    <m/>
  </r>
  <r>
    <x v="15"/>
    <s v="Glenville State College "/>
    <m/>
    <n v="237385"/>
    <x v="11"/>
    <n v="36888"/>
    <n v="35555"/>
    <n v="17265"/>
    <n v="15896"/>
    <n v="6778"/>
    <n v="6113"/>
    <n v="12845"/>
    <m/>
    <m/>
    <n v="13546"/>
    <m/>
    <m/>
    <m/>
    <m/>
    <n v="0"/>
    <n v="0"/>
    <m/>
    <m/>
    <m/>
    <m/>
    <m/>
    <m/>
    <m/>
    <m/>
    <m/>
    <m/>
    <m/>
    <m/>
  </r>
  <r>
    <x v="15"/>
    <s v="West Virginia State University "/>
    <s v="Reclassifed: Met the criteria for Four-Year 4 in 2019-20 2020-21, and 2021-22"/>
    <n v="237899"/>
    <x v="3"/>
    <n v="65039"/>
    <n v="57139"/>
    <n v="26195"/>
    <n v="21668"/>
    <n v="13817"/>
    <n v="14786"/>
    <n v="25027"/>
    <m/>
    <m/>
    <n v="20685"/>
    <m/>
    <m/>
    <m/>
    <m/>
    <n v="2353"/>
    <n v="3017"/>
    <n v="1696"/>
    <n v="1598"/>
    <n v="0"/>
    <n v="0"/>
    <n v="657"/>
    <m/>
    <m/>
    <n v="1419"/>
    <m/>
    <m/>
    <m/>
    <m/>
  </r>
  <r>
    <x v="15"/>
    <s v="West Virginia University Institute of Technology"/>
    <m/>
    <n v="237950"/>
    <x v="11"/>
    <n v="39462"/>
    <n v="37180"/>
    <n v="28265"/>
    <n v="25774"/>
    <n v="125"/>
    <n v="66"/>
    <n v="11072"/>
    <m/>
    <m/>
    <n v="11334"/>
    <m/>
    <n v="6"/>
    <m/>
    <m/>
    <n v="0"/>
    <n v="0"/>
    <m/>
    <m/>
    <m/>
    <m/>
    <m/>
    <m/>
    <m/>
    <m/>
    <m/>
    <m/>
    <m/>
    <m/>
  </r>
  <r>
    <x v="15"/>
    <s v="Potomac State College of West Virginia University"/>
    <m/>
    <n v="237701"/>
    <x v="12"/>
    <n v="31688"/>
    <n v="30545"/>
    <n v="21400"/>
    <n v="18462"/>
    <n v="1886"/>
    <n v="1302"/>
    <n v="8399"/>
    <m/>
    <n v="3"/>
    <n v="10781"/>
    <m/>
    <n v="0"/>
    <m/>
    <m/>
    <n v="0"/>
    <n v="0"/>
    <m/>
    <m/>
    <m/>
    <m/>
    <m/>
    <m/>
    <m/>
    <m/>
    <m/>
    <m/>
    <m/>
    <m/>
  </r>
  <r>
    <x v="15"/>
    <s v="West Virginia University at Parkersburg"/>
    <m/>
    <n v="237686"/>
    <x v="12"/>
    <n v="54053"/>
    <n v="48804"/>
    <n v="26296"/>
    <n v="19812"/>
    <n v="3738"/>
    <n v="3128"/>
    <n v="24019"/>
    <m/>
    <m/>
    <n v="25864"/>
    <m/>
    <m/>
    <m/>
    <m/>
    <n v="0"/>
    <n v="0"/>
    <m/>
    <m/>
    <m/>
    <m/>
    <m/>
    <m/>
    <m/>
    <m/>
    <m/>
    <m/>
    <m/>
    <m/>
  </r>
  <r>
    <x v="15"/>
    <s v="Blue Ridge Community &amp; Technical College"/>
    <s v="Met the criteria for Two-Year 3 in 2020-21, and 2021-22"/>
    <n v="446774"/>
    <x v="6"/>
    <n v="50852"/>
    <n v="39810"/>
    <n v="17828"/>
    <n v="4969"/>
    <n v="4962"/>
    <n v="2661"/>
    <n v="28062"/>
    <m/>
    <m/>
    <n v="32180"/>
    <m/>
    <m/>
    <m/>
    <m/>
    <n v="0"/>
    <n v="0"/>
    <m/>
    <m/>
    <m/>
    <m/>
    <m/>
    <m/>
    <m/>
    <m/>
    <m/>
    <m/>
    <m/>
    <m/>
  </r>
  <r>
    <x v="15"/>
    <s v="BridgeValley Community &amp; Technical College"/>
    <m/>
    <n v="484932"/>
    <x v="7"/>
    <n v="36783"/>
    <n v="35141"/>
    <n v="25317"/>
    <n v="21840"/>
    <n v="14"/>
    <n v="87"/>
    <n v="11452"/>
    <m/>
    <m/>
    <n v="13214"/>
    <m/>
    <m/>
    <m/>
    <m/>
    <n v="0"/>
    <n v="0"/>
    <m/>
    <m/>
    <m/>
    <m/>
    <m/>
    <m/>
    <m/>
    <m/>
    <m/>
    <m/>
    <m/>
    <m/>
  </r>
  <r>
    <x v="15"/>
    <s v="Eastern West Virginia Community &amp; Technical College"/>
    <m/>
    <n v="438708"/>
    <x v="7"/>
    <n v="6596"/>
    <n v="5750"/>
    <n v="2126"/>
    <n v="1542"/>
    <n v="1140"/>
    <n v="447"/>
    <n v="3330"/>
    <m/>
    <m/>
    <n v="3761"/>
    <m/>
    <m/>
    <m/>
    <m/>
    <n v="0"/>
    <n v="0"/>
    <m/>
    <m/>
    <m/>
    <m/>
    <m/>
    <m/>
    <m/>
    <m/>
    <m/>
    <m/>
    <m/>
    <m/>
  </r>
  <r>
    <x v="15"/>
    <s v="Mountwest Community &amp; Technical College"/>
    <m/>
    <n v="444954"/>
    <x v="7"/>
    <n v="33709"/>
    <n v="27720"/>
    <n v="18883"/>
    <n v="15403"/>
    <n v="2207"/>
    <n v="984"/>
    <n v="12619"/>
    <m/>
    <m/>
    <n v="11333"/>
    <m/>
    <m/>
    <m/>
    <m/>
    <n v="0"/>
    <n v="0"/>
    <m/>
    <m/>
    <m/>
    <m/>
    <m/>
    <m/>
    <m/>
    <m/>
    <m/>
    <m/>
    <m/>
    <m/>
  </r>
  <r>
    <x v="15"/>
    <s v="New River Community &amp; Technical College"/>
    <m/>
    <n v="447582"/>
    <x v="7"/>
    <n v="25411"/>
    <n v="23609"/>
    <n v="14346"/>
    <n v="12225"/>
    <n v="0"/>
    <n v="0"/>
    <n v="11065"/>
    <m/>
    <m/>
    <n v="11384"/>
    <m/>
    <m/>
    <m/>
    <m/>
    <n v="0"/>
    <n v="0"/>
    <m/>
    <m/>
    <m/>
    <m/>
    <m/>
    <m/>
    <m/>
    <m/>
    <m/>
    <m/>
    <m/>
    <m/>
  </r>
  <r>
    <x v="15"/>
    <s v="Pierpont Community &amp; Technical College"/>
    <m/>
    <n v="443492"/>
    <x v="7"/>
    <n v="35579"/>
    <n v="32402"/>
    <n v="3272"/>
    <n v="1499"/>
    <n v="7798"/>
    <n v="9717"/>
    <n v="23102"/>
    <m/>
    <n v="1407"/>
    <n v="19662"/>
    <m/>
    <n v="1524"/>
    <m/>
    <m/>
    <n v="0"/>
    <n v="0"/>
    <m/>
    <m/>
    <m/>
    <m/>
    <m/>
    <m/>
    <m/>
    <m/>
    <m/>
    <m/>
    <m/>
    <m/>
  </r>
  <r>
    <x v="15"/>
    <s v="Southern West Virginia Community &amp; Technical College "/>
    <m/>
    <n v="237817"/>
    <x v="7"/>
    <n v="33407"/>
    <n v="31026"/>
    <n v="14149"/>
    <n v="6607"/>
    <n v="1100"/>
    <n v="630"/>
    <n v="16514"/>
    <n v="1644"/>
    <m/>
    <n v="23789"/>
    <n v="0"/>
    <m/>
    <m/>
    <m/>
    <n v="0"/>
    <n v="0"/>
    <m/>
    <m/>
    <m/>
    <m/>
    <m/>
    <m/>
    <m/>
    <m/>
    <m/>
    <m/>
    <m/>
    <m/>
  </r>
  <r>
    <x v="15"/>
    <s v="West Virginia Northern Community College"/>
    <m/>
    <n v="238014"/>
    <x v="7"/>
    <n v="27865"/>
    <n v="25000"/>
    <n v="6648"/>
    <n v="3632"/>
    <n v="0"/>
    <n v="0"/>
    <n v="20010"/>
    <n v="1207"/>
    <m/>
    <n v="20846"/>
    <n v="522"/>
    <m/>
    <m/>
    <m/>
    <n v="0"/>
    <n v="0"/>
    <m/>
    <m/>
    <m/>
    <m/>
    <m/>
    <m/>
    <m/>
    <m/>
    <m/>
    <m/>
    <m/>
    <m/>
  </r>
  <r>
    <x v="15"/>
    <s v="Academy of Careers and Technology"/>
    <m/>
    <n v="237729"/>
    <x v="14"/>
    <n v="0"/>
    <n v="0"/>
    <m/>
    <n v="0"/>
    <m/>
    <m/>
    <m/>
    <m/>
    <m/>
    <m/>
    <m/>
    <m/>
    <m/>
    <m/>
    <n v="0"/>
    <n v="0"/>
    <m/>
    <m/>
    <m/>
    <m/>
    <m/>
    <m/>
    <m/>
    <m/>
    <m/>
    <m/>
    <m/>
    <m/>
  </r>
  <r>
    <x v="15"/>
    <s v="Ben Franklin Career Center"/>
    <m/>
    <n v="237172"/>
    <x v="14"/>
    <n v="0"/>
    <n v="0"/>
    <m/>
    <n v="0"/>
    <m/>
    <m/>
    <m/>
    <m/>
    <m/>
    <m/>
    <m/>
    <m/>
    <m/>
    <m/>
    <n v="0"/>
    <n v="0"/>
    <m/>
    <m/>
    <m/>
    <m/>
    <m/>
    <m/>
    <m/>
    <m/>
    <m/>
    <m/>
    <m/>
    <m/>
  </r>
  <r>
    <x v="15"/>
    <s v="Boone Career and Technical Center"/>
    <m/>
    <n v="237224"/>
    <x v="14"/>
    <n v="0"/>
    <n v="0"/>
    <m/>
    <n v="0"/>
    <m/>
    <m/>
    <m/>
    <m/>
    <m/>
    <m/>
    <m/>
    <m/>
    <m/>
    <m/>
    <n v="0"/>
    <n v="0"/>
    <m/>
    <m/>
    <m/>
    <m/>
    <m/>
    <m/>
    <m/>
    <m/>
    <m/>
    <m/>
    <m/>
    <m/>
  </r>
  <r>
    <x v="15"/>
    <s v="Cabell County Career Technology Center"/>
    <m/>
    <n v="237242"/>
    <x v="14"/>
    <n v="0"/>
    <n v="0"/>
    <m/>
    <n v="0"/>
    <m/>
    <m/>
    <m/>
    <m/>
    <m/>
    <m/>
    <m/>
    <m/>
    <m/>
    <m/>
    <n v="0"/>
    <n v="0"/>
    <m/>
    <m/>
    <m/>
    <m/>
    <m/>
    <m/>
    <m/>
    <m/>
    <m/>
    <m/>
    <m/>
    <m/>
  </r>
  <r>
    <x v="15"/>
    <s v="Carver Career and Technical Education Center"/>
    <m/>
    <n v="430795"/>
    <x v="14"/>
    <n v="0"/>
    <n v="0"/>
    <m/>
    <n v="0"/>
    <m/>
    <m/>
    <m/>
    <m/>
    <m/>
    <m/>
    <m/>
    <m/>
    <m/>
    <m/>
    <n v="0"/>
    <n v="0"/>
    <m/>
    <m/>
    <m/>
    <m/>
    <m/>
    <m/>
    <m/>
    <m/>
    <m/>
    <m/>
    <m/>
    <m/>
  </r>
  <r>
    <x v="15"/>
    <s v="Fayette Institute of Technology"/>
    <m/>
    <n v="413176"/>
    <x v="14"/>
    <n v="0"/>
    <n v="0"/>
    <m/>
    <n v="0"/>
    <m/>
    <m/>
    <m/>
    <m/>
    <m/>
    <m/>
    <m/>
    <m/>
    <m/>
    <m/>
    <n v="0"/>
    <n v="0"/>
    <m/>
    <m/>
    <m/>
    <m/>
    <m/>
    <m/>
    <m/>
    <m/>
    <m/>
    <m/>
    <m/>
    <m/>
  </r>
  <r>
    <x v="15"/>
    <s v="Fred W. Eberle Technical Center "/>
    <m/>
    <n v="237844"/>
    <x v="14"/>
    <n v="0"/>
    <n v="0"/>
    <m/>
    <n v="0"/>
    <m/>
    <m/>
    <m/>
    <m/>
    <m/>
    <m/>
    <m/>
    <m/>
    <m/>
    <m/>
    <n v="0"/>
    <n v="0"/>
    <m/>
    <m/>
    <m/>
    <m/>
    <m/>
    <m/>
    <m/>
    <m/>
    <m/>
    <m/>
    <m/>
    <m/>
  </r>
  <r>
    <x v="15"/>
    <s v="Garnet Career Center "/>
    <m/>
    <n v="431169"/>
    <x v="14"/>
    <n v="0"/>
    <n v="0"/>
    <m/>
    <n v="0"/>
    <m/>
    <m/>
    <m/>
    <m/>
    <m/>
    <m/>
    <m/>
    <m/>
    <m/>
    <m/>
    <n v="0"/>
    <n v="0"/>
    <m/>
    <m/>
    <m/>
    <m/>
    <m/>
    <m/>
    <m/>
    <m/>
    <m/>
    <m/>
    <m/>
    <m/>
  </r>
  <r>
    <x v="15"/>
    <s v="James Rumsey Technical Institute"/>
    <m/>
    <n v="237473"/>
    <x v="14"/>
    <n v="0"/>
    <n v="0"/>
    <m/>
    <n v="0"/>
    <m/>
    <m/>
    <m/>
    <m/>
    <m/>
    <m/>
    <m/>
    <m/>
    <m/>
    <m/>
    <n v="0"/>
    <n v="0"/>
    <m/>
    <m/>
    <m/>
    <m/>
    <m/>
    <m/>
    <m/>
    <m/>
    <m/>
    <m/>
    <m/>
    <m/>
  </r>
  <r>
    <x v="15"/>
    <s v="John D. Rockefeller IV Career Center"/>
    <m/>
    <n v="446349"/>
    <x v="14"/>
    <n v="0"/>
    <n v="0"/>
    <m/>
    <n v="0"/>
    <m/>
    <m/>
    <m/>
    <m/>
    <m/>
    <m/>
    <m/>
    <m/>
    <m/>
    <m/>
    <n v="0"/>
    <n v="0"/>
    <m/>
    <m/>
    <m/>
    <m/>
    <m/>
    <m/>
    <m/>
    <m/>
    <m/>
    <m/>
    <m/>
    <m/>
  </r>
  <r>
    <x v="15"/>
    <s v="Marion County Technical Center"/>
    <m/>
    <n v="237516"/>
    <x v="14"/>
    <n v="0"/>
    <n v="0"/>
    <m/>
    <n v="0"/>
    <m/>
    <m/>
    <m/>
    <m/>
    <m/>
    <m/>
    <m/>
    <m/>
    <m/>
    <m/>
    <n v="0"/>
    <n v="0"/>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DC1778-469C-44A2-B2AC-013859092CE2}" name="PivotTable1" cacheId="1013" dataOnRows="1"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A3:U617" firstHeaderRow="1" firstDataRow="3" firstDataCol="2"/>
  <pivotFields count="74">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8">
        <item x="0"/>
        <item x="1"/>
        <item x="2"/>
        <item x="3"/>
        <item x="4"/>
        <item x="11"/>
        <item x="10"/>
        <item x="12"/>
        <item x="5"/>
        <item x="6"/>
        <item x="7"/>
        <item x="8"/>
        <item x="9"/>
        <item h="1" m="1" x="16"/>
        <item h="1" x="14"/>
        <item h="1" m="1" x="15"/>
        <item x="1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axis="axisCol" compact="0" outline="0" subtotalTop="0" showAll="0" includeNewItemsInFilter="1">
      <items count="8">
        <item n="Four-Year +" x="3"/>
        <item n="Two-Year" x="4"/>
        <item n="Technical" x="5"/>
        <item h="1" x="2"/>
        <item h="1" x="1"/>
        <item h="1" x="0"/>
        <item x="6"/>
        <item t="default"/>
      </items>
    </pivotField>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0"/>
    <field x="-2"/>
  </rowFields>
  <rowItems count="612">
    <i>
      <x/>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6"/>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7"/>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8"/>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9"/>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0"/>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2"/>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3"/>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4"/>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x v="15"/>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r="1" i="30">
      <x v="30"/>
    </i>
    <i r="1" i="31">
      <x v="31"/>
    </i>
    <i r="1" i="32">
      <x v="32"/>
    </i>
    <i r="1" i="33">
      <x v="33"/>
    </i>
    <i r="1" i="34">
      <x v="34"/>
    </i>
    <i r="1" i="35">
      <x v="35"/>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i t="grand" i="30">
      <x/>
    </i>
    <i t="grand" i="31">
      <x/>
    </i>
    <i t="grand" i="32">
      <x/>
    </i>
    <i t="grand" i="33">
      <x/>
    </i>
    <i t="grand" i="34">
      <x/>
    </i>
    <i t="grand" i="35">
      <x/>
    </i>
  </rowItems>
  <colFields count="2">
    <field x="70"/>
    <field x="4"/>
  </colFields>
  <colItems count="19">
    <i>
      <x/>
      <x/>
    </i>
    <i r="1">
      <x v="1"/>
    </i>
    <i r="1">
      <x v="2"/>
    </i>
    <i r="1">
      <x v="3"/>
    </i>
    <i r="1">
      <x v="4"/>
    </i>
    <i r="1">
      <x v="5"/>
    </i>
    <i r="1">
      <x v="6"/>
    </i>
    <i t="default">
      <x/>
    </i>
    <i>
      <x v="1"/>
      <x v="7"/>
    </i>
    <i r="1">
      <x v="8"/>
    </i>
    <i r="1">
      <x v="9"/>
    </i>
    <i r="1">
      <x v="10"/>
    </i>
    <i t="default">
      <x v="1"/>
    </i>
    <i>
      <x v="2"/>
      <x v="11"/>
    </i>
    <i r="1">
      <x v="12"/>
    </i>
    <i t="default">
      <x v="2"/>
    </i>
    <i>
      <x v="6"/>
      <x v="16"/>
    </i>
    <i t="default">
      <x v="6"/>
    </i>
    <i t="grand">
      <x/>
    </i>
  </colItems>
  <dataFields count="36">
    <dataField name=" Old %UG OnC Trad" fld="69" baseField="0" baseItem="0"/>
    <dataField name=" New %UG OnC Trad" fld="68" baseField="0" baseItem="0"/>
    <dataField name=" Change %UG OnC Trad" fld="51" baseField="0" baseItem="0"/>
    <dataField name=" Old %UG OffC Trad" fld="73" baseField="0" baseItem="0"/>
    <dataField name=" New %UG OffC Trad" fld="67" baseField="0" baseItem="0"/>
    <dataField name=" Change %UG OffC Trad" fld="54" baseField="0" baseItem="5"/>
    <dataField name=" Old %UG EL Web" fld="35" baseField="0" baseItem="0"/>
    <dataField name=" New %UG EL Web" fld="36" baseField="0" baseItem="0"/>
    <dataField name=" Change %UG EL Web" fld="55" baseField="0" baseItem="0"/>
    <dataField name=" Old %UG EL CV" fld="42" baseField="0" baseItem="0"/>
    <dataField name=" New %UG EL CV" fld="41" baseField="0" baseItem="0"/>
    <dataField name=" Change %UG EL CV" fld="58" baseField="0" baseItem="0"/>
    <dataField name=" Old %UG EL O" fld="43" baseField="0" baseItem="0"/>
    <dataField name=" New %UG EL O" fld="44" baseField="0" baseItem="0"/>
    <dataField name=" Change %UG EL O" fld="59" baseField="0" baseItem="0"/>
    <dataField name=" Old %UG Cor" fld="50" baseField="0" baseItem="0"/>
    <dataField name=" New %UG Cor" fld="49" baseField="0" baseItem="0"/>
    <dataField name=" Change %UG Cor" fld="62" baseField="0" baseItem="0"/>
    <dataField name=" Old %G OnC Trad" fld="71" baseField="0" baseItem="0"/>
    <dataField name=" New %G OnC Trad" fld="33" baseField="0" baseItem="0"/>
    <dataField name=" Change %G OnC Trad" fld="52" baseField="0" baseItem="0"/>
    <dataField name=" Old %G OffC Trad" fld="72" baseField="0" baseItem="0"/>
    <dataField name=" New %G OffC Trad" fld="34" baseField="0" baseItem="0"/>
    <dataField name=" Change %G OffC Trad" fld="53" baseField="0" baseItem="0"/>
    <dataField name=" Old %G EL Web" fld="38" baseField="0" baseItem="0"/>
    <dataField name=" New %G EL Web" fld="37" baseField="0" baseItem="0"/>
    <dataField name=" Change %G EL Web" fld="56" baseField="0" baseItem="0"/>
    <dataField name=" Old %G EL CV" fld="39" baseField="0" baseItem="0"/>
    <dataField name=" New %G EL CV" fld="40" baseField="0" baseItem="0"/>
    <dataField name=" Change %G EL CV" fld="57" baseField="0" baseItem="0"/>
    <dataField name=" Old %G EL O" fld="46" baseField="0" baseItem="0"/>
    <dataField name=" New %G EL O" fld="45" baseField="0" baseItem="0"/>
    <dataField name=" Change %G EL O" fld="60" baseField="0" baseItem="0"/>
    <dataField name=" Old %G Cor" fld="47" baseField="0" baseItem="0"/>
    <dataField name=" New %G Cor" fld="48" baseField="0" baseItem="0"/>
    <dataField name=" Change %G Cor" fld="61" baseField="0" baseItem="0"/>
  </dataFields>
  <formats count="3016">
    <format dxfId="9494">
      <pivotArea field="4" type="button" dataOnly="0" labelOnly="1" outline="0" axis="axisCol" fieldPosition="1"/>
    </format>
    <format dxfId="9493">
      <pivotArea type="topRight" dataOnly="0" labelOnly="1" outline="0" fieldPosition="0"/>
    </format>
    <format dxfId="9492">
      <pivotArea dataOnly="0" labelOnly="1" grandCol="1" outline="0" fieldPosition="0"/>
    </format>
    <format dxfId="9491">
      <pivotArea outline="0" fieldPosition="0"/>
    </format>
    <format dxfId="9490">
      <pivotArea dataOnly="0" labelOnly="1" outline="0" offset="IV256" fieldPosition="0">
        <references count="1">
          <reference field="0" count="1">
            <x v="9"/>
          </reference>
        </references>
      </pivotArea>
    </format>
    <format dxfId="9489">
      <pivotArea dataOnly="0" labelOnly="1" outline="0" fieldPosition="0">
        <references count="1">
          <reference field="0" count="0"/>
        </references>
      </pivotArea>
    </format>
    <format dxfId="9488">
      <pivotArea type="origin" dataOnly="0" labelOnly="1" outline="0" fieldPosition="0"/>
    </format>
    <format dxfId="9487">
      <pivotArea field="0" type="button" dataOnly="0" labelOnly="1" outline="0" axis="axisRow" fieldPosition="0"/>
    </format>
    <format dxfId="9486">
      <pivotArea field="-2" type="button" dataOnly="0" labelOnly="1" outline="0" axis="axisRow" fieldPosition="1"/>
    </format>
    <format dxfId="9485">
      <pivotArea field="4" type="button" dataOnly="0" labelOnly="1" outline="0" axis="axisCol" fieldPosition="1"/>
    </format>
    <format dxfId="9484">
      <pivotArea type="topRight" dataOnly="0" labelOnly="1" outline="0" fieldPosition="0"/>
    </format>
    <format dxfId="9483">
      <pivotArea dataOnly="0" labelOnly="1" grandCol="1" outline="0" offset="IV256" fieldPosition="0"/>
    </format>
    <format dxfId="9482">
      <pivotArea field="0" grandRow="1" outline="0" axis="axisRow" fieldPosition="0">
        <references count="1">
          <reference field="4294967294" count="1" selected="0">
            <x v="35"/>
          </reference>
        </references>
      </pivotArea>
    </format>
    <format dxfId="9481">
      <pivotArea field="0" dataOnly="0" labelOnly="1" grandRow="1" outline="0" axis="axisRow" fieldPosition="0">
        <references count="1">
          <reference field="4294967294" count="1" selected="0">
            <x v="0"/>
          </reference>
        </references>
      </pivotArea>
    </format>
    <format dxfId="9480">
      <pivotArea field="0" dataOnly="0" labelOnly="1" grandRow="1" outline="0" axis="axisRow" fieldPosition="0">
        <references count="1">
          <reference field="4294967294" count="1" selected="0">
            <x v="1"/>
          </reference>
        </references>
      </pivotArea>
    </format>
    <format dxfId="9479">
      <pivotArea field="0" dataOnly="0" labelOnly="1" grandRow="1" outline="0" axis="axisRow" fieldPosition="0">
        <references count="1">
          <reference field="4294967294" count="1" selected="0">
            <x v="3"/>
          </reference>
        </references>
      </pivotArea>
    </format>
    <format dxfId="9478">
      <pivotArea field="0" dataOnly="0" labelOnly="1" grandRow="1" outline="0" axis="axisRow" fieldPosition="0">
        <references count="1">
          <reference field="4294967294" count="1" selected="0">
            <x v="4"/>
          </reference>
        </references>
      </pivotArea>
    </format>
    <format dxfId="9477">
      <pivotArea field="0" dataOnly="0" labelOnly="1" grandRow="1" outline="0" axis="axisRow" fieldPosition="0">
        <references count="1">
          <reference field="4294967294" count="1" selected="0">
            <x v="5"/>
          </reference>
        </references>
      </pivotArea>
    </format>
    <format dxfId="9476">
      <pivotArea field="0" dataOnly="0" labelOnly="1" grandRow="1" outline="0" axis="axisRow" fieldPosition="0">
        <references count="1">
          <reference field="4294967294" count="1" selected="0">
            <x v="6"/>
          </reference>
        </references>
      </pivotArea>
    </format>
    <format dxfId="9475">
      <pivotArea field="0" dataOnly="0" labelOnly="1" grandRow="1" outline="0" axis="axisRow" fieldPosition="0">
        <references count="1">
          <reference field="4294967294" count="1" selected="0">
            <x v="7"/>
          </reference>
        </references>
      </pivotArea>
    </format>
    <format dxfId="9474">
      <pivotArea field="0" dataOnly="0" labelOnly="1" grandRow="1" outline="0" axis="axisRow" fieldPosition="0">
        <references count="1">
          <reference field="4294967294" count="1" selected="0">
            <x v="8"/>
          </reference>
        </references>
      </pivotArea>
    </format>
    <format dxfId="9473">
      <pivotArea field="0" dataOnly="0" labelOnly="1" grandRow="1" outline="0" axis="axisRow" fieldPosition="0">
        <references count="1">
          <reference field="4294967294" count="1" selected="0">
            <x v="9"/>
          </reference>
        </references>
      </pivotArea>
    </format>
    <format dxfId="9472">
      <pivotArea field="0" dataOnly="0" labelOnly="1" grandRow="1" outline="0" axis="axisRow" fieldPosition="0">
        <references count="1">
          <reference field="4294967294" count="1" selected="0">
            <x v="10"/>
          </reference>
        </references>
      </pivotArea>
    </format>
    <format dxfId="9471">
      <pivotArea field="0" dataOnly="0" labelOnly="1" grandRow="1" outline="0" axis="axisRow" fieldPosition="0">
        <references count="1">
          <reference field="4294967294" count="1" selected="0">
            <x v="11"/>
          </reference>
        </references>
      </pivotArea>
    </format>
    <format dxfId="9470">
      <pivotArea field="0" dataOnly="0" labelOnly="1" grandRow="1" outline="0" axis="axisRow" fieldPosition="0">
        <references count="1">
          <reference field="4294967294" count="1" selected="0">
            <x v="12"/>
          </reference>
        </references>
      </pivotArea>
    </format>
    <format dxfId="9469">
      <pivotArea field="0" dataOnly="0" labelOnly="1" grandRow="1" outline="0" axis="axisRow" fieldPosition="0">
        <references count="1">
          <reference field="4294967294" count="1" selected="0">
            <x v="13"/>
          </reference>
        </references>
      </pivotArea>
    </format>
    <format dxfId="9468">
      <pivotArea field="0" dataOnly="0" labelOnly="1" grandRow="1" outline="0" axis="axisRow" fieldPosition="0">
        <references count="1">
          <reference field="4294967294" count="1" selected="0">
            <x v="14"/>
          </reference>
        </references>
      </pivotArea>
    </format>
    <format dxfId="9467">
      <pivotArea field="0" dataOnly="0" labelOnly="1" grandRow="1" outline="0" axis="axisRow" fieldPosition="0">
        <references count="1">
          <reference field="4294967294" count="1" selected="0">
            <x v="15"/>
          </reference>
        </references>
      </pivotArea>
    </format>
    <format dxfId="9466">
      <pivotArea field="0" dataOnly="0" labelOnly="1" grandRow="1" outline="0" axis="axisRow" fieldPosition="0">
        <references count="1">
          <reference field="4294967294" count="1" selected="0">
            <x v="16"/>
          </reference>
        </references>
      </pivotArea>
    </format>
    <format dxfId="9465">
      <pivotArea field="0" dataOnly="0" labelOnly="1" grandRow="1" outline="0" axis="axisRow" fieldPosition="0">
        <references count="1">
          <reference field="4294967294" count="1" selected="0">
            <x v="17"/>
          </reference>
        </references>
      </pivotArea>
    </format>
    <format dxfId="9464">
      <pivotArea field="0" dataOnly="0" labelOnly="1" grandRow="1" outline="0" axis="axisRow" fieldPosition="0">
        <references count="1">
          <reference field="4294967294" count="1" selected="0">
            <x v="18"/>
          </reference>
        </references>
      </pivotArea>
    </format>
    <format dxfId="9463">
      <pivotArea field="0" dataOnly="0" labelOnly="1" grandRow="1" outline="0" axis="axisRow" fieldPosition="0">
        <references count="1">
          <reference field="4294967294" count="1" selected="0">
            <x v="19"/>
          </reference>
        </references>
      </pivotArea>
    </format>
    <format dxfId="9462">
      <pivotArea field="0" dataOnly="0" labelOnly="1" grandRow="1" outline="0" axis="axisRow" fieldPosition="0">
        <references count="1">
          <reference field="4294967294" count="1" selected="0">
            <x v="20"/>
          </reference>
        </references>
      </pivotArea>
    </format>
    <format dxfId="9461">
      <pivotArea field="0" dataOnly="0" labelOnly="1" grandRow="1" outline="0" axis="axisRow" fieldPosition="0">
        <references count="1">
          <reference field="4294967294" count="1" selected="0">
            <x v="21"/>
          </reference>
        </references>
      </pivotArea>
    </format>
    <format dxfId="9460">
      <pivotArea field="0" dataOnly="0" labelOnly="1" grandRow="1" outline="0" axis="axisRow" fieldPosition="0">
        <references count="1">
          <reference field="4294967294" count="1" selected="0">
            <x v="22"/>
          </reference>
        </references>
      </pivotArea>
    </format>
    <format dxfId="9459">
      <pivotArea field="0" dataOnly="0" labelOnly="1" grandRow="1" outline="0" axis="axisRow" fieldPosition="0">
        <references count="1">
          <reference field="4294967294" count="1" selected="0">
            <x v="23"/>
          </reference>
        </references>
      </pivotArea>
    </format>
    <format dxfId="9458">
      <pivotArea field="0" dataOnly="0" labelOnly="1" grandRow="1" outline="0" axis="axisRow" fieldPosition="0">
        <references count="1">
          <reference field="4294967294" count="1" selected="0">
            <x v="24"/>
          </reference>
        </references>
      </pivotArea>
    </format>
    <format dxfId="9457">
      <pivotArea field="0" dataOnly="0" labelOnly="1" grandRow="1" outline="0" axis="axisRow" fieldPosition="0">
        <references count="1">
          <reference field="4294967294" count="1" selected="0">
            <x v="25"/>
          </reference>
        </references>
      </pivotArea>
    </format>
    <format dxfId="9456">
      <pivotArea field="0" dataOnly="0" labelOnly="1" grandRow="1" outline="0" axis="axisRow" fieldPosition="0">
        <references count="1">
          <reference field="4294967294" count="1" selected="0">
            <x v="26"/>
          </reference>
        </references>
      </pivotArea>
    </format>
    <format dxfId="9455">
      <pivotArea field="0" dataOnly="0" labelOnly="1" grandRow="1" outline="0" axis="axisRow" fieldPosition="0">
        <references count="1">
          <reference field="4294967294" count="1" selected="0">
            <x v="27"/>
          </reference>
        </references>
      </pivotArea>
    </format>
    <format dxfId="9454">
      <pivotArea field="0" dataOnly="0" labelOnly="1" grandRow="1" outline="0" axis="axisRow" fieldPosition="0">
        <references count="1">
          <reference field="4294967294" count="1" selected="0">
            <x v="28"/>
          </reference>
        </references>
      </pivotArea>
    </format>
    <format dxfId="9453">
      <pivotArea field="0" dataOnly="0" labelOnly="1" grandRow="1" outline="0" axis="axisRow" fieldPosition="0">
        <references count="1">
          <reference field="4294967294" count="1" selected="0">
            <x v="29"/>
          </reference>
        </references>
      </pivotArea>
    </format>
    <format dxfId="9452">
      <pivotArea field="0" dataOnly="0" labelOnly="1" grandRow="1" outline="0" axis="axisRow" fieldPosition="0">
        <references count="1">
          <reference field="4294967294" count="1" selected="0">
            <x v="30"/>
          </reference>
        </references>
      </pivotArea>
    </format>
    <format dxfId="9451">
      <pivotArea field="0" dataOnly="0" labelOnly="1" grandRow="1" outline="0" axis="axisRow" fieldPosition="0">
        <references count="1">
          <reference field="4294967294" count="1" selected="0">
            <x v="31"/>
          </reference>
        </references>
      </pivotArea>
    </format>
    <format dxfId="9450">
      <pivotArea field="0" dataOnly="0" labelOnly="1" grandRow="1" outline="0" axis="axisRow" fieldPosition="0">
        <references count="1">
          <reference field="4294967294" count="1" selected="0">
            <x v="32"/>
          </reference>
        </references>
      </pivotArea>
    </format>
    <format dxfId="9449">
      <pivotArea field="0" dataOnly="0" labelOnly="1" grandRow="1" outline="0" axis="axisRow" fieldPosition="0">
        <references count="1">
          <reference field="4294967294" count="1" selected="0">
            <x v="33"/>
          </reference>
        </references>
      </pivotArea>
    </format>
    <format dxfId="9448">
      <pivotArea field="0" dataOnly="0" labelOnly="1" grandRow="1" outline="0" axis="axisRow" fieldPosition="0">
        <references count="1">
          <reference field="4294967294" count="1" selected="0">
            <x v="34"/>
          </reference>
        </references>
      </pivotArea>
    </format>
    <format dxfId="9447">
      <pivotArea field="0" dataOnly="0" labelOnly="1" grandRow="1" outline="0" axis="axisRow" fieldPosition="0">
        <references count="1">
          <reference field="4294967294" count="1" selected="0">
            <x v="35"/>
          </reference>
        </references>
      </pivotArea>
    </format>
    <format dxfId="9446">
      <pivotArea field="0" grandRow="1" outline="0" axis="axisRow" fieldPosition="0">
        <references count="1">
          <reference field="4294967294" count="1" selected="0">
            <x v="5"/>
          </reference>
        </references>
      </pivotArea>
    </format>
    <format dxfId="9445">
      <pivotArea field="0" grandRow="1" outline="0" axis="axisRow" fieldPosition="0">
        <references count="1">
          <reference field="4294967294" count="1" selected="0">
            <x v="8"/>
          </reference>
        </references>
      </pivotArea>
    </format>
    <format dxfId="9444">
      <pivotArea field="0" grandRow="1" outline="0" axis="axisRow" fieldPosition="0">
        <references count="1">
          <reference field="4294967294" count="1" selected="0">
            <x v="11"/>
          </reference>
        </references>
      </pivotArea>
    </format>
    <format dxfId="9443">
      <pivotArea field="0" grandRow="1" outline="0" axis="axisRow" fieldPosition="0">
        <references count="1">
          <reference field="4294967294" count="1" selected="0">
            <x v="14"/>
          </reference>
        </references>
      </pivotArea>
    </format>
    <format dxfId="9442">
      <pivotArea field="0" grandRow="1" outline="0" axis="axisRow" fieldPosition="0">
        <references count="1">
          <reference field="4294967294" count="1" selected="0">
            <x v="17"/>
          </reference>
        </references>
      </pivotArea>
    </format>
    <format dxfId="9441">
      <pivotArea field="0" grandRow="1" outline="0" axis="axisRow" fieldPosition="0">
        <references count="1">
          <reference field="4294967294" count="1" selected="0">
            <x v="20"/>
          </reference>
        </references>
      </pivotArea>
    </format>
    <format dxfId="9440">
      <pivotArea field="0" grandRow="1" outline="0" axis="axisRow" fieldPosition="0">
        <references count="1">
          <reference field="4294967294" count="1" selected="0">
            <x v="23"/>
          </reference>
        </references>
      </pivotArea>
    </format>
    <format dxfId="9439">
      <pivotArea field="0" grandRow="1" outline="0" axis="axisRow" fieldPosition="0">
        <references count="1">
          <reference field="4294967294" count="1" selected="0">
            <x v="26"/>
          </reference>
        </references>
      </pivotArea>
    </format>
    <format dxfId="9438">
      <pivotArea field="0" grandRow="1" outline="0" axis="axisRow" fieldPosition="0">
        <references count="1">
          <reference field="4294967294" count="1" selected="0">
            <x v="29"/>
          </reference>
        </references>
      </pivotArea>
    </format>
    <format dxfId="9437">
      <pivotArea field="0" grandRow="1" outline="0" axis="axisRow" fieldPosition="0">
        <references count="1">
          <reference field="4294967294" count="1" selected="0">
            <x v="32"/>
          </reference>
        </references>
      </pivotArea>
    </format>
    <format dxfId="9436">
      <pivotArea field="0" grandRow="1" outline="0" axis="axisRow" fieldPosition="0">
        <references count="1">
          <reference field="4294967294" count="1" selected="0">
            <x v="35"/>
          </reference>
        </references>
      </pivotArea>
    </format>
    <format dxfId="9435">
      <pivotArea field="4" type="button" dataOnly="0" labelOnly="1" outline="0" axis="axisCol" fieldPosition="1"/>
    </format>
    <format dxfId="9434">
      <pivotArea type="topRight" dataOnly="0" labelOnly="1" outline="0" fieldPosition="0"/>
    </format>
    <format dxfId="9433">
      <pivotArea type="topRight" dataOnly="0" labelOnly="1" outline="0" offset="O1" fieldPosition="0"/>
    </format>
    <format dxfId="9432">
      <pivotArea type="origin" dataOnly="0" labelOnly="1" outline="0" offset="A2:B2" fieldPosition="0"/>
    </format>
    <format dxfId="9431">
      <pivotArea field="0" dataOnly="0" labelOnly="1" grandRow="1" outline="0" axis="axisRow" fieldPosition="0">
        <references count="1">
          <reference field="4294967294" count="1" selected="0">
            <x v="0"/>
          </reference>
        </references>
      </pivotArea>
    </format>
    <format dxfId="9430">
      <pivotArea field="0" dataOnly="0" labelOnly="1" grandRow="1" outline="0" axis="axisRow" fieldPosition="0">
        <references count="1">
          <reference field="4294967294" count="1" selected="0">
            <x v="1"/>
          </reference>
        </references>
      </pivotArea>
    </format>
    <format dxfId="9429">
      <pivotArea field="0" dataOnly="0" labelOnly="1" grandRow="1" outline="0" axis="axisRow" fieldPosition="0">
        <references count="1">
          <reference field="4294967294" count="1" selected="0">
            <x v="3"/>
          </reference>
        </references>
      </pivotArea>
    </format>
    <format dxfId="9428">
      <pivotArea field="0" dataOnly="0" labelOnly="1" grandRow="1" outline="0" axis="axisRow" fieldPosition="0">
        <references count="1">
          <reference field="4294967294" count="1" selected="0">
            <x v="4"/>
          </reference>
        </references>
      </pivotArea>
    </format>
    <format dxfId="9427">
      <pivotArea field="0" dataOnly="0" labelOnly="1" grandRow="1" outline="0" axis="axisRow" fieldPosition="0">
        <references count="1">
          <reference field="4294967294" count="1" selected="0">
            <x v="5"/>
          </reference>
        </references>
      </pivotArea>
    </format>
    <format dxfId="9426">
      <pivotArea field="0" dataOnly="0" labelOnly="1" grandRow="1" outline="0" axis="axisRow" fieldPosition="0">
        <references count="1">
          <reference field="4294967294" count="1" selected="0">
            <x v="6"/>
          </reference>
        </references>
      </pivotArea>
    </format>
    <format dxfId="9425">
      <pivotArea field="0" dataOnly="0" labelOnly="1" grandRow="1" outline="0" axis="axisRow" fieldPosition="0">
        <references count="1">
          <reference field="4294967294" count="1" selected="0">
            <x v="7"/>
          </reference>
        </references>
      </pivotArea>
    </format>
    <format dxfId="9424">
      <pivotArea field="0" dataOnly="0" labelOnly="1" grandRow="1" outline="0" axis="axisRow" fieldPosition="0">
        <references count="1">
          <reference field="4294967294" count="1" selected="0">
            <x v="8"/>
          </reference>
        </references>
      </pivotArea>
    </format>
    <format dxfId="9423">
      <pivotArea field="0" dataOnly="0" labelOnly="1" grandRow="1" outline="0" axis="axisRow" fieldPosition="0">
        <references count="1">
          <reference field="4294967294" count="1" selected="0">
            <x v="9"/>
          </reference>
        </references>
      </pivotArea>
    </format>
    <format dxfId="9422">
      <pivotArea field="0" dataOnly="0" labelOnly="1" grandRow="1" outline="0" axis="axisRow" fieldPosition="0">
        <references count="1">
          <reference field="4294967294" count="1" selected="0">
            <x v="10"/>
          </reference>
        </references>
      </pivotArea>
    </format>
    <format dxfId="9421">
      <pivotArea field="0" dataOnly="0" labelOnly="1" grandRow="1" outline="0" axis="axisRow" fieldPosition="0">
        <references count="1">
          <reference field="4294967294" count="1" selected="0">
            <x v="11"/>
          </reference>
        </references>
      </pivotArea>
    </format>
    <format dxfId="9420">
      <pivotArea field="0" dataOnly="0" labelOnly="1" grandRow="1" outline="0" axis="axisRow" fieldPosition="0">
        <references count="1">
          <reference field="4294967294" count="1" selected="0">
            <x v="12"/>
          </reference>
        </references>
      </pivotArea>
    </format>
    <format dxfId="9419">
      <pivotArea field="0" dataOnly="0" labelOnly="1" grandRow="1" outline="0" axis="axisRow" fieldPosition="0">
        <references count="1">
          <reference field="4294967294" count="1" selected="0">
            <x v="13"/>
          </reference>
        </references>
      </pivotArea>
    </format>
    <format dxfId="9418">
      <pivotArea field="0" dataOnly="0" labelOnly="1" grandRow="1" outline="0" axis="axisRow" fieldPosition="0">
        <references count="1">
          <reference field="4294967294" count="1" selected="0">
            <x v="14"/>
          </reference>
        </references>
      </pivotArea>
    </format>
    <format dxfId="9417">
      <pivotArea field="0" dataOnly="0" labelOnly="1" grandRow="1" outline="0" axis="axisRow" fieldPosition="0">
        <references count="1">
          <reference field="4294967294" count="1" selected="0">
            <x v="15"/>
          </reference>
        </references>
      </pivotArea>
    </format>
    <format dxfId="9416">
      <pivotArea field="0" dataOnly="0" labelOnly="1" grandRow="1" outline="0" axis="axisRow" fieldPosition="0">
        <references count="1">
          <reference field="4294967294" count="1" selected="0">
            <x v="16"/>
          </reference>
        </references>
      </pivotArea>
    </format>
    <format dxfId="9415">
      <pivotArea field="0" dataOnly="0" labelOnly="1" grandRow="1" outline="0" axis="axisRow" fieldPosition="0">
        <references count="1">
          <reference field="4294967294" count="1" selected="0">
            <x v="17"/>
          </reference>
        </references>
      </pivotArea>
    </format>
    <format dxfId="9414">
      <pivotArea field="0" dataOnly="0" labelOnly="1" grandRow="1" outline="0" axis="axisRow" fieldPosition="0">
        <references count="1">
          <reference field="4294967294" count="1" selected="0">
            <x v="18"/>
          </reference>
        </references>
      </pivotArea>
    </format>
    <format dxfId="9413">
      <pivotArea field="0" dataOnly="0" labelOnly="1" grandRow="1" outline="0" axis="axisRow" fieldPosition="0">
        <references count="1">
          <reference field="4294967294" count="1" selected="0">
            <x v="19"/>
          </reference>
        </references>
      </pivotArea>
    </format>
    <format dxfId="9412">
      <pivotArea field="0" dataOnly="0" labelOnly="1" grandRow="1" outline="0" axis="axisRow" fieldPosition="0">
        <references count="1">
          <reference field="4294967294" count="1" selected="0">
            <x v="20"/>
          </reference>
        </references>
      </pivotArea>
    </format>
    <format dxfId="9411">
      <pivotArea field="0" dataOnly="0" labelOnly="1" grandRow="1" outline="0" axis="axisRow" fieldPosition="0">
        <references count="1">
          <reference field="4294967294" count="1" selected="0">
            <x v="21"/>
          </reference>
        </references>
      </pivotArea>
    </format>
    <format dxfId="9410">
      <pivotArea field="0" dataOnly="0" labelOnly="1" grandRow="1" outline="0" axis="axisRow" fieldPosition="0">
        <references count="1">
          <reference field="4294967294" count="1" selected="0">
            <x v="22"/>
          </reference>
        </references>
      </pivotArea>
    </format>
    <format dxfId="9409">
      <pivotArea field="0" dataOnly="0" labelOnly="1" grandRow="1" outline="0" axis="axisRow" fieldPosition="0">
        <references count="1">
          <reference field="4294967294" count="1" selected="0">
            <x v="23"/>
          </reference>
        </references>
      </pivotArea>
    </format>
    <format dxfId="9408">
      <pivotArea field="0" dataOnly="0" labelOnly="1" grandRow="1" outline="0" axis="axisRow" fieldPosition="0">
        <references count="1">
          <reference field="4294967294" count="1" selected="0">
            <x v="24"/>
          </reference>
        </references>
      </pivotArea>
    </format>
    <format dxfId="9407">
      <pivotArea field="0" dataOnly="0" labelOnly="1" grandRow="1" outline="0" axis="axisRow" fieldPosition="0">
        <references count="1">
          <reference field="4294967294" count="1" selected="0">
            <x v="25"/>
          </reference>
        </references>
      </pivotArea>
    </format>
    <format dxfId="9406">
      <pivotArea field="0" dataOnly="0" labelOnly="1" grandRow="1" outline="0" axis="axisRow" fieldPosition="0">
        <references count="1">
          <reference field="4294967294" count="1" selected="0">
            <x v="26"/>
          </reference>
        </references>
      </pivotArea>
    </format>
    <format dxfId="9405">
      <pivotArea field="0" dataOnly="0" labelOnly="1" grandRow="1" outline="0" axis="axisRow" fieldPosition="0">
        <references count="1">
          <reference field="4294967294" count="1" selected="0">
            <x v="27"/>
          </reference>
        </references>
      </pivotArea>
    </format>
    <format dxfId="9404">
      <pivotArea field="0" dataOnly="0" labelOnly="1" grandRow="1" outline="0" axis="axisRow" fieldPosition="0">
        <references count="1">
          <reference field="4294967294" count="1" selected="0">
            <x v="28"/>
          </reference>
        </references>
      </pivotArea>
    </format>
    <format dxfId="9403">
      <pivotArea field="0" dataOnly="0" labelOnly="1" grandRow="1" outline="0" axis="axisRow" fieldPosition="0">
        <references count="1">
          <reference field="4294967294" count="1" selected="0">
            <x v="29"/>
          </reference>
        </references>
      </pivotArea>
    </format>
    <format dxfId="9402">
      <pivotArea field="0" dataOnly="0" labelOnly="1" grandRow="1" outline="0" axis="axisRow" fieldPosition="0">
        <references count="1">
          <reference field="4294967294" count="1" selected="0">
            <x v="30"/>
          </reference>
        </references>
      </pivotArea>
    </format>
    <format dxfId="9401">
      <pivotArea field="0" dataOnly="0" labelOnly="1" grandRow="1" outline="0" axis="axisRow" fieldPosition="0">
        <references count="1">
          <reference field="4294967294" count="1" selected="0">
            <x v="31"/>
          </reference>
        </references>
      </pivotArea>
    </format>
    <format dxfId="9400">
      <pivotArea field="0" dataOnly="0" labelOnly="1" grandRow="1" outline="0" axis="axisRow" fieldPosition="0">
        <references count="1">
          <reference field="4294967294" count="1" selected="0">
            <x v="32"/>
          </reference>
        </references>
      </pivotArea>
    </format>
    <format dxfId="9399">
      <pivotArea field="0" dataOnly="0" labelOnly="1" grandRow="1" outline="0" axis="axisRow" fieldPosition="0">
        <references count="1">
          <reference field="4294967294" count="1" selected="0">
            <x v="33"/>
          </reference>
        </references>
      </pivotArea>
    </format>
    <format dxfId="9398">
      <pivotArea field="0" dataOnly="0" labelOnly="1" grandRow="1" outline="0" axis="axisRow" fieldPosition="0">
        <references count="1">
          <reference field="4294967294" count="1" selected="0">
            <x v="34"/>
          </reference>
        </references>
      </pivotArea>
    </format>
    <format dxfId="9397">
      <pivotArea field="0" dataOnly="0" labelOnly="1" grandRow="1" outline="0" axis="axisRow" fieldPosition="0">
        <references count="1">
          <reference field="4294967294" count="1" selected="0">
            <x v="35"/>
          </reference>
        </references>
      </pivotArea>
    </format>
    <format dxfId="9396">
      <pivotArea field="0" grandRow="1" outline="0" axis="axisRow" fieldPosition="0">
        <references count="1">
          <reference field="4294967294" count="1" selected="0">
            <x v="35"/>
          </reference>
        </references>
      </pivotArea>
    </format>
    <format dxfId="9395">
      <pivotArea field="0" dataOnly="0" labelOnly="1" grandRow="1" outline="0" offset="IV256" axis="axisRow" fieldPosition="0">
        <references count="1">
          <reference field="4294967294" count="1" selected="0">
            <x v="0"/>
          </reference>
        </references>
      </pivotArea>
    </format>
    <format dxfId="9394">
      <pivotArea field="0" dataOnly="0" labelOnly="1" grandRow="1" outline="0" offset="IV256" axis="axisRow" fieldPosition="0">
        <references count="1">
          <reference field="4294967294" count="1" selected="0">
            <x v="1"/>
          </reference>
        </references>
      </pivotArea>
    </format>
    <format dxfId="9393">
      <pivotArea field="0" dataOnly="0" labelOnly="1" grandRow="1" outline="0" offset="IV256" axis="axisRow" fieldPosition="0">
        <references count="1">
          <reference field="4294967294" count="1" selected="0">
            <x v="3"/>
          </reference>
        </references>
      </pivotArea>
    </format>
    <format dxfId="9392">
      <pivotArea field="0" dataOnly="0" labelOnly="1" grandRow="1" outline="0" offset="IV256" axis="axisRow" fieldPosition="0">
        <references count="1">
          <reference field="4294967294" count="1" selected="0">
            <x v="4"/>
          </reference>
        </references>
      </pivotArea>
    </format>
    <format dxfId="9391">
      <pivotArea field="0" dataOnly="0" labelOnly="1" grandRow="1" outline="0" offset="IV256" axis="axisRow" fieldPosition="0">
        <references count="1">
          <reference field="4294967294" count="1" selected="0">
            <x v="5"/>
          </reference>
        </references>
      </pivotArea>
    </format>
    <format dxfId="9390">
      <pivotArea field="0" dataOnly="0" labelOnly="1" grandRow="1" outline="0" offset="IV256" axis="axisRow" fieldPosition="0">
        <references count="1">
          <reference field="4294967294" count="1" selected="0">
            <x v="6"/>
          </reference>
        </references>
      </pivotArea>
    </format>
    <format dxfId="9389">
      <pivotArea field="0" dataOnly="0" labelOnly="1" grandRow="1" outline="0" offset="IV256" axis="axisRow" fieldPosition="0">
        <references count="1">
          <reference field="4294967294" count="1" selected="0">
            <x v="7"/>
          </reference>
        </references>
      </pivotArea>
    </format>
    <format dxfId="9388">
      <pivotArea field="0" dataOnly="0" labelOnly="1" grandRow="1" outline="0" offset="IV256" axis="axisRow" fieldPosition="0">
        <references count="1">
          <reference field="4294967294" count="1" selected="0">
            <x v="8"/>
          </reference>
        </references>
      </pivotArea>
    </format>
    <format dxfId="9387">
      <pivotArea field="0" dataOnly="0" labelOnly="1" grandRow="1" outline="0" offset="IV256" axis="axisRow" fieldPosition="0">
        <references count="1">
          <reference field="4294967294" count="1" selected="0">
            <x v="9"/>
          </reference>
        </references>
      </pivotArea>
    </format>
    <format dxfId="9386">
      <pivotArea field="0" dataOnly="0" labelOnly="1" grandRow="1" outline="0" offset="IV256" axis="axisRow" fieldPosition="0">
        <references count="1">
          <reference field="4294967294" count="1" selected="0">
            <x v="10"/>
          </reference>
        </references>
      </pivotArea>
    </format>
    <format dxfId="9385">
      <pivotArea field="0" dataOnly="0" labelOnly="1" grandRow="1" outline="0" offset="IV256" axis="axisRow" fieldPosition="0">
        <references count="1">
          <reference field="4294967294" count="1" selected="0">
            <x v="11"/>
          </reference>
        </references>
      </pivotArea>
    </format>
    <format dxfId="9384">
      <pivotArea field="0" dataOnly="0" labelOnly="1" grandRow="1" outline="0" offset="IV256" axis="axisRow" fieldPosition="0">
        <references count="1">
          <reference field="4294967294" count="1" selected="0">
            <x v="12"/>
          </reference>
        </references>
      </pivotArea>
    </format>
    <format dxfId="9383">
      <pivotArea field="0" dataOnly="0" labelOnly="1" grandRow="1" outline="0" offset="IV256" axis="axisRow" fieldPosition="0">
        <references count="1">
          <reference field="4294967294" count="1" selected="0">
            <x v="13"/>
          </reference>
        </references>
      </pivotArea>
    </format>
    <format dxfId="9382">
      <pivotArea field="0" dataOnly="0" labelOnly="1" grandRow="1" outline="0" offset="IV256" axis="axisRow" fieldPosition="0">
        <references count="1">
          <reference field="4294967294" count="1" selected="0">
            <x v="14"/>
          </reference>
        </references>
      </pivotArea>
    </format>
    <format dxfId="9381">
      <pivotArea field="0" dataOnly="0" labelOnly="1" grandRow="1" outline="0" offset="IV256" axis="axisRow" fieldPosition="0">
        <references count="1">
          <reference field="4294967294" count="1" selected="0">
            <x v="15"/>
          </reference>
        </references>
      </pivotArea>
    </format>
    <format dxfId="9380">
      <pivotArea field="0" dataOnly="0" labelOnly="1" grandRow="1" outline="0" offset="IV256" axis="axisRow" fieldPosition="0">
        <references count="1">
          <reference field="4294967294" count="1" selected="0">
            <x v="16"/>
          </reference>
        </references>
      </pivotArea>
    </format>
    <format dxfId="9379">
      <pivotArea field="0" dataOnly="0" labelOnly="1" grandRow="1" outline="0" offset="IV256" axis="axisRow" fieldPosition="0">
        <references count="1">
          <reference field="4294967294" count="1" selected="0">
            <x v="17"/>
          </reference>
        </references>
      </pivotArea>
    </format>
    <format dxfId="9378">
      <pivotArea field="0" dataOnly="0" labelOnly="1" grandRow="1" outline="0" offset="IV256" axis="axisRow" fieldPosition="0">
        <references count="1">
          <reference field="4294967294" count="1" selected="0">
            <x v="18"/>
          </reference>
        </references>
      </pivotArea>
    </format>
    <format dxfId="9377">
      <pivotArea field="0" dataOnly="0" labelOnly="1" grandRow="1" outline="0" offset="IV256" axis="axisRow" fieldPosition="0">
        <references count="1">
          <reference field="4294967294" count="1" selected="0">
            <x v="19"/>
          </reference>
        </references>
      </pivotArea>
    </format>
    <format dxfId="9376">
      <pivotArea field="0" dataOnly="0" labelOnly="1" grandRow="1" outline="0" offset="IV256" axis="axisRow" fieldPosition="0">
        <references count="1">
          <reference field="4294967294" count="1" selected="0">
            <x v="20"/>
          </reference>
        </references>
      </pivotArea>
    </format>
    <format dxfId="9375">
      <pivotArea field="0" dataOnly="0" labelOnly="1" grandRow="1" outline="0" offset="IV256" axis="axisRow" fieldPosition="0">
        <references count="1">
          <reference field="4294967294" count="1" selected="0">
            <x v="21"/>
          </reference>
        </references>
      </pivotArea>
    </format>
    <format dxfId="9374">
      <pivotArea field="0" dataOnly="0" labelOnly="1" grandRow="1" outline="0" offset="IV256" axis="axisRow" fieldPosition="0">
        <references count="1">
          <reference field="4294967294" count="1" selected="0">
            <x v="22"/>
          </reference>
        </references>
      </pivotArea>
    </format>
    <format dxfId="9373">
      <pivotArea field="0" dataOnly="0" labelOnly="1" grandRow="1" outline="0" offset="IV256" axis="axisRow" fieldPosition="0">
        <references count="1">
          <reference field="4294967294" count="1" selected="0">
            <x v="23"/>
          </reference>
        </references>
      </pivotArea>
    </format>
    <format dxfId="9372">
      <pivotArea field="0" dataOnly="0" labelOnly="1" grandRow="1" outline="0" offset="IV256" axis="axisRow" fieldPosition="0">
        <references count="1">
          <reference field="4294967294" count="1" selected="0">
            <x v="24"/>
          </reference>
        </references>
      </pivotArea>
    </format>
    <format dxfId="9371">
      <pivotArea field="0" dataOnly="0" labelOnly="1" grandRow="1" outline="0" offset="IV256" axis="axisRow" fieldPosition="0">
        <references count="1">
          <reference field="4294967294" count="1" selected="0">
            <x v="25"/>
          </reference>
        </references>
      </pivotArea>
    </format>
    <format dxfId="9370">
      <pivotArea field="0" dataOnly="0" labelOnly="1" grandRow="1" outline="0" offset="IV256" axis="axisRow" fieldPosition="0">
        <references count="1">
          <reference field="4294967294" count="1" selected="0">
            <x v="26"/>
          </reference>
        </references>
      </pivotArea>
    </format>
    <format dxfId="9369">
      <pivotArea field="0" dataOnly="0" labelOnly="1" grandRow="1" outline="0" offset="IV256" axis="axisRow" fieldPosition="0">
        <references count="1">
          <reference field="4294967294" count="1" selected="0">
            <x v="27"/>
          </reference>
        </references>
      </pivotArea>
    </format>
    <format dxfId="9368">
      <pivotArea field="0" dataOnly="0" labelOnly="1" grandRow="1" outline="0" offset="IV256" axis="axisRow" fieldPosition="0">
        <references count="1">
          <reference field="4294967294" count="1" selected="0">
            <x v="28"/>
          </reference>
        </references>
      </pivotArea>
    </format>
    <format dxfId="9367">
      <pivotArea field="0" dataOnly="0" labelOnly="1" grandRow="1" outline="0" offset="IV256" axis="axisRow" fieldPosition="0">
        <references count="1">
          <reference field="4294967294" count="1" selected="0">
            <x v="29"/>
          </reference>
        </references>
      </pivotArea>
    </format>
    <format dxfId="9366">
      <pivotArea field="0" dataOnly="0" labelOnly="1" grandRow="1" outline="0" offset="IV256" axis="axisRow" fieldPosition="0">
        <references count="1">
          <reference field="4294967294" count="1" selected="0">
            <x v="30"/>
          </reference>
        </references>
      </pivotArea>
    </format>
    <format dxfId="9365">
      <pivotArea field="0" dataOnly="0" labelOnly="1" grandRow="1" outline="0" offset="IV256" axis="axisRow" fieldPosition="0">
        <references count="1">
          <reference field="4294967294" count="1" selected="0">
            <x v="31"/>
          </reference>
        </references>
      </pivotArea>
    </format>
    <format dxfId="9364">
      <pivotArea field="0" dataOnly="0" labelOnly="1" grandRow="1" outline="0" offset="IV256" axis="axisRow" fieldPosition="0">
        <references count="1">
          <reference field="4294967294" count="1" selected="0">
            <x v="32"/>
          </reference>
        </references>
      </pivotArea>
    </format>
    <format dxfId="9363">
      <pivotArea field="0" dataOnly="0" labelOnly="1" grandRow="1" outline="0" offset="IV256" axis="axisRow" fieldPosition="0">
        <references count="1">
          <reference field="4294967294" count="1" selected="0">
            <x v="33"/>
          </reference>
        </references>
      </pivotArea>
    </format>
    <format dxfId="9362">
      <pivotArea field="0" dataOnly="0" labelOnly="1" grandRow="1" outline="0" offset="IV256" axis="axisRow" fieldPosition="0">
        <references count="1">
          <reference field="4294967294" count="1" selected="0">
            <x v="34"/>
          </reference>
        </references>
      </pivotArea>
    </format>
    <format dxfId="9361">
      <pivotArea field="0" dataOnly="0" labelOnly="1" grandRow="1" outline="0" offset="IV256" axis="axisRow" fieldPosition="0">
        <references count="1">
          <reference field="4294967294" count="1" selected="0">
            <x v="35"/>
          </reference>
        </references>
      </pivotArea>
    </format>
    <format dxfId="9360">
      <pivotArea type="all" dataOnly="0" outline="0" fieldPosition="0"/>
    </format>
    <format dxfId="9359">
      <pivotArea type="all" dataOnly="0" outline="0" fieldPosition="0"/>
    </format>
    <format dxfId="9358">
      <pivotArea outline="0" fieldPosition="0">
        <references count="2">
          <reference field="4" count="1" selected="0">
            <x v="8"/>
          </reference>
          <reference field="70" count="1" selected="0">
            <x v="1"/>
          </reference>
        </references>
      </pivotArea>
    </format>
    <format dxfId="9357">
      <pivotArea dataOnly="0" labelOnly="1" outline="0" offset="B256" fieldPosition="0">
        <references count="1">
          <reference field="70" count="1">
            <x v="1"/>
          </reference>
        </references>
      </pivotArea>
    </format>
    <format dxfId="9356">
      <pivotArea dataOnly="0" labelOnly="1" outline="0" fieldPosition="0">
        <references count="2">
          <reference field="4" count="1">
            <x v="8"/>
          </reference>
          <reference field="70" count="1" selected="0">
            <x v="1"/>
          </reference>
        </references>
      </pivotArea>
    </format>
    <format dxfId="9355">
      <pivotArea outline="0" fieldPosition="0">
        <references count="2">
          <reference field="4" count="1" selected="0">
            <x v="7"/>
          </reference>
          <reference field="70" count="1" selected="0">
            <x v="1"/>
          </reference>
        </references>
      </pivotArea>
    </format>
    <format dxfId="9354">
      <pivotArea dataOnly="0" labelOnly="1" outline="0" fieldPosition="0">
        <references count="2">
          <reference field="4" count="1">
            <x v="7"/>
          </reference>
          <reference field="70" count="1" selected="0">
            <x v="1"/>
          </reference>
        </references>
      </pivotArea>
    </format>
    <format dxfId="9353">
      <pivotArea dataOnly="0" labelOnly="1" outline="0" offset="A256" fieldPosition="0">
        <references count="1">
          <reference field="70" count="1">
            <x v="1"/>
          </reference>
        </references>
      </pivotArea>
    </format>
    <format dxfId="9352">
      <pivotArea outline="0" fieldPosition="0">
        <references count="2">
          <reference field="4" count="1" selected="0">
            <x v="11"/>
          </reference>
          <reference field="70" count="1" selected="0">
            <x v="2"/>
          </reference>
        </references>
      </pivotArea>
    </format>
    <format dxfId="9351">
      <pivotArea dataOnly="0" labelOnly="1" outline="0" fieldPosition="0">
        <references count="2">
          <reference field="4" count="1">
            <x v="11"/>
          </reference>
          <reference field="70" count="1" selected="0">
            <x v="2"/>
          </reference>
        </references>
      </pivotArea>
    </format>
    <format dxfId="9350">
      <pivotArea outline="0" fieldPosition="0">
        <references count="2">
          <reference field="4294967294" count="1" selected="0">
            <x v="35"/>
          </reference>
          <reference field="0" count="1" selected="0">
            <x v="0"/>
          </reference>
        </references>
      </pivotArea>
    </format>
    <format dxfId="9349">
      <pivotArea dataOnly="0" labelOnly="1" outline="0" offset="IV256" fieldPosition="0">
        <references count="1">
          <reference field="0" count="1">
            <x v="0"/>
          </reference>
        </references>
      </pivotArea>
    </format>
    <format dxfId="9348">
      <pivotArea dataOnly="0" labelOnly="1" outline="0" fieldPosition="0">
        <references count="2">
          <reference field="4294967294" count="1">
            <x v="35"/>
          </reference>
          <reference field="0" count="1" selected="0">
            <x v="0"/>
          </reference>
        </references>
      </pivotArea>
    </format>
    <format dxfId="9347">
      <pivotArea outline="0" fieldPosition="0">
        <references count="1">
          <reference field="70" count="3" selected="0" defaultSubtotal="1">
            <x v="0"/>
            <x v="1"/>
            <x v="2"/>
          </reference>
        </references>
      </pivotArea>
    </format>
    <format dxfId="9346">
      <pivotArea dataOnly="0" labelOnly="1" outline="0" offset="IV256" fieldPosition="0">
        <references count="1">
          <reference field="70" count="1" defaultSubtotal="1">
            <x v="0"/>
          </reference>
        </references>
      </pivotArea>
    </format>
    <format dxfId="9345">
      <pivotArea dataOnly="0" labelOnly="1" outline="0" offset="IV256" fieldPosition="0">
        <references count="1">
          <reference field="70" count="1" defaultSubtotal="1">
            <x v="1"/>
          </reference>
        </references>
      </pivotArea>
    </format>
    <format dxfId="9344">
      <pivotArea dataOnly="0" labelOnly="1" outline="0" offset="IV256" fieldPosition="0">
        <references count="1">
          <reference field="70" count="1" defaultSubtotal="1">
            <x v="2"/>
          </reference>
        </references>
      </pivotArea>
    </format>
    <format dxfId="9343">
      <pivotArea dataOnly="0" labelOnly="1" outline="0" fieldPosition="0">
        <references count="2">
          <reference field="4" count="7">
            <x v="0"/>
            <x v="1"/>
            <x v="2"/>
            <x v="3"/>
            <x v="4"/>
            <x v="5"/>
            <x v="6"/>
          </reference>
          <reference field="70" count="1" selected="0">
            <x v="0"/>
          </reference>
        </references>
      </pivotArea>
    </format>
    <format dxfId="9342">
      <pivotArea dataOnly="0" labelOnly="1" outline="0" fieldPosition="0">
        <references count="2">
          <reference field="4" count="4">
            <x v="7"/>
            <x v="8"/>
            <x v="9"/>
            <x v="10"/>
          </reference>
          <reference field="70" count="1" selected="0">
            <x v="1"/>
          </reference>
        </references>
      </pivotArea>
    </format>
    <format dxfId="9341">
      <pivotArea dataOnly="0" labelOnly="1" outline="0" fieldPosition="0">
        <references count="2">
          <reference field="4" count="2">
            <x v="11"/>
            <x v="12"/>
          </reference>
          <reference field="70" count="1" selected="0">
            <x v="2"/>
          </reference>
        </references>
      </pivotArea>
    </format>
    <format dxfId="9340">
      <pivotArea outline="0" fieldPosition="0">
        <references count="4">
          <reference field="4294967294" count="1" selected="0">
            <x v="20"/>
          </reference>
          <reference field="0" count="1" selected="0">
            <x v="1"/>
          </reference>
          <reference field="4" count="1" selected="0">
            <x v="3"/>
          </reference>
          <reference field="70" count="1" selected="0">
            <x v="0"/>
          </reference>
        </references>
      </pivotArea>
    </format>
    <format dxfId="9339">
      <pivotArea outline="0" fieldPosition="0">
        <references count="4">
          <reference field="4294967294" count="1" selected="0">
            <x v="20"/>
          </reference>
          <reference field="0" count="1" selected="0">
            <x v="1"/>
          </reference>
          <reference field="4" count="1" selected="0">
            <x v="5"/>
          </reference>
          <reference field="70" count="1" selected="0">
            <x v="0"/>
          </reference>
        </references>
      </pivotArea>
    </format>
    <format dxfId="9338">
      <pivotArea outline="0" fieldPosition="0">
        <references count="4">
          <reference field="4294967294" count="1" selected="0">
            <x v="26"/>
          </reference>
          <reference field="0" count="1" selected="0">
            <x v="1"/>
          </reference>
          <reference field="4" count="1" selected="0">
            <x v="3"/>
          </reference>
          <reference field="70" count="1" selected="0">
            <x v="0"/>
          </reference>
        </references>
      </pivotArea>
    </format>
    <format dxfId="9337">
      <pivotArea outline="0" fieldPosition="0">
        <references count="4">
          <reference field="4294967294" count="1" selected="0">
            <x v="26"/>
          </reference>
          <reference field="0" count="1" selected="0">
            <x v="1"/>
          </reference>
          <reference field="4" count="1" selected="0">
            <x v="5"/>
          </reference>
          <reference field="70" count="1" selected="0">
            <x v="0"/>
          </reference>
        </references>
      </pivotArea>
    </format>
    <format dxfId="9336">
      <pivotArea outline="0" fieldPosition="0">
        <references count="4">
          <reference field="4294967294" count="1" selected="0">
            <x v="2"/>
          </reference>
          <reference field="0" count="1" selected="0">
            <x v="3"/>
          </reference>
          <reference field="4" count="1" selected="0">
            <x v="0"/>
          </reference>
          <reference field="70" count="1" selected="0">
            <x v="0"/>
          </reference>
        </references>
      </pivotArea>
    </format>
    <format dxfId="9335">
      <pivotArea outline="0" fieldPosition="0">
        <references count="4">
          <reference field="4294967294" count="1" selected="0">
            <x v="8"/>
          </reference>
          <reference field="0" count="1" selected="0">
            <x v="3"/>
          </reference>
          <reference field="4" count="1" selected="0">
            <x v="0"/>
          </reference>
          <reference field="70" count="1" selected="0">
            <x v="0"/>
          </reference>
        </references>
      </pivotArea>
    </format>
    <format dxfId="9334">
      <pivotArea outline="0" fieldPosition="0">
        <references count="4">
          <reference field="4294967294" count="1" selected="0">
            <x v="20"/>
          </reference>
          <reference field="0" count="1" selected="0">
            <x v="3"/>
          </reference>
          <reference field="4" count="2" selected="0">
            <x v="0"/>
            <x v="1"/>
          </reference>
          <reference field="70" count="1" selected="0">
            <x v="0"/>
          </reference>
        </references>
      </pivotArea>
    </format>
    <format dxfId="9333">
      <pivotArea outline="0" fieldPosition="0">
        <references count="4">
          <reference field="4294967294" count="1" selected="0">
            <x v="26"/>
          </reference>
          <reference field="0" count="1" selected="0">
            <x v="3"/>
          </reference>
          <reference field="4" count="2" selected="0">
            <x v="0"/>
            <x v="1"/>
          </reference>
          <reference field="70" count="1" selected="0">
            <x v="0"/>
          </reference>
        </references>
      </pivotArea>
    </format>
    <format dxfId="9332">
      <pivotArea outline="0" fieldPosition="0">
        <references count="4">
          <reference field="4294967294" count="1" selected="0">
            <x v="32"/>
          </reference>
          <reference field="0" count="1" selected="0">
            <x v="3"/>
          </reference>
          <reference field="4" count="1" selected="0">
            <x v="2"/>
          </reference>
          <reference field="70" count="1" selected="0">
            <x v="0"/>
          </reference>
        </references>
      </pivotArea>
    </format>
    <format dxfId="9331">
      <pivotArea outline="0" fieldPosition="0">
        <references count="4">
          <reference field="4294967294" count="1" selected="0">
            <x v="20"/>
          </reference>
          <reference field="0" count="1" selected="0">
            <x v="8"/>
          </reference>
          <reference field="4" count="1" selected="0">
            <x v="3"/>
          </reference>
          <reference field="70" count="1" selected="0">
            <x v="0"/>
          </reference>
        </references>
      </pivotArea>
    </format>
    <format dxfId="9330">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9329">
      <pivotArea outline="0" fieldPosition="0">
        <references count="4">
          <reference field="4294967294" count="1" selected="0">
            <x v="20"/>
          </reference>
          <reference field="0" count="1" selected="0">
            <x v="10"/>
          </reference>
          <reference field="4" count="1" selected="0">
            <x v="3"/>
          </reference>
          <reference field="70" count="1" selected="0">
            <x v="0"/>
          </reference>
        </references>
      </pivotArea>
    </format>
    <format dxfId="9328">
      <pivotArea outline="0" fieldPosition="0">
        <references count="4">
          <reference field="4294967294" count="1" selected="0">
            <x v="20"/>
          </reference>
          <reference field="0" count="1" selected="0">
            <x v="10"/>
          </reference>
          <reference field="4" count="1" selected="0">
            <x v="4"/>
          </reference>
          <reference field="70" count="1" selected="0">
            <x v="0"/>
          </reference>
        </references>
      </pivotArea>
    </format>
    <format dxfId="9327">
      <pivotArea outline="0" fieldPosition="0">
        <references count="4">
          <reference field="4294967294" count="1" selected="0">
            <x v="29"/>
          </reference>
          <reference field="0" count="1" selected="0">
            <x v="10"/>
          </reference>
          <reference field="4" count="1" selected="0">
            <x v="4"/>
          </reference>
          <reference field="70" count="1" selected="0">
            <x v="0"/>
          </reference>
        </references>
      </pivotArea>
    </format>
    <format dxfId="9326">
      <pivotArea outline="0" fieldPosition="0">
        <references count="4">
          <reference field="4294967294" count="1" selected="0">
            <x v="26"/>
          </reference>
          <reference field="0" count="1" selected="0">
            <x v="11"/>
          </reference>
          <reference field="4" count="1" selected="0">
            <x v="4"/>
          </reference>
          <reference field="70" count="1" selected="0">
            <x v="0"/>
          </reference>
        </references>
      </pivotArea>
    </format>
    <format dxfId="9325">
      <pivotArea outline="0" fieldPosition="0">
        <references count="4">
          <reference field="4294967294" count="1" selected="0">
            <x v="20"/>
          </reference>
          <reference field="0" count="1" selected="0">
            <x v="11"/>
          </reference>
          <reference field="4" count="1" selected="0">
            <x v="4"/>
          </reference>
          <reference field="70" count="1" selected="0">
            <x v="0"/>
          </reference>
        </references>
      </pivotArea>
    </format>
    <format dxfId="9324">
      <pivotArea outline="0" fieldPosition="0">
        <references count="4">
          <reference field="4294967294" count="1" selected="0">
            <x v="26"/>
          </reference>
          <reference field="0" count="1" selected="0">
            <x v="12"/>
          </reference>
          <reference field="4" count="1" selected="0">
            <x v="2"/>
          </reference>
          <reference field="70" count="1" selected="0">
            <x v="0"/>
          </reference>
        </references>
      </pivotArea>
    </format>
    <format dxfId="9323">
      <pivotArea outline="0" fieldPosition="0">
        <references count="4">
          <reference field="4294967294" count="1" selected="0">
            <x v="20"/>
          </reference>
          <reference field="0" count="1" selected="0">
            <x v="13"/>
          </reference>
          <reference field="4" count="1" selected="0">
            <x v="5"/>
          </reference>
          <reference field="70" count="1" selected="0">
            <x v="0"/>
          </reference>
        </references>
      </pivotArea>
    </format>
    <format dxfId="9322">
      <pivotArea outline="0" fieldPosition="0">
        <references count="4">
          <reference field="4294967294" count="1" selected="0">
            <x v="26"/>
          </reference>
          <reference field="0" count="1" selected="0">
            <x v="13"/>
          </reference>
          <reference field="4" count="1" selected="0">
            <x v="5"/>
          </reference>
          <reference field="70" count="1" selected="0">
            <x v="0"/>
          </reference>
        </references>
      </pivotArea>
    </format>
    <format dxfId="9321">
      <pivotArea outline="0" fieldPosition="0">
        <references count="4">
          <reference field="4294967294" count="1" selected="0">
            <x v="8"/>
          </reference>
          <reference field="0" count="1" selected="0">
            <x v="14"/>
          </reference>
          <reference field="4" count="1" selected="0">
            <x v="5"/>
          </reference>
          <reference field="70" count="1" selected="0">
            <x v="0"/>
          </reference>
        </references>
      </pivotArea>
    </format>
    <format dxfId="9320">
      <pivotArea outline="0" fieldPosition="0">
        <references count="4">
          <reference field="4294967294" count="1" selected="0">
            <x v="11"/>
          </reference>
          <reference field="0" count="1" selected="0">
            <x v="14"/>
          </reference>
          <reference field="4" count="1" selected="0">
            <x v="5"/>
          </reference>
          <reference field="70" count="1" selected="0">
            <x v="0"/>
          </reference>
        </references>
      </pivotArea>
    </format>
    <format dxfId="9319">
      <pivotArea outline="0" fieldPosition="0">
        <references count="4">
          <reference field="4294967294" count="1" selected="0">
            <x v="23"/>
          </reference>
          <reference field="0" count="1" selected="0">
            <x v="15"/>
          </reference>
          <reference field="4" count="1" selected="0">
            <x v="5"/>
          </reference>
          <reference field="70" count="1" selected="0">
            <x v="0"/>
          </reference>
        </references>
      </pivotArea>
    </format>
    <format dxfId="9318">
      <pivotArea outline="0" fieldPosition="0">
        <references count="4">
          <reference field="4294967294" count="1" selected="0">
            <x v="26"/>
          </reference>
          <reference field="0" count="1" selected="0">
            <x v="15"/>
          </reference>
          <reference field="4" count="1" selected="0">
            <x v="5"/>
          </reference>
          <reference field="70" count="1" selected="0">
            <x v="0"/>
          </reference>
        </references>
      </pivotArea>
    </format>
    <format dxfId="9317">
      <pivotArea outline="0" fieldPosition="0">
        <references count="4">
          <reference field="4294967294" count="1" selected="0">
            <x v="5"/>
          </reference>
          <reference field="0" count="1" selected="0">
            <x v="1"/>
          </reference>
          <reference field="4" count="1" selected="0">
            <x v="8"/>
          </reference>
          <reference field="70" count="1" selected="0">
            <x v="1"/>
          </reference>
        </references>
      </pivotArea>
    </format>
    <format dxfId="9316">
      <pivotArea outline="0" fieldPosition="0">
        <references count="4">
          <reference field="4294967294" count="1" selected="0">
            <x v="2"/>
          </reference>
          <reference field="0" count="1" selected="0">
            <x v="1"/>
          </reference>
          <reference field="4" count="1" selected="0">
            <x v="8"/>
          </reference>
          <reference field="70" count="1" selected="0">
            <x v="1"/>
          </reference>
        </references>
      </pivotArea>
    </format>
    <format dxfId="9315">
      <pivotArea outline="0" fieldPosition="0">
        <references count="4">
          <reference field="4294967294" count="1" selected="0">
            <x v="2"/>
          </reference>
          <reference field="0" count="1" selected="0">
            <x v="2"/>
          </reference>
          <reference field="4" count="1" selected="0">
            <x v="9"/>
          </reference>
          <reference field="70" count="1" selected="0">
            <x v="1"/>
          </reference>
        </references>
      </pivotArea>
    </format>
    <format dxfId="9314">
      <pivotArea outline="0" fieldPosition="0">
        <references count="4">
          <reference field="4294967294" count="1" selected="0">
            <x v="8"/>
          </reference>
          <reference field="0" count="1" selected="0">
            <x v="2"/>
          </reference>
          <reference field="4" count="1" selected="0">
            <x v="9"/>
          </reference>
          <reference field="70" count="1" selected="0">
            <x v="1"/>
          </reference>
        </references>
      </pivotArea>
    </format>
    <format dxfId="9313">
      <pivotArea outline="0" fieldPosition="0">
        <references count="4">
          <reference field="4294967294" count="1" selected="0">
            <x v="2"/>
          </reference>
          <reference field="0" count="1" selected="0">
            <x v="3"/>
          </reference>
          <reference field="4" count="1" selected="0">
            <x v="10"/>
          </reference>
          <reference field="70" count="1" selected="0">
            <x v="1"/>
          </reference>
        </references>
      </pivotArea>
    </format>
    <format dxfId="9312">
      <pivotArea outline="0" fieldPosition="0">
        <references count="4">
          <reference field="4294967294" count="1" selected="0">
            <x v="14"/>
          </reference>
          <reference field="0" count="1" selected="0">
            <x v="3"/>
          </reference>
          <reference field="4" count="1" selected="0">
            <x v="10"/>
          </reference>
          <reference field="70" count="1" selected="0">
            <x v="1"/>
          </reference>
        </references>
      </pivotArea>
    </format>
    <format dxfId="9311">
      <pivotArea outline="0" fieldPosition="0">
        <references count="4">
          <reference field="4294967294" count="1" selected="0">
            <x v="2"/>
          </reference>
          <reference field="0" count="1" selected="0">
            <x v="5"/>
          </reference>
          <reference field="4" count="1" selected="0">
            <x v="10"/>
          </reference>
          <reference field="70" count="1" selected="0">
            <x v="1"/>
          </reference>
        </references>
      </pivotArea>
    </format>
    <format dxfId="9310">
      <pivotArea outline="0" fieldPosition="0">
        <references count="4">
          <reference field="4294967294" count="1" selected="0">
            <x v="8"/>
          </reference>
          <reference field="0" count="1" selected="0">
            <x v="5"/>
          </reference>
          <reference field="4" count="1" selected="0">
            <x v="10"/>
          </reference>
          <reference field="70" count="1" selected="0">
            <x v="1"/>
          </reference>
        </references>
      </pivotArea>
    </format>
    <format dxfId="9309">
      <pivotArea outline="0" fieldPosition="0">
        <references count="4">
          <reference field="4294967294" count="1" selected="0">
            <x v="5"/>
          </reference>
          <reference field="0" count="1" selected="0">
            <x v="5"/>
          </reference>
          <reference field="4" count="1" selected="0">
            <x v="10"/>
          </reference>
          <reference field="70" count="1" selected="0">
            <x v="1"/>
          </reference>
        </references>
      </pivotArea>
    </format>
    <format dxfId="9308">
      <pivotArea outline="0" fieldPosition="0">
        <references count="4">
          <reference field="4294967294" count="1" selected="0">
            <x v="2"/>
          </reference>
          <reference field="0" count="1" selected="0">
            <x v="5"/>
          </reference>
          <reference field="4" count="1" selected="0">
            <x v="11"/>
          </reference>
          <reference field="70" count="1" selected="0">
            <x v="2"/>
          </reference>
        </references>
      </pivotArea>
    </format>
    <format dxfId="9307">
      <pivotArea outline="0" fieldPosition="0">
        <references count="4">
          <reference field="4294967294" count="1" selected="0">
            <x v="8"/>
          </reference>
          <reference field="0" count="1" selected="0">
            <x v="5"/>
          </reference>
          <reference field="4" count="1" selected="0">
            <x v="11"/>
          </reference>
          <reference field="70" count="1" selected="0">
            <x v="2"/>
          </reference>
        </references>
      </pivotArea>
    </format>
    <format dxfId="9306">
      <pivotArea outline="0" fieldPosition="0">
        <references count="4">
          <reference field="4294967294" count="1" selected="0">
            <x v="26"/>
          </reference>
          <reference field="0" count="1" selected="0">
            <x v="15"/>
          </reference>
          <reference field="4" count="1" selected="0">
            <x v="9"/>
          </reference>
          <reference field="70" count="1" selected="0">
            <x v="1"/>
          </reference>
        </references>
      </pivotArea>
    </format>
    <format dxfId="9305">
      <pivotArea outline="0" fieldPosition="0">
        <references count="4">
          <reference field="4294967294" count="1" selected="0">
            <x v="14"/>
          </reference>
          <reference field="0" count="1" selected="0">
            <x v="0"/>
          </reference>
          <reference field="4" count="1" selected="0">
            <x v="8"/>
          </reference>
          <reference field="70" count="1" selected="0">
            <x v="1"/>
          </reference>
        </references>
      </pivotArea>
    </format>
    <format dxfId="9304">
      <pivotArea outline="0" fieldPosition="0">
        <references count="4">
          <reference field="4294967294" count="1" selected="0">
            <x v="32"/>
          </reference>
          <reference field="0" count="1" selected="0">
            <x v="9"/>
          </reference>
          <reference field="4" count="1" selected="0">
            <x v="2"/>
          </reference>
          <reference field="70" count="1" selected="0">
            <x v="0"/>
          </reference>
        </references>
      </pivotArea>
    </format>
    <format dxfId="9303">
      <pivotArea outline="0" fieldPosition="0">
        <references count="4">
          <reference field="4294967294" count="1" selected="0">
            <x v="26"/>
          </reference>
          <reference field="0" count="1" selected="0">
            <x v="10"/>
          </reference>
          <reference field="4" count="1" selected="0">
            <x v="3"/>
          </reference>
          <reference field="70" count="1" selected="0">
            <x v="0"/>
          </reference>
        </references>
      </pivotArea>
    </format>
    <format dxfId="9302">
      <pivotArea outline="0" fieldPosition="0">
        <references count="4">
          <reference field="4294967294" count="1" selected="0">
            <x v="29"/>
          </reference>
          <reference field="0" count="1" selected="0">
            <x v="11"/>
          </reference>
          <reference field="4" count="1" selected="0">
            <x v="2"/>
          </reference>
          <reference field="70" count="1" selected="0">
            <x v="0"/>
          </reference>
        </references>
      </pivotArea>
    </format>
    <format dxfId="9301">
      <pivotArea outline="0" fieldPosition="0">
        <references count="4">
          <reference field="4294967294" count="1" selected="0">
            <x v="20"/>
          </reference>
          <reference field="0" count="1" selected="0">
            <x v="5"/>
          </reference>
          <reference field="4" count="1" selected="0">
            <x v="0"/>
          </reference>
          <reference field="70" count="1" selected="0">
            <x v="0"/>
          </reference>
        </references>
      </pivotArea>
    </format>
    <format dxfId="9300">
      <pivotArea outline="0" fieldPosition="0">
        <references count="4">
          <reference field="4294967294" count="1" selected="0">
            <x v="26"/>
          </reference>
          <reference field="0" count="1" selected="0">
            <x v="5"/>
          </reference>
          <reference field="4" count="1" selected="0">
            <x v="0"/>
          </reference>
          <reference field="70" count="1" selected="0">
            <x v="0"/>
          </reference>
        </references>
      </pivotArea>
    </format>
    <format dxfId="9299">
      <pivotArea type="all" dataOnly="0" outline="0" fieldPosition="0"/>
    </format>
    <format dxfId="9298">
      <pivotArea outline="0" fieldPosition="0"/>
    </format>
    <format dxfId="9297">
      <pivotArea type="origin" dataOnly="0" labelOnly="1" outline="0" fieldPosition="0"/>
    </format>
    <format dxfId="9296">
      <pivotArea field="70" type="button" dataOnly="0" labelOnly="1" outline="0" axis="axisCol" fieldPosition="0"/>
    </format>
    <format dxfId="9295">
      <pivotArea field="4" type="button" dataOnly="0" labelOnly="1" outline="0" axis="axisCol" fieldPosition="1"/>
    </format>
    <format dxfId="9294">
      <pivotArea type="topRight" dataOnly="0" labelOnly="1" outline="0" fieldPosition="0"/>
    </format>
    <format dxfId="9293">
      <pivotArea field="0" type="button" dataOnly="0" labelOnly="1" outline="0" axis="axisRow" fieldPosition="0"/>
    </format>
    <format dxfId="9292">
      <pivotArea field="-2" type="button" dataOnly="0" labelOnly="1" outline="0" axis="axisRow" fieldPosition="1"/>
    </format>
    <format dxfId="9291">
      <pivotArea dataOnly="0" labelOnly="1" outline="0" fieldPosition="0">
        <references count="1">
          <reference field="0" count="0"/>
        </references>
      </pivotArea>
    </format>
    <format dxfId="9290">
      <pivotArea field="0" dataOnly="0" labelOnly="1" grandRow="1" outline="0" axis="axisRow" fieldPosition="0">
        <references count="1">
          <reference field="4294967294" count="1" selected="0">
            <x v="0"/>
          </reference>
        </references>
      </pivotArea>
    </format>
    <format dxfId="9289">
      <pivotArea field="0" dataOnly="0" labelOnly="1" grandRow="1" outline="0" axis="axisRow" fieldPosition="0">
        <references count="1">
          <reference field="4294967294" count="1" selected="0">
            <x v="1"/>
          </reference>
        </references>
      </pivotArea>
    </format>
    <format dxfId="9288">
      <pivotArea field="0" dataOnly="0" labelOnly="1" grandRow="1" outline="0" axis="axisRow" fieldPosition="0">
        <references count="1">
          <reference field="4294967294" count="1" selected="0">
            <x v="2"/>
          </reference>
        </references>
      </pivotArea>
    </format>
    <format dxfId="9287">
      <pivotArea field="0" dataOnly="0" labelOnly="1" grandRow="1" outline="0" axis="axisRow" fieldPosition="0">
        <references count="1">
          <reference field="4294967294" count="1" selected="0">
            <x v="3"/>
          </reference>
        </references>
      </pivotArea>
    </format>
    <format dxfId="9286">
      <pivotArea field="0" dataOnly="0" labelOnly="1" grandRow="1" outline="0" axis="axisRow" fieldPosition="0">
        <references count="1">
          <reference field="4294967294" count="1" selected="0">
            <x v="4"/>
          </reference>
        </references>
      </pivotArea>
    </format>
    <format dxfId="9285">
      <pivotArea field="0" dataOnly="0" labelOnly="1" grandRow="1" outline="0" axis="axisRow" fieldPosition="0">
        <references count="1">
          <reference field="4294967294" count="1" selected="0">
            <x v="5"/>
          </reference>
        </references>
      </pivotArea>
    </format>
    <format dxfId="9284">
      <pivotArea field="0" dataOnly="0" labelOnly="1" grandRow="1" outline="0" axis="axisRow" fieldPosition="0">
        <references count="1">
          <reference field="4294967294" count="1" selected="0">
            <x v="6"/>
          </reference>
        </references>
      </pivotArea>
    </format>
    <format dxfId="9283">
      <pivotArea field="0" dataOnly="0" labelOnly="1" grandRow="1" outline="0" axis="axisRow" fieldPosition="0">
        <references count="1">
          <reference field="4294967294" count="1" selected="0">
            <x v="7"/>
          </reference>
        </references>
      </pivotArea>
    </format>
    <format dxfId="9282">
      <pivotArea field="0" dataOnly="0" labelOnly="1" grandRow="1" outline="0" axis="axisRow" fieldPosition="0">
        <references count="1">
          <reference field="4294967294" count="1" selected="0">
            <x v="8"/>
          </reference>
        </references>
      </pivotArea>
    </format>
    <format dxfId="9281">
      <pivotArea field="0" dataOnly="0" labelOnly="1" grandRow="1" outline="0" axis="axisRow" fieldPosition="0">
        <references count="1">
          <reference field="4294967294" count="1" selected="0">
            <x v="9"/>
          </reference>
        </references>
      </pivotArea>
    </format>
    <format dxfId="9280">
      <pivotArea field="0" dataOnly="0" labelOnly="1" grandRow="1" outline="0" axis="axisRow" fieldPosition="0">
        <references count="1">
          <reference field="4294967294" count="1" selected="0">
            <x v="10"/>
          </reference>
        </references>
      </pivotArea>
    </format>
    <format dxfId="9279">
      <pivotArea field="0" dataOnly="0" labelOnly="1" grandRow="1" outline="0" axis="axisRow" fieldPosition="0">
        <references count="1">
          <reference field="4294967294" count="1" selected="0">
            <x v="11"/>
          </reference>
        </references>
      </pivotArea>
    </format>
    <format dxfId="9278">
      <pivotArea field="0" dataOnly="0" labelOnly="1" grandRow="1" outline="0" axis="axisRow" fieldPosition="0">
        <references count="1">
          <reference field="4294967294" count="1" selected="0">
            <x v="12"/>
          </reference>
        </references>
      </pivotArea>
    </format>
    <format dxfId="9277">
      <pivotArea field="0" dataOnly="0" labelOnly="1" grandRow="1" outline="0" axis="axisRow" fieldPosition="0">
        <references count="1">
          <reference field="4294967294" count="1" selected="0">
            <x v="13"/>
          </reference>
        </references>
      </pivotArea>
    </format>
    <format dxfId="9276">
      <pivotArea field="0" dataOnly="0" labelOnly="1" grandRow="1" outline="0" axis="axisRow" fieldPosition="0">
        <references count="1">
          <reference field="4294967294" count="1" selected="0">
            <x v="14"/>
          </reference>
        </references>
      </pivotArea>
    </format>
    <format dxfId="9275">
      <pivotArea field="0" dataOnly="0" labelOnly="1" grandRow="1" outline="0" axis="axisRow" fieldPosition="0">
        <references count="1">
          <reference field="4294967294" count="1" selected="0">
            <x v="15"/>
          </reference>
        </references>
      </pivotArea>
    </format>
    <format dxfId="9274">
      <pivotArea field="0" dataOnly="0" labelOnly="1" grandRow="1" outline="0" axis="axisRow" fieldPosition="0">
        <references count="1">
          <reference field="4294967294" count="1" selected="0">
            <x v="16"/>
          </reference>
        </references>
      </pivotArea>
    </format>
    <format dxfId="9273">
      <pivotArea field="0" dataOnly="0" labelOnly="1" grandRow="1" outline="0" axis="axisRow" fieldPosition="0">
        <references count="1">
          <reference field="4294967294" count="1" selected="0">
            <x v="17"/>
          </reference>
        </references>
      </pivotArea>
    </format>
    <format dxfId="9272">
      <pivotArea field="0" dataOnly="0" labelOnly="1" grandRow="1" outline="0" axis="axisRow" fieldPosition="0">
        <references count="1">
          <reference field="4294967294" count="1" selected="0">
            <x v="18"/>
          </reference>
        </references>
      </pivotArea>
    </format>
    <format dxfId="9271">
      <pivotArea field="0" dataOnly="0" labelOnly="1" grandRow="1" outline="0" axis="axisRow" fieldPosition="0">
        <references count="1">
          <reference field="4294967294" count="1" selected="0">
            <x v="19"/>
          </reference>
        </references>
      </pivotArea>
    </format>
    <format dxfId="9270">
      <pivotArea field="0" dataOnly="0" labelOnly="1" grandRow="1" outline="0" axis="axisRow" fieldPosition="0">
        <references count="1">
          <reference field="4294967294" count="1" selected="0">
            <x v="20"/>
          </reference>
        </references>
      </pivotArea>
    </format>
    <format dxfId="9269">
      <pivotArea field="0" dataOnly="0" labelOnly="1" grandRow="1" outline="0" axis="axisRow" fieldPosition="0">
        <references count="1">
          <reference field="4294967294" count="1" selected="0">
            <x v="21"/>
          </reference>
        </references>
      </pivotArea>
    </format>
    <format dxfId="9268">
      <pivotArea field="0" dataOnly="0" labelOnly="1" grandRow="1" outline="0" axis="axisRow" fieldPosition="0">
        <references count="1">
          <reference field="4294967294" count="1" selected="0">
            <x v="22"/>
          </reference>
        </references>
      </pivotArea>
    </format>
    <format dxfId="9267">
      <pivotArea field="0" dataOnly="0" labelOnly="1" grandRow="1" outline="0" axis="axisRow" fieldPosition="0">
        <references count="1">
          <reference field="4294967294" count="1" selected="0">
            <x v="23"/>
          </reference>
        </references>
      </pivotArea>
    </format>
    <format dxfId="9266">
      <pivotArea field="0" dataOnly="0" labelOnly="1" grandRow="1" outline="0" axis="axisRow" fieldPosition="0">
        <references count="1">
          <reference field="4294967294" count="1" selected="0">
            <x v="24"/>
          </reference>
        </references>
      </pivotArea>
    </format>
    <format dxfId="9265">
      <pivotArea field="0" dataOnly="0" labelOnly="1" grandRow="1" outline="0" axis="axisRow" fieldPosition="0">
        <references count="1">
          <reference field="4294967294" count="1" selected="0">
            <x v="25"/>
          </reference>
        </references>
      </pivotArea>
    </format>
    <format dxfId="9264">
      <pivotArea field="0" dataOnly="0" labelOnly="1" grandRow="1" outline="0" axis="axisRow" fieldPosition="0">
        <references count="1">
          <reference field="4294967294" count="1" selected="0">
            <x v="26"/>
          </reference>
        </references>
      </pivotArea>
    </format>
    <format dxfId="9263">
      <pivotArea field="0" dataOnly="0" labelOnly="1" grandRow="1" outline="0" axis="axisRow" fieldPosition="0">
        <references count="1">
          <reference field="4294967294" count="1" selected="0">
            <x v="27"/>
          </reference>
        </references>
      </pivotArea>
    </format>
    <format dxfId="9262">
      <pivotArea field="0" dataOnly="0" labelOnly="1" grandRow="1" outline="0" axis="axisRow" fieldPosition="0">
        <references count="1">
          <reference field="4294967294" count="1" selected="0">
            <x v="28"/>
          </reference>
        </references>
      </pivotArea>
    </format>
    <format dxfId="9261">
      <pivotArea field="0" dataOnly="0" labelOnly="1" grandRow="1" outline="0" axis="axisRow" fieldPosition="0">
        <references count="1">
          <reference field="4294967294" count="1" selected="0">
            <x v="29"/>
          </reference>
        </references>
      </pivotArea>
    </format>
    <format dxfId="9260">
      <pivotArea field="0" dataOnly="0" labelOnly="1" grandRow="1" outline="0" axis="axisRow" fieldPosition="0">
        <references count="1">
          <reference field="4294967294" count="1" selected="0">
            <x v="30"/>
          </reference>
        </references>
      </pivotArea>
    </format>
    <format dxfId="9259">
      <pivotArea field="0" dataOnly="0" labelOnly="1" grandRow="1" outline="0" axis="axisRow" fieldPosition="0">
        <references count="1">
          <reference field="4294967294" count="1" selected="0">
            <x v="31"/>
          </reference>
        </references>
      </pivotArea>
    </format>
    <format dxfId="9258">
      <pivotArea field="0" dataOnly="0" labelOnly="1" grandRow="1" outline="0" axis="axisRow" fieldPosition="0">
        <references count="1">
          <reference field="4294967294" count="1" selected="0">
            <x v="32"/>
          </reference>
        </references>
      </pivotArea>
    </format>
    <format dxfId="9257">
      <pivotArea field="0" dataOnly="0" labelOnly="1" grandRow="1" outline="0" axis="axisRow" fieldPosition="0">
        <references count="1">
          <reference field="4294967294" count="1" selected="0">
            <x v="33"/>
          </reference>
        </references>
      </pivotArea>
    </format>
    <format dxfId="9256">
      <pivotArea field="0" dataOnly="0" labelOnly="1" grandRow="1" outline="0" axis="axisRow" fieldPosition="0">
        <references count="1">
          <reference field="4294967294" count="1" selected="0">
            <x v="34"/>
          </reference>
        </references>
      </pivotArea>
    </format>
    <format dxfId="9255">
      <pivotArea field="0" dataOnly="0" labelOnly="1" grandRow="1" outline="0" axis="axisRow" fieldPosition="0">
        <references count="1">
          <reference field="4294967294" count="1" selected="0">
            <x v="35"/>
          </reference>
        </references>
      </pivotArea>
    </format>
    <format dxfId="9254">
      <pivotArea field="0" dataOnly="0" labelOnly="1" grandRow="1" outline="0" axis="axisRow" fieldPosition="0">
        <references count="1">
          <reference field="4294967294" count="1" selected="0">
            <x v="0"/>
          </reference>
        </references>
      </pivotArea>
    </format>
    <format dxfId="9253">
      <pivotArea field="0" dataOnly="0" labelOnly="1" grandRow="1" outline="0" axis="axisRow" fieldPosition="0">
        <references count="1">
          <reference field="4294967294" count="1" selected="0">
            <x v="1"/>
          </reference>
        </references>
      </pivotArea>
    </format>
    <format dxfId="9252">
      <pivotArea field="0" dataOnly="0" labelOnly="1" grandRow="1" outline="0" axis="axisRow" fieldPosition="0">
        <references count="1">
          <reference field="4294967294" count="1" selected="0">
            <x v="2"/>
          </reference>
        </references>
      </pivotArea>
    </format>
    <format dxfId="9251">
      <pivotArea field="0" dataOnly="0" labelOnly="1" grandRow="1" outline="0" axis="axisRow" fieldPosition="0">
        <references count="1">
          <reference field="4294967294" count="1" selected="0">
            <x v="3"/>
          </reference>
        </references>
      </pivotArea>
    </format>
    <format dxfId="9250">
      <pivotArea field="0" dataOnly="0" labelOnly="1" grandRow="1" outline="0" axis="axisRow" fieldPosition="0">
        <references count="1">
          <reference field="4294967294" count="1" selected="0">
            <x v="4"/>
          </reference>
        </references>
      </pivotArea>
    </format>
    <format dxfId="9249">
      <pivotArea field="0" dataOnly="0" labelOnly="1" grandRow="1" outline="0" axis="axisRow" fieldPosition="0">
        <references count="1">
          <reference field="4294967294" count="1" selected="0">
            <x v="5"/>
          </reference>
        </references>
      </pivotArea>
    </format>
    <format dxfId="9248">
      <pivotArea field="0" dataOnly="0" labelOnly="1" grandRow="1" outline="0" axis="axisRow" fieldPosition="0">
        <references count="1">
          <reference field="4294967294" count="1" selected="0">
            <x v="6"/>
          </reference>
        </references>
      </pivotArea>
    </format>
    <format dxfId="9247">
      <pivotArea field="0" dataOnly="0" labelOnly="1" grandRow="1" outline="0" axis="axisRow" fieldPosition="0">
        <references count="1">
          <reference field="4294967294" count="1" selected="0">
            <x v="7"/>
          </reference>
        </references>
      </pivotArea>
    </format>
    <format dxfId="9246">
      <pivotArea field="0" dataOnly="0" labelOnly="1" grandRow="1" outline="0" axis="axisRow" fieldPosition="0">
        <references count="1">
          <reference field="4294967294" count="1" selected="0">
            <x v="8"/>
          </reference>
        </references>
      </pivotArea>
    </format>
    <format dxfId="9245">
      <pivotArea field="0" dataOnly="0" labelOnly="1" grandRow="1" outline="0" axis="axisRow" fieldPosition="0">
        <references count="1">
          <reference field="4294967294" count="1" selected="0">
            <x v="9"/>
          </reference>
        </references>
      </pivotArea>
    </format>
    <format dxfId="9244">
      <pivotArea field="0" dataOnly="0" labelOnly="1" grandRow="1" outline="0" axis="axisRow" fieldPosition="0">
        <references count="1">
          <reference field="4294967294" count="1" selected="0">
            <x v="10"/>
          </reference>
        </references>
      </pivotArea>
    </format>
    <format dxfId="9243">
      <pivotArea field="0" dataOnly="0" labelOnly="1" grandRow="1" outline="0" axis="axisRow" fieldPosition="0">
        <references count="1">
          <reference field="4294967294" count="1" selected="0">
            <x v="11"/>
          </reference>
        </references>
      </pivotArea>
    </format>
    <format dxfId="9242">
      <pivotArea field="0" dataOnly="0" labelOnly="1" grandRow="1" outline="0" axis="axisRow" fieldPosition="0">
        <references count="1">
          <reference field="4294967294" count="1" selected="0">
            <x v="12"/>
          </reference>
        </references>
      </pivotArea>
    </format>
    <format dxfId="9241">
      <pivotArea field="0" dataOnly="0" labelOnly="1" grandRow="1" outline="0" axis="axisRow" fieldPosition="0">
        <references count="1">
          <reference field="4294967294" count="1" selected="0">
            <x v="13"/>
          </reference>
        </references>
      </pivotArea>
    </format>
    <format dxfId="9240">
      <pivotArea field="0" dataOnly="0" labelOnly="1" grandRow="1" outline="0" axis="axisRow" fieldPosition="0">
        <references count="1">
          <reference field="4294967294" count="1" selected="0">
            <x v="14"/>
          </reference>
        </references>
      </pivotArea>
    </format>
    <format dxfId="9239">
      <pivotArea field="0" dataOnly="0" labelOnly="1" grandRow="1" outline="0" axis="axisRow" fieldPosition="0">
        <references count="1">
          <reference field="4294967294" count="1" selected="0">
            <x v="15"/>
          </reference>
        </references>
      </pivotArea>
    </format>
    <format dxfId="9238">
      <pivotArea field="0" dataOnly="0" labelOnly="1" grandRow="1" outline="0" axis="axisRow" fieldPosition="0">
        <references count="1">
          <reference field="4294967294" count="1" selected="0">
            <x v="16"/>
          </reference>
        </references>
      </pivotArea>
    </format>
    <format dxfId="9237">
      <pivotArea field="0" dataOnly="0" labelOnly="1" grandRow="1" outline="0" axis="axisRow" fieldPosition="0">
        <references count="1">
          <reference field="4294967294" count="1" selected="0">
            <x v="17"/>
          </reference>
        </references>
      </pivotArea>
    </format>
    <format dxfId="9236">
      <pivotArea field="0" dataOnly="0" labelOnly="1" grandRow="1" outline="0" axis="axisRow" fieldPosition="0">
        <references count="1">
          <reference field="4294967294" count="1" selected="0">
            <x v="18"/>
          </reference>
        </references>
      </pivotArea>
    </format>
    <format dxfId="9235">
      <pivotArea field="0" dataOnly="0" labelOnly="1" grandRow="1" outline="0" axis="axisRow" fieldPosition="0">
        <references count="1">
          <reference field="4294967294" count="1" selected="0">
            <x v="19"/>
          </reference>
        </references>
      </pivotArea>
    </format>
    <format dxfId="9234">
      <pivotArea field="0" dataOnly="0" labelOnly="1" grandRow="1" outline="0" axis="axisRow" fieldPosition="0">
        <references count="1">
          <reference field="4294967294" count="1" selected="0">
            <x v="20"/>
          </reference>
        </references>
      </pivotArea>
    </format>
    <format dxfId="9233">
      <pivotArea field="0" dataOnly="0" labelOnly="1" grandRow="1" outline="0" axis="axisRow" fieldPosition="0">
        <references count="1">
          <reference field="4294967294" count="1" selected="0">
            <x v="21"/>
          </reference>
        </references>
      </pivotArea>
    </format>
    <format dxfId="9232">
      <pivotArea field="0" dataOnly="0" labelOnly="1" grandRow="1" outline="0" axis="axisRow" fieldPosition="0">
        <references count="1">
          <reference field="4294967294" count="1" selected="0">
            <x v="22"/>
          </reference>
        </references>
      </pivotArea>
    </format>
    <format dxfId="9231">
      <pivotArea field="0" dataOnly="0" labelOnly="1" grandRow="1" outline="0" axis="axisRow" fieldPosition="0">
        <references count="1">
          <reference field="4294967294" count="1" selected="0">
            <x v="23"/>
          </reference>
        </references>
      </pivotArea>
    </format>
    <format dxfId="9230">
      <pivotArea field="0" dataOnly="0" labelOnly="1" grandRow="1" outline="0" axis="axisRow" fieldPosition="0">
        <references count="1">
          <reference field="4294967294" count="1" selected="0">
            <x v="24"/>
          </reference>
        </references>
      </pivotArea>
    </format>
    <format dxfId="9229">
      <pivotArea field="0" dataOnly="0" labelOnly="1" grandRow="1" outline="0" axis="axisRow" fieldPosition="0">
        <references count="1">
          <reference field="4294967294" count="1" selected="0">
            <x v="25"/>
          </reference>
        </references>
      </pivotArea>
    </format>
    <format dxfId="9228">
      <pivotArea field="0" dataOnly="0" labelOnly="1" grandRow="1" outline="0" axis="axisRow" fieldPosition="0">
        <references count="1">
          <reference field="4294967294" count="1" selected="0">
            <x v="26"/>
          </reference>
        </references>
      </pivotArea>
    </format>
    <format dxfId="9227">
      <pivotArea field="0" dataOnly="0" labelOnly="1" grandRow="1" outline="0" axis="axisRow" fieldPosition="0">
        <references count="1">
          <reference field="4294967294" count="1" selected="0">
            <x v="27"/>
          </reference>
        </references>
      </pivotArea>
    </format>
    <format dxfId="9226">
      <pivotArea field="0" dataOnly="0" labelOnly="1" grandRow="1" outline="0" axis="axisRow" fieldPosition="0">
        <references count="1">
          <reference field="4294967294" count="1" selected="0">
            <x v="28"/>
          </reference>
        </references>
      </pivotArea>
    </format>
    <format dxfId="9225">
      <pivotArea field="0" dataOnly="0" labelOnly="1" grandRow="1" outline="0" axis="axisRow" fieldPosition="0">
        <references count="1">
          <reference field="4294967294" count="1" selected="0">
            <x v="29"/>
          </reference>
        </references>
      </pivotArea>
    </format>
    <format dxfId="9224">
      <pivotArea field="0" dataOnly="0" labelOnly="1" grandRow="1" outline="0" axis="axisRow" fieldPosition="0">
        <references count="1">
          <reference field="4294967294" count="1" selected="0">
            <x v="30"/>
          </reference>
        </references>
      </pivotArea>
    </format>
    <format dxfId="9223">
      <pivotArea field="0" dataOnly="0" labelOnly="1" grandRow="1" outline="0" axis="axisRow" fieldPosition="0">
        <references count="1">
          <reference field="4294967294" count="1" selected="0">
            <x v="31"/>
          </reference>
        </references>
      </pivotArea>
    </format>
    <format dxfId="9222">
      <pivotArea field="0" dataOnly="0" labelOnly="1" grandRow="1" outline="0" axis="axisRow" fieldPosition="0">
        <references count="1">
          <reference field="4294967294" count="1" selected="0">
            <x v="32"/>
          </reference>
        </references>
      </pivotArea>
    </format>
    <format dxfId="9221">
      <pivotArea field="0" dataOnly="0" labelOnly="1" grandRow="1" outline="0" axis="axisRow" fieldPosition="0">
        <references count="1">
          <reference field="4294967294" count="1" selected="0">
            <x v="33"/>
          </reference>
        </references>
      </pivotArea>
    </format>
    <format dxfId="9220">
      <pivotArea field="0" dataOnly="0" labelOnly="1" grandRow="1" outline="0" axis="axisRow" fieldPosition="0">
        <references count="1">
          <reference field="4294967294" count="1" selected="0">
            <x v="34"/>
          </reference>
        </references>
      </pivotArea>
    </format>
    <format dxfId="9219">
      <pivotArea field="0" dataOnly="0" labelOnly="1" grandRow="1" outline="0" axis="axisRow" fieldPosition="0">
        <references count="1">
          <reference field="4294967294" count="1" selected="0">
            <x v="35"/>
          </reference>
        </references>
      </pivotArea>
    </format>
    <format dxfId="9218">
      <pivotArea field="0" dataOnly="0" labelOnly="1" grandRow="1" outline="0" axis="axisRow" fieldPosition="0">
        <references count="1">
          <reference field="4294967294" count="1" selected="0">
            <x v="0"/>
          </reference>
        </references>
      </pivotArea>
    </format>
    <format dxfId="9217">
      <pivotArea field="0" dataOnly="0" labelOnly="1" grandRow="1" outline="0" axis="axisRow" fieldPosition="0">
        <references count="1">
          <reference field="4294967294" count="1" selected="0">
            <x v="1"/>
          </reference>
        </references>
      </pivotArea>
    </format>
    <format dxfId="9216">
      <pivotArea field="0" dataOnly="0" labelOnly="1" grandRow="1" outline="0" axis="axisRow" fieldPosition="0">
        <references count="1">
          <reference field="4294967294" count="1" selected="0">
            <x v="2"/>
          </reference>
        </references>
      </pivotArea>
    </format>
    <format dxfId="9215">
      <pivotArea field="0" dataOnly="0" labelOnly="1" grandRow="1" outline="0" axis="axisRow" fieldPosition="0">
        <references count="1">
          <reference field="4294967294" count="1" selected="0">
            <x v="3"/>
          </reference>
        </references>
      </pivotArea>
    </format>
    <format dxfId="9214">
      <pivotArea field="0" dataOnly="0" labelOnly="1" grandRow="1" outline="0" axis="axisRow" fieldPosition="0">
        <references count="1">
          <reference field="4294967294" count="1" selected="0">
            <x v="4"/>
          </reference>
        </references>
      </pivotArea>
    </format>
    <format dxfId="9213">
      <pivotArea field="0" dataOnly="0" labelOnly="1" grandRow="1" outline="0" axis="axisRow" fieldPosition="0">
        <references count="1">
          <reference field="4294967294" count="1" selected="0">
            <x v="5"/>
          </reference>
        </references>
      </pivotArea>
    </format>
    <format dxfId="9212">
      <pivotArea field="0" dataOnly="0" labelOnly="1" grandRow="1" outline="0" axis="axisRow" fieldPosition="0">
        <references count="1">
          <reference field="4294967294" count="1" selected="0">
            <x v="6"/>
          </reference>
        </references>
      </pivotArea>
    </format>
    <format dxfId="9211">
      <pivotArea field="0" dataOnly="0" labelOnly="1" grandRow="1" outline="0" axis="axisRow" fieldPosition="0">
        <references count="1">
          <reference field="4294967294" count="1" selected="0">
            <x v="7"/>
          </reference>
        </references>
      </pivotArea>
    </format>
    <format dxfId="9210">
      <pivotArea field="0" dataOnly="0" labelOnly="1" grandRow="1" outline="0" axis="axisRow" fieldPosition="0">
        <references count="1">
          <reference field="4294967294" count="1" selected="0">
            <x v="8"/>
          </reference>
        </references>
      </pivotArea>
    </format>
    <format dxfId="9209">
      <pivotArea field="0" dataOnly="0" labelOnly="1" grandRow="1" outline="0" axis="axisRow" fieldPosition="0">
        <references count="1">
          <reference field="4294967294" count="1" selected="0">
            <x v="9"/>
          </reference>
        </references>
      </pivotArea>
    </format>
    <format dxfId="9208">
      <pivotArea field="0" dataOnly="0" labelOnly="1" grandRow="1" outline="0" axis="axisRow" fieldPosition="0">
        <references count="1">
          <reference field="4294967294" count="1" selected="0">
            <x v="10"/>
          </reference>
        </references>
      </pivotArea>
    </format>
    <format dxfId="9207">
      <pivotArea field="0" dataOnly="0" labelOnly="1" grandRow="1" outline="0" axis="axisRow" fieldPosition="0">
        <references count="1">
          <reference field="4294967294" count="1" selected="0">
            <x v="11"/>
          </reference>
        </references>
      </pivotArea>
    </format>
    <format dxfId="9206">
      <pivotArea field="0" dataOnly="0" labelOnly="1" grandRow="1" outline="0" axis="axisRow" fieldPosition="0">
        <references count="1">
          <reference field="4294967294" count="1" selected="0">
            <x v="12"/>
          </reference>
        </references>
      </pivotArea>
    </format>
    <format dxfId="9205">
      <pivotArea field="0" dataOnly="0" labelOnly="1" grandRow="1" outline="0" axis="axisRow" fieldPosition="0">
        <references count="1">
          <reference field="4294967294" count="1" selected="0">
            <x v="13"/>
          </reference>
        </references>
      </pivotArea>
    </format>
    <format dxfId="9204">
      <pivotArea field="0" dataOnly="0" labelOnly="1" grandRow="1" outline="0" axis="axisRow" fieldPosition="0">
        <references count="1">
          <reference field="4294967294" count="1" selected="0">
            <x v="14"/>
          </reference>
        </references>
      </pivotArea>
    </format>
    <format dxfId="9203">
      <pivotArea field="0" dataOnly="0" labelOnly="1" grandRow="1" outline="0" axis="axisRow" fieldPosition="0">
        <references count="1">
          <reference field="4294967294" count="1" selected="0">
            <x v="15"/>
          </reference>
        </references>
      </pivotArea>
    </format>
    <format dxfId="9202">
      <pivotArea field="0" dataOnly="0" labelOnly="1" grandRow="1" outline="0" axis="axisRow" fieldPosition="0">
        <references count="1">
          <reference field="4294967294" count="1" selected="0">
            <x v="16"/>
          </reference>
        </references>
      </pivotArea>
    </format>
    <format dxfId="9201">
      <pivotArea field="0" dataOnly="0" labelOnly="1" grandRow="1" outline="0" axis="axisRow" fieldPosition="0">
        <references count="1">
          <reference field="4294967294" count="1" selected="0">
            <x v="17"/>
          </reference>
        </references>
      </pivotArea>
    </format>
    <format dxfId="9200">
      <pivotArea field="0" dataOnly="0" labelOnly="1" grandRow="1" outline="0" axis="axisRow" fieldPosition="0">
        <references count="1">
          <reference field="4294967294" count="1" selected="0">
            <x v="18"/>
          </reference>
        </references>
      </pivotArea>
    </format>
    <format dxfId="9199">
      <pivotArea field="0" dataOnly="0" labelOnly="1" grandRow="1" outline="0" axis="axisRow" fieldPosition="0">
        <references count="1">
          <reference field="4294967294" count="1" selected="0">
            <x v="19"/>
          </reference>
        </references>
      </pivotArea>
    </format>
    <format dxfId="9198">
      <pivotArea field="0" dataOnly="0" labelOnly="1" grandRow="1" outline="0" axis="axisRow" fieldPosition="0">
        <references count="1">
          <reference field="4294967294" count="1" selected="0">
            <x v="20"/>
          </reference>
        </references>
      </pivotArea>
    </format>
    <format dxfId="9197">
      <pivotArea field="0" dataOnly="0" labelOnly="1" grandRow="1" outline="0" axis="axisRow" fieldPosition="0">
        <references count="1">
          <reference field="4294967294" count="1" selected="0">
            <x v="21"/>
          </reference>
        </references>
      </pivotArea>
    </format>
    <format dxfId="9196">
      <pivotArea field="0" dataOnly="0" labelOnly="1" grandRow="1" outline="0" axis="axisRow" fieldPosition="0">
        <references count="1">
          <reference field="4294967294" count="1" selected="0">
            <x v="22"/>
          </reference>
        </references>
      </pivotArea>
    </format>
    <format dxfId="9195">
      <pivotArea field="0" dataOnly="0" labelOnly="1" grandRow="1" outline="0" axis="axisRow" fieldPosition="0">
        <references count="1">
          <reference field="4294967294" count="1" selected="0">
            <x v="23"/>
          </reference>
        </references>
      </pivotArea>
    </format>
    <format dxfId="9194">
      <pivotArea field="0" dataOnly="0" labelOnly="1" grandRow="1" outline="0" axis="axisRow" fieldPosition="0">
        <references count="1">
          <reference field="4294967294" count="1" selected="0">
            <x v="24"/>
          </reference>
        </references>
      </pivotArea>
    </format>
    <format dxfId="9193">
      <pivotArea field="0" dataOnly="0" labelOnly="1" grandRow="1" outline="0" axis="axisRow" fieldPosition="0">
        <references count="1">
          <reference field="4294967294" count="1" selected="0">
            <x v="25"/>
          </reference>
        </references>
      </pivotArea>
    </format>
    <format dxfId="9192">
      <pivotArea field="0" dataOnly="0" labelOnly="1" grandRow="1" outline="0" axis="axisRow" fieldPosition="0">
        <references count="1">
          <reference field="4294967294" count="1" selected="0">
            <x v="26"/>
          </reference>
        </references>
      </pivotArea>
    </format>
    <format dxfId="9191">
      <pivotArea field="0" dataOnly="0" labelOnly="1" grandRow="1" outline="0" axis="axisRow" fieldPosition="0">
        <references count="1">
          <reference field="4294967294" count="1" selected="0">
            <x v="27"/>
          </reference>
        </references>
      </pivotArea>
    </format>
    <format dxfId="9190">
      <pivotArea field="0" dataOnly="0" labelOnly="1" grandRow="1" outline="0" axis="axisRow" fieldPosition="0">
        <references count="1">
          <reference field="4294967294" count="1" selected="0">
            <x v="28"/>
          </reference>
        </references>
      </pivotArea>
    </format>
    <format dxfId="9189">
      <pivotArea field="0" dataOnly="0" labelOnly="1" grandRow="1" outline="0" axis="axisRow" fieldPosition="0">
        <references count="1">
          <reference field="4294967294" count="1" selected="0">
            <x v="29"/>
          </reference>
        </references>
      </pivotArea>
    </format>
    <format dxfId="9188">
      <pivotArea field="0" dataOnly="0" labelOnly="1" grandRow="1" outline="0" axis="axisRow" fieldPosition="0">
        <references count="1">
          <reference field="4294967294" count="1" selected="0">
            <x v="30"/>
          </reference>
        </references>
      </pivotArea>
    </format>
    <format dxfId="9187">
      <pivotArea field="0" dataOnly="0" labelOnly="1" grandRow="1" outline="0" axis="axisRow" fieldPosition="0">
        <references count="1">
          <reference field="4294967294" count="1" selected="0">
            <x v="31"/>
          </reference>
        </references>
      </pivotArea>
    </format>
    <format dxfId="9186">
      <pivotArea field="0" dataOnly="0" labelOnly="1" grandRow="1" outline="0" axis="axisRow" fieldPosition="0">
        <references count="1">
          <reference field="4294967294" count="1" selected="0">
            <x v="32"/>
          </reference>
        </references>
      </pivotArea>
    </format>
    <format dxfId="9185">
      <pivotArea field="0" dataOnly="0" labelOnly="1" grandRow="1" outline="0" axis="axisRow" fieldPosition="0">
        <references count="1">
          <reference field="4294967294" count="1" selected="0">
            <x v="33"/>
          </reference>
        </references>
      </pivotArea>
    </format>
    <format dxfId="9184">
      <pivotArea field="0" dataOnly="0" labelOnly="1" grandRow="1" outline="0" axis="axisRow" fieldPosition="0">
        <references count="1">
          <reference field="4294967294" count="1" selected="0">
            <x v="34"/>
          </reference>
        </references>
      </pivotArea>
    </format>
    <format dxfId="9183">
      <pivotArea field="0" dataOnly="0" labelOnly="1" grandRow="1" outline="0" axis="axisRow" fieldPosition="0">
        <references count="1">
          <reference field="4294967294" count="1" selected="0">
            <x v="35"/>
          </reference>
        </references>
      </pivotArea>
    </format>
    <format dxfId="9182">
      <pivotArea field="0" dataOnly="0" labelOnly="1" grandRow="1" outline="0" axis="axisRow" fieldPosition="0">
        <references count="1">
          <reference field="4294967294" count="1" selected="0">
            <x v="0"/>
          </reference>
        </references>
      </pivotArea>
    </format>
    <format dxfId="9181">
      <pivotArea field="0" dataOnly="0" labelOnly="1" grandRow="1" outline="0" axis="axisRow" fieldPosition="0">
        <references count="1">
          <reference field="4294967294" count="1" selected="0">
            <x v="1"/>
          </reference>
        </references>
      </pivotArea>
    </format>
    <format dxfId="9180">
      <pivotArea field="0" dataOnly="0" labelOnly="1" grandRow="1" outline="0" axis="axisRow" fieldPosition="0">
        <references count="1">
          <reference field="4294967294" count="1" selected="0">
            <x v="2"/>
          </reference>
        </references>
      </pivotArea>
    </format>
    <format dxfId="9179">
      <pivotArea field="0" dataOnly="0" labelOnly="1" grandRow="1" outline="0" axis="axisRow" fieldPosition="0">
        <references count="1">
          <reference field="4294967294" count="1" selected="0">
            <x v="3"/>
          </reference>
        </references>
      </pivotArea>
    </format>
    <format dxfId="9178">
      <pivotArea field="0" dataOnly="0" labelOnly="1" grandRow="1" outline="0" axis="axisRow" fieldPosition="0">
        <references count="1">
          <reference field="4294967294" count="1" selected="0">
            <x v="4"/>
          </reference>
        </references>
      </pivotArea>
    </format>
    <format dxfId="9177">
      <pivotArea field="0" dataOnly="0" labelOnly="1" grandRow="1" outline="0" axis="axisRow" fieldPosition="0">
        <references count="1">
          <reference field="4294967294" count="1" selected="0">
            <x v="5"/>
          </reference>
        </references>
      </pivotArea>
    </format>
    <format dxfId="9176">
      <pivotArea field="0" dataOnly="0" labelOnly="1" grandRow="1" outline="0" axis="axisRow" fieldPosition="0">
        <references count="1">
          <reference field="4294967294" count="1" selected="0">
            <x v="6"/>
          </reference>
        </references>
      </pivotArea>
    </format>
    <format dxfId="9175">
      <pivotArea field="0" dataOnly="0" labelOnly="1" grandRow="1" outline="0" axis="axisRow" fieldPosition="0">
        <references count="1">
          <reference field="4294967294" count="1" selected="0">
            <x v="7"/>
          </reference>
        </references>
      </pivotArea>
    </format>
    <format dxfId="9174">
      <pivotArea field="0" dataOnly="0" labelOnly="1" grandRow="1" outline="0" axis="axisRow" fieldPosition="0">
        <references count="1">
          <reference field="4294967294" count="1" selected="0">
            <x v="8"/>
          </reference>
        </references>
      </pivotArea>
    </format>
    <format dxfId="9173">
      <pivotArea field="0" dataOnly="0" labelOnly="1" grandRow="1" outline="0" axis="axisRow" fieldPosition="0">
        <references count="1">
          <reference field="4294967294" count="1" selected="0">
            <x v="9"/>
          </reference>
        </references>
      </pivotArea>
    </format>
    <format dxfId="9172">
      <pivotArea field="0" dataOnly="0" labelOnly="1" grandRow="1" outline="0" axis="axisRow" fieldPosition="0">
        <references count="1">
          <reference field="4294967294" count="1" selected="0">
            <x v="10"/>
          </reference>
        </references>
      </pivotArea>
    </format>
    <format dxfId="9171">
      <pivotArea field="0" dataOnly="0" labelOnly="1" grandRow="1" outline="0" axis="axisRow" fieldPosition="0">
        <references count="1">
          <reference field="4294967294" count="1" selected="0">
            <x v="11"/>
          </reference>
        </references>
      </pivotArea>
    </format>
    <format dxfId="9170">
      <pivotArea field="0" dataOnly="0" labelOnly="1" grandRow="1" outline="0" axis="axisRow" fieldPosition="0">
        <references count="1">
          <reference field="4294967294" count="1" selected="0">
            <x v="12"/>
          </reference>
        </references>
      </pivotArea>
    </format>
    <format dxfId="9169">
      <pivotArea field="0" dataOnly="0" labelOnly="1" grandRow="1" outline="0" axis="axisRow" fieldPosition="0">
        <references count="1">
          <reference field="4294967294" count="1" selected="0">
            <x v="13"/>
          </reference>
        </references>
      </pivotArea>
    </format>
    <format dxfId="9168">
      <pivotArea field="0" dataOnly="0" labelOnly="1" grandRow="1" outline="0" axis="axisRow" fieldPosition="0">
        <references count="1">
          <reference field="4294967294" count="1" selected="0">
            <x v="14"/>
          </reference>
        </references>
      </pivotArea>
    </format>
    <format dxfId="9167">
      <pivotArea field="0" dataOnly="0" labelOnly="1" grandRow="1" outline="0" axis="axisRow" fieldPosition="0">
        <references count="1">
          <reference field="4294967294" count="1" selected="0">
            <x v="15"/>
          </reference>
        </references>
      </pivotArea>
    </format>
    <format dxfId="9166">
      <pivotArea field="0" dataOnly="0" labelOnly="1" grandRow="1" outline="0" axis="axisRow" fieldPosition="0">
        <references count="1">
          <reference field="4294967294" count="1" selected="0">
            <x v="16"/>
          </reference>
        </references>
      </pivotArea>
    </format>
    <format dxfId="9165">
      <pivotArea field="0" dataOnly="0" labelOnly="1" grandRow="1" outline="0" axis="axisRow" fieldPosition="0">
        <references count="1">
          <reference field="4294967294" count="1" selected="0">
            <x v="17"/>
          </reference>
        </references>
      </pivotArea>
    </format>
    <format dxfId="9164">
      <pivotArea field="0" dataOnly="0" labelOnly="1" grandRow="1" outline="0" axis="axisRow" fieldPosition="0">
        <references count="1">
          <reference field="4294967294" count="1" selected="0">
            <x v="18"/>
          </reference>
        </references>
      </pivotArea>
    </format>
    <format dxfId="9163">
      <pivotArea field="0" dataOnly="0" labelOnly="1" grandRow="1" outline="0" axis="axisRow" fieldPosition="0">
        <references count="1">
          <reference field="4294967294" count="1" selected="0">
            <x v="19"/>
          </reference>
        </references>
      </pivotArea>
    </format>
    <format dxfId="9162">
      <pivotArea field="0" dataOnly="0" labelOnly="1" grandRow="1" outline="0" axis="axisRow" fieldPosition="0">
        <references count="1">
          <reference field="4294967294" count="1" selected="0">
            <x v="20"/>
          </reference>
        </references>
      </pivotArea>
    </format>
    <format dxfId="9161">
      <pivotArea field="0" dataOnly="0" labelOnly="1" grandRow="1" outline="0" axis="axisRow" fieldPosition="0">
        <references count="1">
          <reference field="4294967294" count="1" selected="0">
            <x v="21"/>
          </reference>
        </references>
      </pivotArea>
    </format>
    <format dxfId="9160">
      <pivotArea field="0" dataOnly="0" labelOnly="1" grandRow="1" outline="0" axis="axisRow" fieldPosition="0">
        <references count="1">
          <reference field="4294967294" count="1" selected="0">
            <x v="22"/>
          </reference>
        </references>
      </pivotArea>
    </format>
    <format dxfId="9159">
      <pivotArea field="0" dataOnly="0" labelOnly="1" grandRow="1" outline="0" axis="axisRow" fieldPosition="0">
        <references count="1">
          <reference field="4294967294" count="1" selected="0">
            <x v="23"/>
          </reference>
        </references>
      </pivotArea>
    </format>
    <format dxfId="9158">
      <pivotArea field="0" dataOnly="0" labelOnly="1" grandRow="1" outline="0" axis="axisRow" fieldPosition="0">
        <references count="1">
          <reference field="4294967294" count="1" selected="0">
            <x v="24"/>
          </reference>
        </references>
      </pivotArea>
    </format>
    <format dxfId="9157">
      <pivotArea field="0" dataOnly="0" labelOnly="1" grandRow="1" outline="0" axis="axisRow" fieldPosition="0">
        <references count="1">
          <reference field="4294967294" count="1" selected="0">
            <x v="25"/>
          </reference>
        </references>
      </pivotArea>
    </format>
    <format dxfId="9156">
      <pivotArea field="0" dataOnly="0" labelOnly="1" grandRow="1" outline="0" axis="axisRow" fieldPosition="0">
        <references count="1">
          <reference field="4294967294" count="1" selected="0">
            <x v="26"/>
          </reference>
        </references>
      </pivotArea>
    </format>
    <format dxfId="9155">
      <pivotArea field="0" dataOnly="0" labelOnly="1" grandRow="1" outline="0" axis="axisRow" fieldPosition="0">
        <references count="1">
          <reference field="4294967294" count="1" selected="0">
            <x v="27"/>
          </reference>
        </references>
      </pivotArea>
    </format>
    <format dxfId="9154">
      <pivotArea field="0" dataOnly="0" labelOnly="1" grandRow="1" outline="0" axis="axisRow" fieldPosition="0">
        <references count="1">
          <reference field="4294967294" count="1" selected="0">
            <x v="28"/>
          </reference>
        </references>
      </pivotArea>
    </format>
    <format dxfId="9153">
      <pivotArea field="0" dataOnly="0" labelOnly="1" grandRow="1" outline="0" axis="axisRow" fieldPosition="0">
        <references count="1">
          <reference field="4294967294" count="1" selected="0">
            <x v="29"/>
          </reference>
        </references>
      </pivotArea>
    </format>
    <format dxfId="9152">
      <pivotArea field="0" dataOnly="0" labelOnly="1" grandRow="1" outline="0" axis="axisRow" fieldPosition="0">
        <references count="1">
          <reference field="4294967294" count="1" selected="0">
            <x v="30"/>
          </reference>
        </references>
      </pivotArea>
    </format>
    <format dxfId="9151">
      <pivotArea field="0" dataOnly="0" labelOnly="1" grandRow="1" outline="0" axis="axisRow" fieldPosition="0">
        <references count="1">
          <reference field="4294967294" count="1" selected="0">
            <x v="31"/>
          </reference>
        </references>
      </pivotArea>
    </format>
    <format dxfId="9150">
      <pivotArea field="0" dataOnly="0" labelOnly="1" grandRow="1" outline="0" axis="axisRow" fieldPosition="0">
        <references count="1">
          <reference field="4294967294" count="1" selected="0">
            <x v="32"/>
          </reference>
        </references>
      </pivotArea>
    </format>
    <format dxfId="9149">
      <pivotArea field="0" dataOnly="0" labelOnly="1" grandRow="1" outline="0" axis="axisRow" fieldPosition="0">
        <references count="1">
          <reference field="4294967294" count="1" selected="0">
            <x v="33"/>
          </reference>
        </references>
      </pivotArea>
    </format>
    <format dxfId="9148">
      <pivotArea field="0" dataOnly="0" labelOnly="1" grandRow="1" outline="0" axis="axisRow" fieldPosition="0">
        <references count="1">
          <reference field="4294967294" count="1" selected="0">
            <x v="34"/>
          </reference>
        </references>
      </pivotArea>
    </format>
    <format dxfId="9147">
      <pivotArea field="0" dataOnly="0" labelOnly="1" grandRow="1" outline="0" axis="axisRow" fieldPosition="0">
        <references count="1">
          <reference field="4294967294" count="1" selected="0">
            <x v="35"/>
          </reference>
        </references>
      </pivotArea>
    </format>
    <format dxfId="9146">
      <pivotArea field="0" dataOnly="0" labelOnly="1" grandRow="1" outline="0" axis="axisRow" fieldPosition="0">
        <references count="1">
          <reference field="4294967294" count="1" selected="0">
            <x v="0"/>
          </reference>
        </references>
      </pivotArea>
    </format>
    <format dxfId="9145">
      <pivotArea field="0" dataOnly="0" labelOnly="1" grandRow="1" outline="0" axis="axisRow" fieldPosition="0">
        <references count="1">
          <reference field="4294967294" count="1" selected="0">
            <x v="1"/>
          </reference>
        </references>
      </pivotArea>
    </format>
    <format dxfId="9144">
      <pivotArea field="0" dataOnly="0" labelOnly="1" grandRow="1" outline="0" axis="axisRow" fieldPosition="0">
        <references count="1">
          <reference field="4294967294" count="1" selected="0">
            <x v="2"/>
          </reference>
        </references>
      </pivotArea>
    </format>
    <format dxfId="9143">
      <pivotArea field="0" dataOnly="0" labelOnly="1" grandRow="1" outline="0" axis="axisRow" fieldPosition="0">
        <references count="1">
          <reference field="4294967294" count="1" selected="0">
            <x v="3"/>
          </reference>
        </references>
      </pivotArea>
    </format>
    <format dxfId="9142">
      <pivotArea field="0" dataOnly="0" labelOnly="1" grandRow="1" outline="0" axis="axisRow" fieldPosition="0">
        <references count="1">
          <reference field="4294967294" count="1" selected="0">
            <x v="4"/>
          </reference>
        </references>
      </pivotArea>
    </format>
    <format dxfId="9141">
      <pivotArea field="0" dataOnly="0" labelOnly="1" grandRow="1" outline="0" axis="axisRow" fieldPosition="0">
        <references count="1">
          <reference field="4294967294" count="1" selected="0">
            <x v="5"/>
          </reference>
        </references>
      </pivotArea>
    </format>
    <format dxfId="9140">
      <pivotArea field="0" dataOnly="0" labelOnly="1" grandRow="1" outline="0" axis="axisRow" fieldPosition="0">
        <references count="1">
          <reference field="4294967294" count="1" selected="0">
            <x v="6"/>
          </reference>
        </references>
      </pivotArea>
    </format>
    <format dxfId="9139">
      <pivotArea field="0" dataOnly="0" labelOnly="1" grandRow="1" outline="0" axis="axisRow" fieldPosition="0">
        <references count="1">
          <reference field="4294967294" count="1" selected="0">
            <x v="7"/>
          </reference>
        </references>
      </pivotArea>
    </format>
    <format dxfId="9138">
      <pivotArea field="0" dataOnly="0" labelOnly="1" grandRow="1" outline="0" axis="axisRow" fieldPosition="0">
        <references count="1">
          <reference field="4294967294" count="1" selected="0">
            <x v="8"/>
          </reference>
        </references>
      </pivotArea>
    </format>
    <format dxfId="9137">
      <pivotArea field="0" dataOnly="0" labelOnly="1" grandRow="1" outline="0" axis="axisRow" fieldPosition="0">
        <references count="1">
          <reference field="4294967294" count="1" selected="0">
            <x v="9"/>
          </reference>
        </references>
      </pivotArea>
    </format>
    <format dxfId="9136">
      <pivotArea field="0" dataOnly="0" labelOnly="1" grandRow="1" outline="0" axis="axisRow" fieldPosition="0">
        <references count="1">
          <reference field="4294967294" count="1" selected="0">
            <x v="10"/>
          </reference>
        </references>
      </pivotArea>
    </format>
    <format dxfId="9135">
      <pivotArea field="0" dataOnly="0" labelOnly="1" grandRow="1" outline="0" axis="axisRow" fieldPosition="0">
        <references count="1">
          <reference field="4294967294" count="1" selected="0">
            <x v="11"/>
          </reference>
        </references>
      </pivotArea>
    </format>
    <format dxfId="9134">
      <pivotArea field="0" dataOnly="0" labelOnly="1" grandRow="1" outline="0" axis="axisRow" fieldPosition="0">
        <references count="1">
          <reference field="4294967294" count="1" selected="0">
            <x v="12"/>
          </reference>
        </references>
      </pivotArea>
    </format>
    <format dxfId="9133">
      <pivotArea field="0" dataOnly="0" labelOnly="1" grandRow="1" outline="0" axis="axisRow" fieldPosition="0">
        <references count="1">
          <reference field="4294967294" count="1" selected="0">
            <x v="13"/>
          </reference>
        </references>
      </pivotArea>
    </format>
    <format dxfId="9132">
      <pivotArea field="0" dataOnly="0" labelOnly="1" grandRow="1" outline="0" axis="axisRow" fieldPosition="0">
        <references count="1">
          <reference field="4294967294" count="1" selected="0">
            <x v="14"/>
          </reference>
        </references>
      </pivotArea>
    </format>
    <format dxfId="9131">
      <pivotArea field="0" dataOnly="0" labelOnly="1" grandRow="1" outline="0" axis="axisRow" fieldPosition="0">
        <references count="1">
          <reference field="4294967294" count="1" selected="0">
            <x v="15"/>
          </reference>
        </references>
      </pivotArea>
    </format>
    <format dxfId="9130">
      <pivotArea field="0" dataOnly="0" labelOnly="1" grandRow="1" outline="0" axis="axisRow" fieldPosition="0">
        <references count="1">
          <reference field="4294967294" count="1" selected="0">
            <x v="16"/>
          </reference>
        </references>
      </pivotArea>
    </format>
    <format dxfId="9129">
      <pivotArea field="0" dataOnly="0" labelOnly="1" grandRow="1" outline="0" axis="axisRow" fieldPosition="0">
        <references count="1">
          <reference field="4294967294" count="1" selected="0">
            <x v="17"/>
          </reference>
        </references>
      </pivotArea>
    </format>
    <format dxfId="9128">
      <pivotArea field="0" dataOnly="0" labelOnly="1" grandRow="1" outline="0" axis="axisRow" fieldPosition="0">
        <references count="1">
          <reference field="4294967294" count="1" selected="0">
            <x v="18"/>
          </reference>
        </references>
      </pivotArea>
    </format>
    <format dxfId="9127">
      <pivotArea field="0" dataOnly="0" labelOnly="1" grandRow="1" outline="0" axis="axisRow" fieldPosition="0">
        <references count="1">
          <reference field="4294967294" count="1" selected="0">
            <x v="19"/>
          </reference>
        </references>
      </pivotArea>
    </format>
    <format dxfId="9126">
      <pivotArea field="0" dataOnly="0" labelOnly="1" grandRow="1" outline="0" axis="axisRow" fieldPosition="0">
        <references count="1">
          <reference field="4294967294" count="1" selected="0">
            <x v="20"/>
          </reference>
        </references>
      </pivotArea>
    </format>
    <format dxfId="9125">
      <pivotArea field="0" dataOnly="0" labelOnly="1" grandRow="1" outline="0" axis="axisRow" fieldPosition="0">
        <references count="1">
          <reference field="4294967294" count="1" selected="0">
            <x v="21"/>
          </reference>
        </references>
      </pivotArea>
    </format>
    <format dxfId="9124">
      <pivotArea field="0" dataOnly="0" labelOnly="1" grandRow="1" outline="0" axis="axisRow" fieldPosition="0">
        <references count="1">
          <reference field="4294967294" count="1" selected="0">
            <x v="22"/>
          </reference>
        </references>
      </pivotArea>
    </format>
    <format dxfId="9123">
      <pivotArea field="0" dataOnly="0" labelOnly="1" grandRow="1" outline="0" axis="axisRow" fieldPosition="0">
        <references count="1">
          <reference field="4294967294" count="1" selected="0">
            <x v="23"/>
          </reference>
        </references>
      </pivotArea>
    </format>
    <format dxfId="9122">
      <pivotArea field="0" dataOnly="0" labelOnly="1" grandRow="1" outline="0" axis="axisRow" fieldPosition="0">
        <references count="1">
          <reference field="4294967294" count="1" selected="0">
            <x v="24"/>
          </reference>
        </references>
      </pivotArea>
    </format>
    <format dxfId="9121">
      <pivotArea field="0" dataOnly="0" labelOnly="1" grandRow="1" outline="0" axis="axisRow" fieldPosition="0">
        <references count="1">
          <reference field="4294967294" count="1" selected="0">
            <x v="25"/>
          </reference>
        </references>
      </pivotArea>
    </format>
    <format dxfId="9120">
      <pivotArea field="0" dataOnly="0" labelOnly="1" grandRow="1" outline="0" axis="axisRow" fieldPosition="0">
        <references count="1">
          <reference field="4294967294" count="1" selected="0">
            <x v="26"/>
          </reference>
        </references>
      </pivotArea>
    </format>
    <format dxfId="9119">
      <pivotArea field="0" dataOnly="0" labelOnly="1" grandRow="1" outline="0" axis="axisRow" fieldPosition="0">
        <references count="1">
          <reference field="4294967294" count="1" selected="0">
            <x v="27"/>
          </reference>
        </references>
      </pivotArea>
    </format>
    <format dxfId="9118">
      <pivotArea field="0" dataOnly="0" labelOnly="1" grandRow="1" outline="0" axis="axisRow" fieldPosition="0">
        <references count="1">
          <reference field="4294967294" count="1" selected="0">
            <x v="28"/>
          </reference>
        </references>
      </pivotArea>
    </format>
    <format dxfId="9117">
      <pivotArea field="0" dataOnly="0" labelOnly="1" grandRow="1" outline="0" axis="axisRow" fieldPosition="0">
        <references count="1">
          <reference field="4294967294" count="1" selected="0">
            <x v="29"/>
          </reference>
        </references>
      </pivotArea>
    </format>
    <format dxfId="9116">
      <pivotArea field="0" dataOnly="0" labelOnly="1" grandRow="1" outline="0" axis="axisRow" fieldPosition="0">
        <references count="1">
          <reference field="4294967294" count="1" selected="0">
            <x v="30"/>
          </reference>
        </references>
      </pivotArea>
    </format>
    <format dxfId="9115">
      <pivotArea field="0" dataOnly="0" labelOnly="1" grandRow="1" outline="0" axis="axisRow" fieldPosition="0">
        <references count="1">
          <reference field="4294967294" count="1" selected="0">
            <x v="31"/>
          </reference>
        </references>
      </pivotArea>
    </format>
    <format dxfId="9114">
      <pivotArea field="0" dataOnly="0" labelOnly="1" grandRow="1" outline="0" axis="axisRow" fieldPosition="0">
        <references count="1">
          <reference field="4294967294" count="1" selected="0">
            <x v="32"/>
          </reference>
        </references>
      </pivotArea>
    </format>
    <format dxfId="9113">
      <pivotArea field="0" dataOnly="0" labelOnly="1" grandRow="1" outline="0" axis="axisRow" fieldPosition="0">
        <references count="1">
          <reference field="4294967294" count="1" selected="0">
            <x v="33"/>
          </reference>
        </references>
      </pivotArea>
    </format>
    <format dxfId="9112">
      <pivotArea field="0" dataOnly="0" labelOnly="1" grandRow="1" outline="0" axis="axisRow" fieldPosition="0">
        <references count="1">
          <reference field="4294967294" count="1" selected="0">
            <x v="34"/>
          </reference>
        </references>
      </pivotArea>
    </format>
    <format dxfId="9111">
      <pivotArea field="0" dataOnly="0" labelOnly="1" grandRow="1" outline="0" axis="axisRow" fieldPosition="0">
        <references count="1">
          <reference field="4294967294" count="1" selected="0">
            <x v="35"/>
          </reference>
        </references>
      </pivotArea>
    </format>
    <format dxfId="9110">
      <pivotArea field="0" dataOnly="0" labelOnly="1" grandRow="1" outline="0" axis="axisRow" fieldPosition="0">
        <references count="1">
          <reference field="4294967294" count="1" selected="0">
            <x v="0"/>
          </reference>
        </references>
      </pivotArea>
    </format>
    <format dxfId="9109">
      <pivotArea field="0" dataOnly="0" labelOnly="1" grandRow="1" outline="0" axis="axisRow" fieldPosition="0">
        <references count="1">
          <reference field="4294967294" count="1" selected="0">
            <x v="1"/>
          </reference>
        </references>
      </pivotArea>
    </format>
    <format dxfId="9108">
      <pivotArea field="0" dataOnly="0" labelOnly="1" grandRow="1" outline="0" axis="axisRow" fieldPosition="0">
        <references count="1">
          <reference field="4294967294" count="1" selected="0">
            <x v="2"/>
          </reference>
        </references>
      </pivotArea>
    </format>
    <format dxfId="9107">
      <pivotArea field="0" dataOnly="0" labelOnly="1" grandRow="1" outline="0" axis="axisRow" fieldPosition="0">
        <references count="1">
          <reference field="4294967294" count="1" selected="0">
            <x v="3"/>
          </reference>
        </references>
      </pivotArea>
    </format>
    <format dxfId="9106">
      <pivotArea field="0" dataOnly="0" labelOnly="1" grandRow="1" outline="0" axis="axisRow" fieldPosition="0">
        <references count="1">
          <reference field="4294967294" count="1" selected="0">
            <x v="4"/>
          </reference>
        </references>
      </pivotArea>
    </format>
    <format dxfId="9105">
      <pivotArea field="0" dataOnly="0" labelOnly="1" grandRow="1" outline="0" axis="axisRow" fieldPosition="0">
        <references count="1">
          <reference field="4294967294" count="1" selected="0">
            <x v="5"/>
          </reference>
        </references>
      </pivotArea>
    </format>
    <format dxfId="9104">
      <pivotArea field="0" dataOnly="0" labelOnly="1" grandRow="1" outline="0" axis="axisRow" fieldPosition="0">
        <references count="1">
          <reference field="4294967294" count="1" selected="0">
            <x v="6"/>
          </reference>
        </references>
      </pivotArea>
    </format>
    <format dxfId="9103">
      <pivotArea field="0" dataOnly="0" labelOnly="1" grandRow="1" outline="0" axis="axisRow" fieldPosition="0">
        <references count="1">
          <reference field="4294967294" count="1" selected="0">
            <x v="7"/>
          </reference>
        </references>
      </pivotArea>
    </format>
    <format dxfId="9102">
      <pivotArea field="0" dataOnly="0" labelOnly="1" grandRow="1" outline="0" axis="axisRow" fieldPosition="0">
        <references count="1">
          <reference field="4294967294" count="1" selected="0">
            <x v="8"/>
          </reference>
        </references>
      </pivotArea>
    </format>
    <format dxfId="9101">
      <pivotArea field="0" dataOnly="0" labelOnly="1" grandRow="1" outline="0" axis="axisRow" fieldPosition="0">
        <references count="1">
          <reference field="4294967294" count="1" selected="0">
            <x v="9"/>
          </reference>
        </references>
      </pivotArea>
    </format>
    <format dxfId="9100">
      <pivotArea field="0" dataOnly="0" labelOnly="1" grandRow="1" outline="0" axis="axisRow" fieldPosition="0">
        <references count="1">
          <reference field="4294967294" count="1" selected="0">
            <x v="10"/>
          </reference>
        </references>
      </pivotArea>
    </format>
    <format dxfId="9099">
      <pivotArea field="0" dataOnly="0" labelOnly="1" grandRow="1" outline="0" axis="axisRow" fieldPosition="0">
        <references count="1">
          <reference field="4294967294" count="1" selected="0">
            <x v="11"/>
          </reference>
        </references>
      </pivotArea>
    </format>
    <format dxfId="9098">
      <pivotArea field="0" dataOnly="0" labelOnly="1" grandRow="1" outline="0" axis="axisRow" fieldPosition="0">
        <references count="1">
          <reference field="4294967294" count="1" selected="0">
            <x v="12"/>
          </reference>
        </references>
      </pivotArea>
    </format>
    <format dxfId="9097">
      <pivotArea field="0" dataOnly="0" labelOnly="1" grandRow="1" outline="0" axis="axisRow" fieldPosition="0">
        <references count="1">
          <reference field="4294967294" count="1" selected="0">
            <x v="13"/>
          </reference>
        </references>
      </pivotArea>
    </format>
    <format dxfId="9096">
      <pivotArea field="0" dataOnly="0" labelOnly="1" grandRow="1" outline="0" axis="axisRow" fieldPosition="0">
        <references count="1">
          <reference field="4294967294" count="1" selected="0">
            <x v="14"/>
          </reference>
        </references>
      </pivotArea>
    </format>
    <format dxfId="9095">
      <pivotArea field="0" dataOnly="0" labelOnly="1" grandRow="1" outline="0" axis="axisRow" fieldPosition="0">
        <references count="1">
          <reference field="4294967294" count="1" selected="0">
            <x v="15"/>
          </reference>
        </references>
      </pivotArea>
    </format>
    <format dxfId="9094">
      <pivotArea field="0" dataOnly="0" labelOnly="1" grandRow="1" outline="0" axis="axisRow" fieldPosition="0">
        <references count="1">
          <reference field="4294967294" count="1" selected="0">
            <x v="16"/>
          </reference>
        </references>
      </pivotArea>
    </format>
    <format dxfId="9093">
      <pivotArea field="0" dataOnly="0" labelOnly="1" grandRow="1" outline="0" axis="axisRow" fieldPosition="0">
        <references count="1">
          <reference field="4294967294" count="1" selected="0">
            <x v="17"/>
          </reference>
        </references>
      </pivotArea>
    </format>
    <format dxfId="9092">
      <pivotArea field="0" dataOnly="0" labelOnly="1" grandRow="1" outline="0" axis="axisRow" fieldPosition="0">
        <references count="1">
          <reference field="4294967294" count="1" selected="0">
            <x v="18"/>
          </reference>
        </references>
      </pivotArea>
    </format>
    <format dxfId="9091">
      <pivotArea field="0" dataOnly="0" labelOnly="1" grandRow="1" outline="0" axis="axisRow" fieldPosition="0">
        <references count="1">
          <reference field="4294967294" count="1" selected="0">
            <x v="19"/>
          </reference>
        </references>
      </pivotArea>
    </format>
    <format dxfId="9090">
      <pivotArea field="0" dataOnly="0" labelOnly="1" grandRow="1" outline="0" axis="axisRow" fieldPosition="0">
        <references count="1">
          <reference field="4294967294" count="1" selected="0">
            <x v="20"/>
          </reference>
        </references>
      </pivotArea>
    </format>
    <format dxfId="9089">
      <pivotArea field="0" dataOnly="0" labelOnly="1" grandRow="1" outline="0" axis="axisRow" fieldPosition="0">
        <references count="1">
          <reference field="4294967294" count="1" selected="0">
            <x v="21"/>
          </reference>
        </references>
      </pivotArea>
    </format>
    <format dxfId="9088">
      <pivotArea field="0" dataOnly="0" labelOnly="1" grandRow="1" outline="0" axis="axisRow" fieldPosition="0">
        <references count="1">
          <reference field="4294967294" count="1" selected="0">
            <x v="22"/>
          </reference>
        </references>
      </pivotArea>
    </format>
    <format dxfId="9087">
      <pivotArea field="0" dataOnly="0" labelOnly="1" grandRow="1" outline="0" axis="axisRow" fieldPosition="0">
        <references count="1">
          <reference field="4294967294" count="1" selected="0">
            <x v="23"/>
          </reference>
        </references>
      </pivotArea>
    </format>
    <format dxfId="9086">
      <pivotArea field="0" dataOnly="0" labelOnly="1" grandRow="1" outline="0" axis="axisRow" fieldPosition="0">
        <references count="1">
          <reference field="4294967294" count="1" selected="0">
            <x v="24"/>
          </reference>
        </references>
      </pivotArea>
    </format>
    <format dxfId="9085">
      <pivotArea field="0" dataOnly="0" labelOnly="1" grandRow="1" outline="0" axis="axisRow" fieldPosition="0">
        <references count="1">
          <reference field="4294967294" count="1" selected="0">
            <x v="25"/>
          </reference>
        </references>
      </pivotArea>
    </format>
    <format dxfId="9084">
      <pivotArea field="0" dataOnly="0" labelOnly="1" grandRow="1" outline="0" axis="axisRow" fieldPosition="0">
        <references count="1">
          <reference field="4294967294" count="1" selected="0">
            <x v="26"/>
          </reference>
        </references>
      </pivotArea>
    </format>
    <format dxfId="9083">
      <pivotArea field="0" dataOnly="0" labelOnly="1" grandRow="1" outline="0" axis="axisRow" fieldPosition="0">
        <references count="1">
          <reference field="4294967294" count="1" selected="0">
            <x v="27"/>
          </reference>
        </references>
      </pivotArea>
    </format>
    <format dxfId="9082">
      <pivotArea field="0" dataOnly="0" labelOnly="1" grandRow="1" outline="0" axis="axisRow" fieldPosition="0">
        <references count="1">
          <reference field="4294967294" count="1" selected="0">
            <x v="28"/>
          </reference>
        </references>
      </pivotArea>
    </format>
    <format dxfId="9081">
      <pivotArea field="0" dataOnly="0" labelOnly="1" grandRow="1" outline="0" axis="axisRow" fieldPosition="0">
        <references count="1">
          <reference field="4294967294" count="1" selected="0">
            <x v="29"/>
          </reference>
        </references>
      </pivotArea>
    </format>
    <format dxfId="9080">
      <pivotArea field="0" dataOnly="0" labelOnly="1" grandRow="1" outline="0" axis="axisRow" fieldPosition="0">
        <references count="1">
          <reference field="4294967294" count="1" selected="0">
            <x v="30"/>
          </reference>
        </references>
      </pivotArea>
    </format>
    <format dxfId="9079">
      <pivotArea field="0" dataOnly="0" labelOnly="1" grandRow="1" outline="0" axis="axisRow" fieldPosition="0">
        <references count="1">
          <reference field="4294967294" count="1" selected="0">
            <x v="31"/>
          </reference>
        </references>
      </pivotArea>
    </format>
    <format dxfId="9078">
      <pivotArea field="0" dataOnly="0" labelOnly="1" grandRow="1" outline="0" axis="axisRow" fieldPosition="0">
        <references count="1">
          <reference field="4294967294" count="1" selected="0">
            <x v="32"/>
          </reference>
        </references>
      </pivotArea>
    </format>
    <format dxfId="9077">
      <pivotArea field="0" dataOnly="0" labelOnly="1" grandRow="1" outline="0" axis="axisRow" fieldPosition="0">
        <references count="1">
          <reference field="4294967294" count="1" selected="0">
            <x v="33"/>
          </reference>
        </references>
      </pivotArea>
    </format>
    <format dxfId="9076">
      <pivotArea field="0" dataOnly="0" labelOnly="1" grandRow="1" outline="0" axis="axisRow" fieldPosition="0">
        <references count="1">
          <reference field="4294967294" count="1" selected="0">
            <x v="34"/>
          </reference>
        </references>
      </pivotArea>
    </format>
    <format dxfId="9075">
      <pivotArea field="0" dataOnly="0" labelOnly="1" grandRow="1" outline="0" axis="axisRow" fieldPosition="0">
        <references count="1">
          <reference field="4294967294" count="1" selected="0">
            <x v="35"/>
          </reference>
        </references>
      </pivotArea>
    </format>
    <format dxfId="9074">
      <pivotArea field="0" dataOnly="0" labelOnly="1" grandRow="1" outline="0" axis="axisRow" fieldPosition="0">
        <references count="1">
          <reference field="4294967294" count="1" selected="0">
            <x v="0"/>
          </reference>
        </references>
      </pivotArea>
    </format>
    <format dxfId="9073">
      <pivotArea field="0" dataOnly="0" labelOnly="1" grandRow="1" outline="0" axis="axisRow" fieldPosition="0">
        <references count="1">
          <reference field="4294967294" count="1" selected="0">
            <x v="1"/>
          </reference>
        </references>
      </pivotArea>
    </format>
    <format dxfId="9072">
      <pivotArea field="0" dataOnly="0" labelOnly="1" grandRow="1" outline="0" axis="axisRow" fieldPosition="0">
        <references count="1">
          <reference field="4294967294" count="1" selected="0">
            <x v="2"/>
          </reference>
        </references>
      </pivotArea>
    </format>
    <format dxfId="9071">
      <pivotArea field="0" dataOnly="0" labelOnly="1" grandRow="1" outline="0" axis="axisRow" fieldPosition="0">
        <references count="1">
          <reference field="4294967294" count="1" selected="0">
            <x v="3"/>
          </reference>
        </references>
      </pivotArea>
    </format>
    <format dxfId="9070">
      <pivotArea field="0" dataOnly="0" labelOnly="1" grandRow="1" outline="0" axis="axisRow" fieldPosition="0">
        <references count="1">
          <reference field="4294967294" count="1" selected="0">
            <x v="4"/>
          </reference>
        </references>
      </pivotArea>
    </format>
    <format dxfId="9069">
      <pivotArea field="0" dataOnly="0" labelOnly="1" grandRow="1" outline="0" axis="axisRow" fieldPosition="0">
        <references count="1">
          <reference field="4294967294" count="1" selected="0">
            <x v="5"/>
          </reference>
        </references>
      </pivotArea>
    </format>
    <format dxfId="9068">
      <pivotArea field="0" dataOnly="0" labelOnly="1" grandRow="1" outline="0" axis="axisRow" fieldPosition="0">
        <references count="1">
          <reference field="4294967294" count="1" selected="0">
            <x v="6"/>
          </reference>
        </references>
      </pivotArea>
    </format>
    <format dxfId="9067">
      <pivotArea field="0" dataOnly="0" labelOnly="1" grandRow="1" outline="0" axis="axisRow" fieldPosition="0">
        <references count="1">
          <reference field="4294967294" count="1" selected="0">
            <x v="7"/>
          </reference>
        </references>
      </pivotArea>
    </format>
    <format dxfId="9066">
      <pivotArea field="0" dataOnly="0" labelOnly="1" grandRow="1" outline="0" axis="axisRow" fieldPosition="0">
        <references count="1">
          <reference field="4294967294" count="1" selected="0">
            <x v="8"/>
          </reference>
        </references>
      </pivotArea>
    </format>
    <format dxfId="9065">
      <pivotArea field="0" dataOnly="0" labelOnly="1" grandRow="1" outline="0" axis="axisRow" fieldPosition="0">
        <references count="1">
          <reference field="4294967294" count="1" selected="0">
            <x v="9"/>
          </reference>
        </references>
      </pivotArea>
    </format>
    <format dxfId="9064">
      <pivotArea field="0" dataOnly="0" labelOnly="1" grandRow="1" outline="0" axis="axisRow" fieldPosition="0">
        <references count="1">
          <reference field="4294967294" count="1" selected="0">
            <x v="10"/>
          </reference>
        </references>
      </pivotArea>
    </format>
    <format dxfId="9063">
      <pivotArea field="0" dataOnly="0" labelOnly="1" grandRow="1" outline="0" axis="axisRow" fieldPosition="0">
        <references count="1">
          <reference field="4294967294" count="1" selected="0">
            <x v="11"/>
          </reference>
        </references>
      </pivotArea>
    </format>
    <format dxfId="9062">
      <pivotArea field="0" dataOnly="0" labelOnly="1" grandRow="1" outline="0" axis="axisRow" fieldPosition="0">
        <references count="1">
          <reference field="4294967294" count="1" selected="0">
            <x v="12"/>
          </reference>
        </references>
      </pivotArea>
    </format>
    <format dxfId="9061">
      <pivotArea field="0" dataOnly="0" labelOnly="1" grandRow="1" outline="0" axis="axisRow" fieldPosition="0">
        <references count="1">
          <reference field="4294967294" count="1" selected="0">
            <x v="13"/>
          </reference>
        </references>
      </pivotArea>
    </format>
    <format dxfId="9060">
      <pivotArea field="0" dataOnly="0" labelOnly="1" grandRow="1" outline="0" axis="axisRow" fieldPosition="0">
        <references count="1">
          <reference field="4294967294" count="1" selected="0">
            <x v="14"/>
          </reference>
        </references>
      </pivotArea>
    </format>
    <format dxfId="9059">
      <pivotArea field="0" dataOnly="0" labelOnly="1" grandRow="1" outline="0" axis="axisRow" fieldPosition="0">
        <references count="1">
          <reference field="4294967294" count="1" selected="0">
            <x v="15"/>
          </reference>
        </references>
      </pivotArea>
    </format>
    <format dxfId="9058">
      <pivotArea field="0" dataOnly="0" labelOnly="1" grandRow="1" outline="0" axis="axisRow" fieldPosition="0">
        <references count="1">
          <reference field="4294967294" count="1" selected="0">
            <x v="16"/>
          </reference>
        </references>
      </pivotArea>
    </format>
    <format dxfId="9057">
      <pivotArea field="0" dataOnly="0" labelOnly="1" grandRow="1" outline="0" axis="axisRow" fieldPosition="0">
        <references count="1">
          <reference field="4294967294" count="1" selected="0">
            <x v="17"/>
          </reference>
        </references>
      </pivotArea>
    </format>
    <format dxfId="9056">
      <pivotArea field="0" dataOnly="0" labelOnly="1" grandRow="1" outline="0" axis="axisRow" fieldPosition="0">
        <references count="1">
          <reference field="4294967294" count="1" selected="0">
            <x v="18"/>
          </reference>
        </references>
      </pivotArea>
    </format>
    <format dxfId="9055">
      <pivotArea field="0" dataOnly="0" labelOnly="1" grandRow="1" outline="0" axis="axisRow" fieldPosition="0">
        <references count="1">
          <reference field="4294967294" count="1" selected="0">
            <x v="19"/>
          </reference>
        </references>
      </pivotArea>
    </format>
    <format dxfId="9054">
      <pivotArea field="0" dataOnly="0" labelOnly="1" grandRow="1" outline="0" axis="axisRow" fieldPosition="0">
        <references count="1">
          <reference field="4294967294" count="1" selected="0">
            <x v="20"/>
          </reference>
        </references>
      </pivotArea>
    </format>
    <format dxfId="9053">
      <pivotArea field="0" dataOnly="0" labelOnly="1" grandRow="1" outline="0" axis="axisRow" fieldPosition="0">
        <references count="1">
          <reference field="4294967294" count="1" selected="0">
            <x v="21"/>
          </reference>
        </references>
      </pivotArea>
    </format>
    <format dxfId="9052">
      <pivotArea field="0" dataOnly="0" labelOnly="1" grandRow="1" outline="0" axis="axisRow" fieldPosition="0">
        <references count="1">
          <reference field="4294967294" count="1" selected="0">
            <x v="22"/>
          </reference>
        </references>
      </pivotArea>
    </format>
    <format dxfId="9051">
      <pivotArea field="0" dataOnly="0" labelOnly="1" grandRow="1" outline="0" axis="axisRow" fieldPosition="0">
        <references count="1">
          <reference field="4294967294" count="1" selected="0">
            <x v="23"/>
          </reference>
        </references>
      </pivotArea>
    </format>
    <format dxfId="9050">
      <pivotArea field="0" dataOnly="0" labelOnly="1" grandRow="1" outline="0" axis="axisRow" fieldPosition="0">
        <references count="1">
          <reference field="4294967294" count="1" selected="0">
            <x v="24"/>
          </reference>
        </references>
      </pivotArea>
    </format>
    <format dxfId="9049">
      <pivotArea field="0" dataOnly="0" labelOnly="1" grandRow="1" outline="0" axis="axisRow" fieldPosition="0">
        <references count="1">
          <reference field="4294967294" count="1" selected="0">
            <x v="25"/>
          </reference>
        </references>
      </pivotArea>
    </format>
    <format dxfId="9048">
      <pivotArea field="0" dataOnly="0" labelOnly="1" grandRow="1" outline="0" axis="axisRow" fieldPosition="0">
        <references count="1">
          <reference field="4294967294" count="1" selected="0">
            <x v="26"/>
          </reference>
        </references>
      </pivotArea>
    </format>
    <format dxfId="9047">
      <pivotArea field="0" dataOnly="0" labelOnly="1" grandRow="1" outline="0" axis="axisRow" fieldPosition="0">
        <references count="1">
          <reference field="4294967294" count="1" selected="0">
            <x v="27"/>
          </reference>
        </references>
      </pivotArea>
    </format>
    <format dxfId="9046">
      <pivotArea field="0" dataOnly="0" labelOnly="1" grandRow="1" outline="0" axis="axisRow" fieldPosition="0">
        <references count="1">
          <reference field="4294967294" count="1" selected="0">
            <x v="28"/>
          </reference>
        </references>
      </pivotArea>
    </format>
    <format dxfId="9045">
      <pivotArea field="0" dataOnly="0" labelOnly="1" grandRow="1" outline="0" axis="axisRow" fieldPosition="0">
        <references count="1">
          <reference field="4294967294" count="1" selected="0">
            <x v="29"/>
          </reference>
        </references>
      </pivotArea>
    </format>
    <format dxfId="9044">
      <pivotArea field="0" dataOnly="0" labelOnly="1" grandRow="1" outline="0" axis="axisRow" fieldPosition="0">
        <references count="1">
          <reference field="4294967294" count="1" selected="0">
            <x v="30"/>
          </reference>
        </references>
      </pivotArea>
    </format>
    <format dxfId="9043">
      <pivotArea field="0" dataOnly="0" labelOnly="1" grandRow="1" outline="0" axis="axisRow" fieldPosition="0">
        <references count="1">
          <reference field="4294967294" count="1" selected="0">
            <x v="31"/>
          </reference>
        </references>
      </pivotArea>
    </format>
    <format dxfId="9042">
      <pivotArea field="0" dataOnly="0" labelOnly="1" grandRow="1" outline="0" axis="axisRow" fieldPosition="0">
        <references count="1">
          <reference field="4294967294" count="1" selected="0">
            <x v="32"/>
          </reference>
        </references>
      </pivotArea>
    </format>
    <format dxfId="9041">
      <pivotArea field="0" dataOnly="0" labelOnly="1" grandRow="1" outline="0" axis="axisRow" fieldPosition="0">
        <references count="1">
          <reference field="4294967294" count="1" selected="0">
            <x v="33"/>
          </reference>
        </references>
      </pivotArea>
    </format>
    <format dxfId="9040">
      <pivotArea field="0" dataOnly="0" labelOnly="1" grandRow="1" outline="0" axis="axisRow" fieldPosition="0">
        <references count="1">
          <reference field="4294967294" count="1" selected="0">
            <x v="34"/>
          </reference>
        </references>
      </pivotArea>
    </format>
    <format dxfId="9039">
      <pivotArea field="0" dataOnly="0" labelOnly="1" grandRow="1" outline="0" axis="axisRow" fieldPosition="0">
        <references count="1">
          <reference field="4294967294" count="1" selected="0">
            <x v="35"/>
          </reference>
        </references>
      </pivotArea>
    </format>
    <format dxfId="9038">
      <pivotArea field="0" dataOnly="0" labelOnly="1" grandRow="1" outline="0" axis="axisRow" fieldPosition="0">
        <references count="1">
          <reference field="4294967294" count="1" selected="0">
            <x v="0"/>
          </reference>
        </references>
      </pivotArea>
    </format>
    <format dxfId="9037">
      <pivotArea field="0" dataOnly="0" labelOnly="1" grandRow="1" outline="0" axis="axisRow" fieldPosition="0">
        <references count="1">
          <reference field="4294967294" count="1" selected="0">
            <x v="1"/>
          </reference>
        </references>
      </pivotArea>
    </format>
    <format dxfId="9036">
      <pivotArea field="0" dataOnly="0" labelOnly="1" grandRow="1" outline="0" axis="axisRow" fieldPosition="0">
        <references count="1">
          <reference field="4294967294" count="1" selected="0">
            <x v="2"/>
          </reference>
        </references>
      </pivotArea>
    </format>
    <format dxfId="9035">
      <pivotArea field="0" dataOnly="0" labelOnly="1" grandRow="1" outline="0" axis="axisRow" fieldPosition="0">
        <references count="1">
          <reference field="4294967294" count="1" selected="0">
            <x v="3"/>
          </reference>
        </references>
      </pivotArea>
    </format>
    <format dxfId="9034">
      <pivotArea field="0" dataOnly="0" labelOnly="1" grandRow="1" outline="0" axis="axisRow" fieldPosition="0">
        <references count="1">
          <reference field="4294967294" count="1" selected="0">
            <x v="4"/>
          </reference>
        </references>
      </pivotArea>
    </format>
    <format dxfId="9033">
      <pivotArea field="0" dataOnly="0" labelOnly="1" grandRow="1" outline="0" axis="axisRow" fieldPosition="0">
        <references count="1">
          <reference field="4294967294" count="1" selected="0">
            <x v="5"/>
          </reference>
        </references>
      </pivotArea>
    </format>
    <format dxfId="9032">
      <pivotArea field="0" dataOnly="0" labelOnly="1" grandRow="1" outline="0" axis="axisRow" fieldPosition="0">
        <references count="1">
          <reference field="4294967294" count="1" selected="0">
            <x v="6"/>
          </reference>
        </references>
      </pivotArea>
    </format>
    <format dxfId="9031">
      <pivotArea field="0" dataOnly="0" labelOnly="1" grandRow="1" outline="0" axis="axisRow" fieldPosition="0">
        <references count="1">
          <reference field="4294967294" count="1" selected="0">
            <x v="7"/>
          </reference>
        </references>
      </pivotArea>
    </format>
    <format dxfId="9030">
      <pivotArea field="0" dataOnly="0" labelOnly="1" grandRow="1" outline="0" axis="axisRow" fieldPosition="0">
        <references count="1">
          <reference field="4294967294" count="1" selected="0">
            <x v="8"/>
          </reference>
        </references>
      </pivotArea>
    </format>
    <format dxfId="9029">
      <pivotArea field="0" dataOnly="0" labelOnly="1" grandRow="1" outline="0" axis="axisRow" fieldPosition="0">
        <references count="1">
          <reference field="4294967294" count="1" selected="0">
            <x v="9"/>
          </reference>
        </references>
      </pivotArea>
    </format>
    <format dxfId="9028">
      <pivotArea field="0" dataOnly="0" labelOnly="1" grandRow="1" outline="0" axis="axisRow" fieldPosition="0">
        <references count="1">
          <reference field="4294967294" count="1" selected="0">
            <x v="10"/>
          </reference>
        </references>
      </pivotArea>
    </format>
    <format dxfId="9027">
      <pivotArea field="0" dataOnly="0" labelOnly="1" grandRow="1" outline="0" axis="axisRow" fieldPosition="0">
        <references count="1">
          <reference field="4294967294" count="1" selected="0">
            <x v="11"/>
          </reference>
        </references>
      </pivotArea>
    </format>
    <format dxfId="9026">
      <pivotArea field="0" dataOnly="0" labelOnly="1" grandRow="1" outline="0" axis="axisRow" fieldPosition="0">
        <references count="1">
          <reference field="4294967294" count="1" selected="0">
            <x v="12"/>
          </reference>
        </references>
      </pivotArea>
    </format>
    <format dxfId="9025">
      <pivotArea field="0" dataOnly="0" labelOnly="1" grandRow="1" outline="0" axis="axisRow" fieldPosition="0">
        <references count="1">
          <reference field="4294967294" count="1" selected="0">
            <x v="13"/>
          </reference>
        </references>
      </pivotArea>
    </format>
    <format dxfId="9024">
      <pivotArea field="0" dataOnly="0" labelOnly="1" grandRow="1" outline="0" axis="axisRow" fieldPosition="0">
        <references count="1">
          <reference field="4294967294" count="1" selected="0">
            <x v="14"/>
          </reference>
        </references>
      </pivotArea>
    </format>
    <format dxfId="9023">
      <pivotArea field="0" dataOnly="0" labelOnly="1" grandRow="1" outline="0" axis="axisRow" fieldPosition="0">
        <references count="1">
          <reference field="4294967294" count="1" selected="0">
            <x v="15"/>
          </reference>
        </references>
      </pivotArea>
    </format>
    <format dxfId="9022">
      <pivotArea field="0" dataOnly="0" labelOnly="1" grandRow="1" outline="0" axis="axisRow" fieldPosition="0">
        <references count="1">
          <reference field="4294967294" count="1" selected="0">
            <x v="16"/>
          </reference>
        </references>
      </pivotArea>
    </format>
    <format dxfId="9021">
      <pivotArea field="0" dataOnly="0" labelOnly="1" grandRow="1" outline="0" axis="axisRow" fieldPosition="0">
        <references count="1">
          <reference field="4294967294" count="1" selected="0">
            <x v="17"/>
          </reference>
        </references>
      </pivotArea>
    </format>
    <format dxfId="9020">
      <pivotArea field="0" dataOnly="0" labelOnly="1" grandRow="1" outline="0" axis="axisRow" fieldPosition="0">
        <references count="1">
          <reference field="4294967294" count="1" selected="0">
            <x v="18"/>
          </reference>
        </references>
      </pivotArea>
    </format>
    <format dxfId="9019">
      <pivotArea field="0" dataOnly="0" labelOnly="1" grandRow="1" outline="0" axis="axisRow" fieldPosition="0">
        <references count="1">
          <reference field="4294967294" count="1" selected="0">
            <x v="19"/>
          </reference>
        </references>
      </pivotArea>
    </format>
    <format dxfId="9018">
      <pivotArea field="0" dataOnly="0" labelOnly="1" grandRow="1" outline="0" axis="axisRow" fieldPosition="0">
        <references count="1">
          <reference field="4294967294" count="1" selected="0">
            <x v="20"/>
          </reference>
        </references>
      </pivotArea>
    </format>
    <format dxfId="9017">
      <pivotArea field="0" dataOnly="0" labelOnly="1" grandRow="1" outline="0" axis="axisRow" fieldPosition="0">
        <references count="1">
          <reference field="4294967294" count="1" selected="0">
            <x v="21"/>
          </reference>
        </references>
      </pivotArea>
    </format>
    <format dxfId="9016">
      <pivotArea field="0" dataOnly="0" labelOnly="1" grandRow="1" outline="0" axis="axisRow" fieldPosition="0">
        <references count="1">
          <reference field="4294967294" count="1" selected="0">
            <x v="22"/>
          </reference>
        </references>
      </pivotArea>
    </format>
    <format dxfId="9015">
      <pivotArea field="0" dataOnly="0" labelOnly="1" grandRow="1" outline="0" axis="axisRow" fieldPosition="0">
        <references count="1">
          <reference field="4294967294" count="1" selected="0">
            <x v="23"/>
          </reference>
        </references>
      </pivotArea>
    </format>
    <format dxfId="9014">
      <pivotArea field="0" dataOnly="0" labelOnly="1" grandRow="1" outline="0" axis="axisRow" fieldPosition="0">
        <references count="1">
          <reference field="4294967294" count="1" selected="0">
            <x v="24"/>
          </reference>
        </references>
      </pivotArea>
    </format>
    <format dxfId="9013">
      <pivotArea field="0" dataOnly="0" labelOnly="1" grandRow="1" outline="0" axis="axisRow" fieldPosition="0">
        <references count="1">
          <reference field="4294967294" count="1" selected="0">
            <x v="25"/>
          </reference>
        </references>
      </pivotArea>
    </format>
    <format dxfId="9012">
      <pivotArea field="0" dataOnly="0" labelOnly="1" grandRow="1" outline="0" axis="axisRow" fieldPosition="0">
        <references count="1">
          <reference field="4294967294" count="1" selected="0">
            <x v="26"/>
          </reference>
        </references>
      </pivotArea>
    </format>
    <format dxfId="9011">
      <pivotArea field="0" dataOnly="0" labelOnly="1" grandRow="1" outline="0" axis="axisRow" fieldPosition="0">
        <references count="1">
          <reference field="4294967294" count="1" selected="0">
            <x v="27"/>
          </reference>
        </references>
      </pivotArea>
    </format>
    <format dxfId="9010">
      <pivotArea field="0" dataOnly="0" labelOnly="1" grandRow="1" outline="0" axis="axisRow" fieldPosition="0">
        <references count="1">
          <reference field="4294967294" count="1" selected="0">
            <x v="28"/>
          </reference>
        </references>
      </pivotArea>
    </format>
    <format dxfId="9009">
      <pivotArea field="0" dataOnly="0" labelOnly="1" grandRow="1" outline="0" axis="axisRow" fieldPosition="0">
        <references count="1">
          <reference field="4294967294" count="1" selected="0">
            <x v="29"/>
          </reference>
        </references>
      </pivotArea>
    </format>
    <format dxfId="9008">
      <pivotArea field="0" dataOnly="0" labelOnly="1" grandRow="1" outline="0" axis="axisRow" fieldPosition="0">
        <references count="1">
          <reference field="4294967294" count="1" selected="0">
            <x v="30"/>
          </reference>
        </references>
      </pivotArea>
    </format>
    <format dxfId="9007">
      <pivotArea field="0" dataOnly="0" labelOnly="1" grandRow="1" outline="0" axis="axisRow" fieldPosition="0">
        <references count="1">
          <reference field="4294967294" count="1" selected="0">
            <x v="31"/>
          </reference>
        </references>
      </pivotArea>
    </format>
    <format dxfId="9006">
      <pivotArea field="0" dataOnly="0" labelOnly="1" grandRow="1" outline="0" axis="axisRow" fieldPosition="0">
        <references count="1">
          <reference field="4294967294" count="1" selected="0">
            <x v="32"/>
          </reference>
        </references>
      </pivotArea>
    </format>
    <format dxfId="9005">
      <pivotArea field="0" dataOnly="0" labelOnly="1" grandRow="1" outline="0" axis="axisRow" fieldPosition="0">
        <references count="1">
          <reference field="4294967294" count="1" selected="0">
            <x v="33"/>
          </reference>
        </references>
      </pivotArea>
    </format>
    <format dxfId="9004">
      <pivotArea field="0" dataOnly="0" labelOnly="1" grandRow="1" outline="0" axis="axisRow" fieldPosition="0">
        <references count="1">
          <reference field="4294967294" count="1" selected="0">
            <x v="34"/>
          </reference>
        </references>
      </pivotArea>
    </format>
    <format dxfId="9003">
      <pivotArea field="0" dataOnly="0" labelOnly="1" grandRow="1" outline="0" axis="axisRow" fieldPosition="0">
        <references count="1">
          <reference field="4294967294" count="1" selected="0">
            <x v="35"/>
          </reference>
        </references>
      </pivotArea>
    </format>
    <format dxfId="9002">
      <pivotArea field="0" dataOnly="0" labelOnly="1" grandRow="1" outline="0" axis="axisRow" fieldPosition="0">
        <references count="1">
          <reference field="4294967294" count="1" selected="0">
            <x v="0"/>
          </reference>
        </references>
      </pivotArea>
    </format>
    <format dxfId="9001">
      <pivotArea field="0" dataOnly="0" labelOnly="1" grandRow="1" outline="0" axis="axisRow" fieldPosition="0">
        <references count="1">
          <reference field="4294967294" count="1" selected="0">
            <x v="1"/>
          </reference>
        </references>
      </pivotArea>
    </format>
    <format dxfId="9000">
      <pivotArea field="0" dataOnly="0" labelOnly="1" grandRow="1" outline="0" axis="axisRow" fieldPosition="0">
        <references count="1">
          <reference field="4294967294" count="1" selected="0">
            <x v="2"/>
          </reference>
        </references>
      </pivotArea>
    </format>
    <format dxfId="8999">
      <pivotArea field="0" dataOnly="0" labelOnly="1" grandRow="1" outline="0" axis="axisRow" fieldPosition="0">
        <references count="1">
          <reference field="4294967294" count="1" selected="0">
            <x v="3"/>
          </reference>
        </references>
      </pivotArea>
    </format>
    <format dxfId="8998">
      <pivotArea field="0" dataOnly="0" labelOnly="1" grandRow="1" outline="0" axis="axisRow" fieldPosition="0">
        <references count="1">
          <reference field="4294967294" count="1" selected="0">
            <x v="4"/>
          </reference>
        </references>
      </pivotArea>
    </format>
    <format dxfId="8997">
      <pivotArea field="0" dataOnly="0" labelOnly="1" grandRow="1" outline="0" axis="axisRow" fieldPosition="0">
        <references count="1">
          <reference field="4294967294" count="1" selected="0">
            <x v="5"/>
          </reference>
        </references>
      </pivotArea>
    </format>
    <format dxfId="8996">
      <pivotArea field="0" dataOnly="0" labelOnly="1" grandRow="1" outline="0" axis="axisRow" fieldPosition="0">
        <references count="1">
          <reference field="4294967294" count="1" selected="0">
            <x v="6"/>
          </reference>
        </references>
      </pivotArea>
    </format>
    <format dxfId="8995">
      <pivotArea field="0" dataOnly="0" labelOnly="1" grandRow="1" outline="0" axis="axisRow" fieldPosition="0">
        <references count="1">
          <reference field="4294967294" count="1" selected="0">
            <x v="7"/>
          </reference>
        </references>
      </pivotArea>
    </format>
    <format dxfId="8994">
      <pivotArea field="0" dataOnly="0" labelOnly="1" grandRow="1" outline="0" axis="axisRow" fieldPosition="0">
        <references count="1">
          <reference field="4294967294" count="1" selected="0">
            <x v="8"/>
          </reference>
        </references>
      </pivotArea>
    </format>
    <format dxfId="8993">
      <pivotArea field="0" dataOnly="0" labelOnly="1" grandRow="1" outline="0" axis="axisRow" fieldPosition="0">
        <references count="1">
          <reference field="4294967294" count="1" selected="0">
            <x v="9"/>
          </reference>
        </references>
      </pivotArea>
    </format>
    <format dxfId="8992">
      <pivotArea field="0" dataOnly="0" labelOnly="1" grandRow="1" outline="0" axis="axisRow" fieldPosition="0">
        <references count="1">
          <reference field="4294967294" count="1" selected="0">
            <x v="10"/>
          </reference>
        </references>
      </pivotArea>
    </format>
    <format dxfId="8991">
      <pivotArea field="0" dataOnly="0" labelOnly="1" grandRow="1" outline="0" axis="axisRow" fieldPosition="0">
        <references count="1">
          <reference field="4294967294" count="1" selected="0">
            <x v="11"/>
          </reference>
        </references>
      </pivotArea>
    </format>
    <format dxfId="8990">
      <pivotArea field="0" dataOnly="0" labelOnly="1" grandRow="1" outline="0" axis="axisRow" fieldPosition="0">
        <references count="1">
          <reference field="4294967294" count="1" selected="0">
            <x v="12"/>
          </reference>
        </references>
      </pivotArea>
    </format>
    <format dxfId="8989">
      <pivotArea field="0" dataOnly="0" labelOnly="1" grandRow="1" outline="0" axis="axisRow" fieldPosition="0">
        <references count="1">
          <reference field="4294967294" count="1" selected="0">
            <x v="13"/>
          </reference>
        </references>
      </pivotArea>
    </format>
    <format dxfId="8988">
      <pivotArea field="0" dataOnly="0" labelOnly="1" grandRow="1" outline="0" axis="axisRow" fieldPosition="0">
        <references count="1">
          <reference field="4294967294" count="1" selected="0">
            <x v="14"/>
          </reference>
        </references>
      </pivotArea>
    </format>
    <format dxfId="8987">
      <pivotArea field="0" dataOnly="0" labelOnly="1" grandRow="1" outline="0" axis="axisRow" fieldPosition="0">
        <references count="1">
          <reference field="4294967294" count="1" selected="0">
            <x v="15"/>
          </reference>
        </references>
      </pivotArea>
    </format>
    <format dxfId="8986">
      <pivotArea field="0" dataOnly="0" labelOnly="1" grandRow="1" outline="0" axis="axisRow" fieldPosition="0">
        <references count="1">
          <reference field="4294967294" count="1" selected="0">
            <x v="16"/>
          </reference>
        </references>
      </pivotArea>
    </format>
    <format dxfId="8985">
      <pivotArea field="0" dataOnly="0" labelOnly="1" grandRow="1" outline="0" axis="axisRow" fieldPosition="0">
        <references count="1">
          <reference field="4294967294" count="1" selected="0">
            <x v="17"/>
          </reference>
        </references>
      </pivotArea>
    </format>
    <format dxfId="8984">
      <pivotArea field="0" dataOnly="0" labelOnly="1" grandRow="1" outline="0" axis="axisRow" fieldPosition="0">
        <references count="1">
          <reference field="4294967294" count="1" selected="0">
            <x v="18"/>
          </reference>
        </references>
      </pivotArea>
    </format>
    <format dxfId="8983">
      <pivotArea field="0" dataOnly="0" labelOnly="1" grandRow="1" outline="0" axis="axisRow" fieldPosition="0">
        <references count="1">
          <reference field="4294967294" count="1" selected="0">
            <x v="19"/>
          </reference>
        </references>
      </pivotArea>
    </format>
    <format dxfId="8982">
      <pivotArea field="0" dataOnly="0" labelOnly="1" grandRow="1" outline="0" axis="axisRow" fieldPosition="0">
        <references count="1">
          <reference field="4294967294" count="1" selected="0">
            <x v="20"/>
          </reference>
        </references>
      </pivotArea>
    </format>
    <format dxfId="8981">
      <pivotArea field="0" dataOnly="0" labelOnly="1" grandRow="1" outline="0" axis="axisRow" fieldPosition="0">
        <references count="1">
          <reference field="4294967294" count="1" selected="0">
            <x v="21"/>
          </reference>
        </references>
      </pivotArea>
    </format>
    <format dxfId="8980">
      <pivotArea field="0" dataOnly="0" labelOnly="1" grandRow="1" outline="0" axis="axisRow" fieldPosition="0">
        <references count="1">
          <reference field="4294967294" count="1" selected="0">
            <x v="22"/>
          </reference>
        </references>
      </pivotArea>
    </format>
    <format dxfId="8979">
      <pivotArea field="0" dataOnly="0" labelOnly="1" grandRow="1" outline="0" axis="axisRow" fieldPosition="0">
        <references count="1">
          <reference field="4294967294" count="1" selected="0">
            <x v="23"/>
          </reference>
        </references>
      </pivotArea>
    </format>
    <format dxfId="8978">
      <pivotArea field="0" dataOnly="0" labelOnly="1" grandRow="1" outline="0" axis="axisRow" fieldPosition="0">
        <references count="1">
          <reference field="4294967294" count="1" selected="0">
            <x v="24"/>
          </reference>
        </references>
      </pivotArea>
    </format>
    <format dxfId="8977">
      <pivotArea field="0" dataOnly="0" labelOnly="1" grandRow="1" outline="0" axis="axisRow" fieldPosition="0">
        <references count="1">
          <reference field="4294967294" count="1" selected="0">
            <x v="25"/>
          </reference>
        </references>
      </pivotArea>
    </format>
    <format dxfId="8976">
      <pivotArea field="0" dataOnly="0" labelOnly="1" grandRow="1" outline="0" axis="axisRow" fieldPosition="0">
        <references count="1">
          <reference field="4294967294" count="1" selected="0">
            <x v="26"/>
          </reference>
        </references>
      </pivotArea>
    </format>
    <format dxfId="8975">
      <pivotArea field="0" dataOnly="0" labelOnly="1" grandRow="1" outline="0" axis="axisRow" fieldPosition="0">
        <references count="1">
          <reference field="4294967294" count="1" selected="0">
            <x v="27"/>
          </reference>
        </references>
      </pivotArea>
    </format>
    <format dxfId="8974">
      <pivotArea field="0" dataOnly="0" labelOnly="1" grandRow="1" outline="0" axis="axisRow" fieldPosition="0">
        <references count="1">
          <reference field="4294967294" count="1" selected="0">
            <x v="28"/>
          </reference>
        </references>
      </pivotArea>
    </format>
    <format dxfId="8973">
      <pivotArea field="0" dataOnly="0" labelOnly="1" grandRow="1" outline="0" axis="axisRow" fieldPosition="0">
        <references count="1">
          <reference field="4294967294" count="1" selected="0">
            <x v="29"/>
          </reference>
        </references>
      </pivotArea>
    </format>
    <format dxfId="8972">
      <pivotArea field="0" dataOnly="0" labelOnly="1" grandRow="1" outline="0" axis="axisRow" fieldPosition="0">
        <references count="1">
          <reference field="4294967294" count="1" selected="0">
            <x v="30"/>
          </reference>
        </references>
      </pivotArea>
    </format>
    <format dxfId="8971">
      <pivotArea field="0" dataOnly="0" labelOnly="1" grandRow="1" outline="0" axis="axisRow" fieldPosition="0">
        <references count="1">
          <reference field="4294967294" count="1" selected="0">
            <x v="31"/>
          </reference>
        </references>
      </pivotArea>
    </format>
    <format dxfId="8970">
      <pivotArea field="0" dataOnly="0" labelOnly="1" grandRow="1" outline="0" axis="axisRow" fieldPosition="0">
        <references count="1">
          <reference field="4294967294" count="1" selected="0">
            <x v="32"/>
          </reference>
        </references>
      </pivotArea>
    </format>
    <format dxfId="8969">
      <pivotArea field="0" dataOnly="0" labelOnly="1" grandRow="1" outline="0" axis="axisRow" fieldPosition="0">
        <references count="1">
          <reference field="4294967294" count="1" selected="0">
            <x v="33"/>
          </reference>
        </references>
      </pivotArea>
    </format>
    <format dxfId="8968">
      <pivotArea field="0" dataOnly="0" labelOnly="1" grandRow="1" outline="0" axis="axisRow" fieldPosition="0">
        <references count="1">
          <reference field="4294967294" count="1" selected="0">
            <x v="34"/>
          </reference>
        </references>
      </pivotArea>
    </format>
    <format dxfId="8967">
      <pivotArea field="0" dataOnly="0" labelOnly="1" grandRow="1" outline="0" axis="axisRow" fieldPosition="0">
        <references count="1">
          <reference field="4294967294" count="1" selected="0">
            <x v="35"/>
          </reference>
        </references>
      </pivotArea>
    </format>
    <format dxfId="8966">
      <pivotArea field="0" dataOnly="0" labelOnly="1" grandRow="1" outline="0" axis="axisRow" fieldPosition="0">
        <references count="1">
          <reference field="4294967294" count="1" selected="0">
            <x v="0"/>
          </reference>
        </references>
      </pivotArea>
    </format>
    <format dxfId="8965">
      <pivotArea field="0" dataOnly="0" labelOnly="1" grandRow="1" outline="0" axis="axisRow" fieldPosition="0">
        <references count="1">
          <reference field="4294967294" count="1" selected="0">
            <x v="1"/>
          </reference>
        </references>
      </pivotArea>
    </format>
    <format dxfId="8964">
      <pivotArea field="0" dataOnly="0" labelOnly="1" grandRow="1" outline="0" axis="axisRow" fieldPosition="0">
        <references count="1">
          <reference field="4294967294" count="1" selected="0">
            <x v="2"/>
          </reference>
        </references>
      </pivotArea>
    </format>
    <format dxfId="8963">
      <pivotArea field="0" dataOnly="0" labelOnly="1" grandRow="1" outline="0" axis="axisRow" fieldPosition="0">
        <references count="1">
          <reference field="4294967294" count="1" selected="0">
            <x v="3"/>
          </reference>
        </references>
      </pivotArea>
    </format>
    <format dxfId="8962">
      <pivotArea field="0" dataOnly="0" labelOnly="1" grandRow="1" outline="0" axis="axisRow" fieldPosition="0">
        <references count="1">
          <reference field="4294967294" count="1" selected="0">
            <x v="4"/>
          </reference>
        </references>
      </pivotArea>
    </format>
    <format dxfId="8961">
      <pivotArea field="0" dataOnly="0" labelOnly="1" grandRow="1" outline="0" axis="axisRow" fieldPosition="0">
        <references count="1">
          <reference field="4294967294" count="1" selected="0">
            <x v="5"/>
          </reference>
        </references>
      </pivotArea>
    </format>
    <format dxfId="8960">
      <pivotArea field="0" dataOnly="0" labelOnly="1" grandRow="1" outline="0" axis="axisRow" fieldPosition="0">
        <references count="1">
          <reference field="4294967294" count="1" selected="0">
            <x v="6"/>
          </reference>
        </references>
      </pivotArea>
    </format>
    <format dxfId="8959">
      <pivotArea field="0" dataOnly="0" labelOnly="1" grandRow="1" outline="0" axis="axisRow" fieldPosition="0">
        <references count="1">
          <reference field="4294967294" count="1" selected="0">
            <x v="7"/>
          </reference>
        </references>
      </pivotArea>
    </format>
    <format dxfId="8958">
      <pivotArea field="0" dataOnly="0" labelOnly="1" grandRow="1" outline="0" axis="axisRow" fieldPosition="0">
        <references count="1">
          <reference field="4294967294" count="1" selected="0">
            <x v="8"/>
          </reference>
        </references>
      </pivotArea>
    </format>
    <format dxfId="8957">
      <pivotArea field="0" dataOnly="0" labelOnly="1" grandRow="1" outline="0" axis="axisRow" fieldPosition="0">
        <references count="1">
          <reference field="4294967294" count="1" selected="0">
            <x v="9"/>
          </reference>
        </references>
      </pivotArea>
    </format>
    <format dxfId="8956">
      <pivotArea field="0" dataOnly="0" labelOnly="1" grandRow="1" outline="0" axis="axisRow" fieldPosition="0">
        <references count="1">
          <reference field="4294967294" count="1" selected="0">
            <x v="10"/>
          </reference>
        </references>
      </pivotArea>
    </format>
    <format dxfId="8955">
      <pivotArea field="0" dataOnly="0" labelOnly="1" grandRow="1" outline="0" axis="axisRow" fieldPosition="0">
        <references count="1">
          <reference field="4294967294" count="1" selected="0">
            <x v="11"/>
          </reference>
        </references>
      </pivotArea>
    </format>
    <format dxfId="8954">
      <pivotArea field="0" dataOnly="0" labelOnly="1" grandRow="1" outline="0" axis="axisRow" fieldPosition="0">
        <references count="1">
          <reference field="4294967294" count="1" selected="0">
            <x v="12"/>
          </reference>
        </references>
      </pivotArea>
    </format>
    <format dxfId="8953">
      <pivotArea field="0" dataOnly="0" labelOnly="1" grandRow="1" outline="0" axis="axisRow" fieldPosition="0">
        <references count="1">
          <reference field="4294967294" count="1" selected="0">
            <x v="13"/>
          </reference>
        </references>
      </pivotArea>
    </format>
    <format dxfId="8952">
      <pivotArea field="0" dataOnly="0" labelOnly="1" grandRow="1" outline="0" axis="axisRow" fieldPosition="0">
        <references count="1">
          <reference field="4294967294" count="1" selected="0">
            <x v="14"/>
          </reference>
        </references>
      </pivotArea>
    </format>
    <format dxfId="8951">
      <pivotArea field="0" dataOnly="0" labelOnly="1" grandRow="1" outline="0" axis="axisRow" fieldPosition="0">
        <references count="1">
          <reference field="4294967294" count="1" selected="0">
            <x v="15"/>
          </reference>
        </references>
      </pivotArea>
    </format>
    <format dxfId="8950">
      <pivotArea field="0" dataOnly="0" labelOnly="1" grandRow="1" outline="0" axis="axisRow" fieldPosition="0">
        <references count="1">
          <reference field="4294967294" count="1" selected="0">
            <x v="16"/>
          </reference>
        </references>
      </pivotArea>
    </format>
    <format dxfId="8949">
      <pivotArea field="0" dataOnly="0" labelOnly="1" grandRow="1" outline="0" axis="axisRow" fieldPosition="0">
        <references count="1">
          <reference field="4294967294" count="1" selected="0">
            <x v="17"/>
          </reference>
        </references>
      </pivotArea>
    </format>
    <format dxfId="8948">
      <pivotArea field="0" dataOnly="0" labelOnly="1" grandRow="1" outline="0" axis="axisRow" fieldPosition="0">
        <references count="1">
          <reference field="4294967294" count="1" selected="0">
            <x v="18"/>
          </reference>
        </references>
      </pivotArea>
    </format>
    <format dxfId="8947">
      <pivotArea field="0" dataOnly="0" labelOnly="1" grandRow="1" outline="0" axis="axisRow" fieldPosition="0">
        <references count="1">
          <reference field="4294967294" count="1" selected="0">
            <x v="19"/>
          </reference>
        </references>
      </pivotArea>
    </format>
    <format dxfId="8946">
      <pivotArea field="0" dataOnly="0" labelOnly="1" grandRow="1" outline="0" axis="axisRow" fieldPosition="0">
        <references count="1">
          <reference field="4294967294" count="1" selected="0">
            <x v="20"/>
          </reference>
        </references>
      </pivotArea>
    </format>
    <format dxfId="8945">
      <pivotArea field="0" dataOnly="0" labelOnly="1" grandRow="1" outline="0" axis="axisRow" fieldPosition="0">
        <references count="1">
          <reference field="4294967294" count="1" selected="0">
            <x v="21"/>
          </reference>
        </references>
      </pivotArea>
    </format>
    <format dxfId="8944">
      <pivotArea field="0" dataOnly="0" labelOnly="1" grandRow="1" outline="0" axis="axisRow" fieldPosition="0">
        <references count="1">
          <reference field="4294967294" count="1" selected="0">
            <x v="22"/>
          </reference>
        </references>
      </pivotArea>
    </format>
    <format dxfId="8943">
      <pivotArea field="0" dataOnly="0" labelOnly="1" grandRow="1" outline="0" axis="axisRow" fieldPosition="0">
        <references count="1">
          <reference field="4294967294" count="1" selected="0">
            <x v="23"/>
          </reference>
        </references>
      </pivotArea>
    </format>
    <format dxfId="8942">
      <pivotArea field="0" dataOnly="0" labelOnly="1" grandRow="1" outline="0" axis="axisRow" fieldPosition="0">
        <references count="1">
          <reference field="4294967294" count="1" selected="0">
            <x v="24"/>
          </reference>
        </references>
      </pivotArea>
    </format>
    <format dxfId="8941">
      <pivotArea field="0" dataOnly="0" labelOnly="1" grandRow="1" outline="0" axis="axisRow" fieldPosition="0">
        <references count="1">
          <reference field="4294967294" count="1" selected="0">
            <x v="25"/>
          </reference>
        </references>
      </pivotArea>
    </format>
    <format dxfId="8940">
      <pivotArea field="0" dataOnly="0" labelOnly="1" grandRow="1" outline="0" axis="axisRow" fieldPosition="0">
        <references count="1">
          <reference field="4294967294" count="1" selected="0">
            <x v="26"/>
          </reference>
        </references>
      </pivotArea>
    </format>
    <format dxfId="8939">
      <pivotArea field="0" dataOnly="0" labelOnly="1" grandRow="1" outline="0" axis="axisRow" fieldPosition="0">
        <references count="1">
          <reference field="4294967294" count="1" selected="0">
            <x v="27"/>
          </reference>
        </references>
      </pivotArea>
    </format>
    <format dxfId="8938">
      <pivotArea field="0" dataOnly="0" labelOnly="1" grandRow="1" outline="0" axis="axisRow" fieldPosition="0">
        <references count="1">
          <reference field="4294967294" count="1" selected="0">
            <x v="28"/>
          </reference>
        </references>
      </pivotArea>
    </format>
    <format dxfId="8937">
      <pivotArea field="0" dataOnly="0" labelOnly="1" grandRow="1" outline="0" axis="axisRow" fieldPosition="0">
        <references count="1">
          <reference field="4294967294" count="1" selected="0">
            <x v="29"/>
          </reference>
        </references>
      </pivotArea>
    </format>
    <format dxfId="8936">
      <pivotArea field="0" dataOnly="0" labelOnly="1" grandRow="1" outline="0" axis="axisRow" fieldPosition="0">
        <references count="1">
          <reference field="4294967294" count="1" selected="0">
            <x v="30"/>
          </reference>
        </references>
      </pivotArea>
    </format>
    <format dxfId="8935">
      <pivotArea field="0" dataOnly="0" labelOnly="1" grandRow="1" outline="0" axis="axisRow" fieldPosition="0">
        <references count="1">
          <reference field="4294967294" count="1" selected="0">
            <x v="31"/>
          </reference>
        </references>
      </pivotArea>
    </format>
    <format dxfId="8934">
      <pivotArea field="0" dataOnly="0" labelOnly="1" grandRow="1" outline="0" axis="axisRow" fieldPosition="0">
        <references count="1">
          <reference field="4294967294" count="1" selected="0">
            <x v="32"/>
          </reference>
        </references>
      </pivotArea>
    </format>
    <format dxfId="8933">
      <pivotArea field="0" dataOnly="0" labelOnly="1" grandRow="1" outline="0" axis="axisRow" fieldPosition="0">
        <references count="1">
          <reference field="4294967294" count="1" selected="0">
            <x v="33"/>
          </reference>
        </references>
      </pivotArea>
    </format>
    <format dxfId="8932">
      <pivotArea field="0" dataOnly="0" labelOnly="1" grandRow="1" outline="0" axis="axisRow" fieldPosition="0">
        <references count="1">
          <reference field="4294967294" count="1" selected="0">
            <x v="34"/>
          </reference>
        </references>
      </pivotArea>
    </format>
    <format dxfId="8931">
      <pivotArea field="0" dataOnly="0" labelOnly="1" grandRow="1" outline="0" axis="axisRow" fieldPosition="0">
        <references count="1">
          <reference field="4294967294" count="1" selected="0">
            <x v="35"/>
          </reference>
        </references>
      </pivotArea>
    </format>
    <format dxfId="8930">
      <pivotArea field="0" dataOnly="0" labelOnly="1" grandRow="1" outline="0" axis="axisRow" fieldPosition="0">
        <references count="1">
          <reference field="4294967294" count="1" selected="0">
            <x v="0"/>
          </reference>
        </references>
      </pivotArea>
    </format>
    <format dxfId="8929">
      <pivotArea field="0" dataOnly="0" labelOnly="1" grandRow="1" outline="0" axis="axisRow" fieldPosition="0">
        <references count="1">
          <reference field="4294967294" count="1" selected="0">
            <x v="1"/>
          </reference>
        </references>
      </pivotArea>
    </format>
    <format dxfId="8928">
      <pivotArea field="0" dataOnly="0" labelOnly="1" grandRow="1" outline="0" axis="axisRow" fieldPosition="0">
        <references count="1">
          <reference field="4294967294" count="1" selected="0">
            <x v="2"/>
          </reference>
        </references>
      </pivotArea>
    </format>
    <format dxfId="8927">
      <pivotArea field="0" dataOnly="0" labelOnly="1" grandRow="1" outline="0" axis="axisRow" fieldPosition="0">
        <references count="1">
          <reference field="4294967294" count="1" selected="0">
            <x v="3"/>
          </reference>
        </references>
      </pivotArea>
    </format>
    <format dxfId="8926">
      <pivotArea field="0" dataOnly="0" labelOnly="1" grandRow="1" outline="0" axis="axisRow" fieldPosition="0">
        <references count="1">
          <reference field="4294967294" count="1" selected="0">
            <x v="4"/>
          </reference>
        </references>
      </pivotArea>
    </format>
    <format dxfId="8925">
      <pivotArea field="0" dataOnly="0" labelOnly="1" grandRow="1" outline="0" axis="axisRow" fieldPosition="0">
        <references count="1">
          <reference field="4294967294" count="1" selected="0">
            <x v="5"/>
          </reference>
        </references>
      </pivotArea>
    </format>
    <format dxfId="8924">
      <pivotArea field="0" dataOnly="0" labelOnly="1" grandRow="1" outline="0" axis="axisRow" fieldPosition="0">
        <references count="1">
          <reference field="4294967294" count="1" selected="0">
            <x v="6"/>
          </reference>
        </references>
      </pivotArea>
    </format>
    <format dxfId="8923">
      <pivotArea field="0" dataOnly="0" labelOnly="1" grandRow="1" outline="0" axis="axisRow" fieldPosition="0">
        <references count="1">
          <reference field="4294967294" count="1" selected="0">
            <x v="7"/>
          </reference>
        </references>
      </pivotArea>
    </format>
    <format dxfId="8922">
      <pivotArea field="0" dataOnly="0" labelOnly="1" grandRow="1" outline="0" axis="axisRow" fieldPosition="0">
        <references count="1">
          <reference field="4294967294" count="1" selected="0">
            <x v="8"/>
          </reference>
        </references>
      </pivotArea>
    </format>
    <format dxfId="8921">
      <pivotArea field="0" dataOnly="0" labelOnly="1" grandRow="1" outline="0" axis="axisRow" fieldPosition="0">
        <references count="1">
          <reference field="4294967294" count="1" selected="0">
            <x v="9"/>
          </reference>
        </references>
      </pivotArea>
    </format>
    <format dxfId="8920">
      <pivotArea field="0" dataOnly="0" labelOnly="1" grandRow="1" outline="0" axis="axisRow" fieldPosition="0">
        <references count="1">
          <reference field="4294967294" count="1" selected="0">
            <x v="10"/>
          </reference>
        </references>
      </pivotArea>
    </format>
    <format dxfId="8919">
      <pivotArea field="0" dataOnly="0" labelOnly="1" grandRow="1" outline="0" axis="axisRow" fieldPosition="0">
        <references count="1">
          <reference field="4294967294" count="1" selected="0">
            <x v="11"/>
          </reference>
        </references>
      </pivotArea>
    </format>
    <format dxfId="8918">
      <pivotArea field="0" dataOnly="0" labelOnly="1" grandRow="1" outline="0" axis="axisRow" fieldPosition="0">
        <references count="1">
          <reference field="4294967294" count="1" selected="0">
            <x v="12"/>
          </reference>
        </references>
      </pivotArea>
    </format>
    <format dxfId="8917">
      <pivotArea field="0" dataOnly="0" labelOnly="1" grandRow="1" outline="0" axis="axisRow" fieldPosition="0">
        <references count="1">
          <reference field="4294967294" count="1" selected="0">
            <x v="13"/>
          </reference>
        </references>
      </pivotArea>
    </format>
    <format dxfId="8916">
      <pivotArea field="0" dataOnly="0" labelOnly="1" grandRow="1" outline="0" axis="axisRow" fieldPosition="0">
        <references count="1">
          <reference field="4294967294" count="1" selected="0">
            <x v="14"/>
          </reference>
        </references>
      </pivotArea>
    </format>
    <format dxfId="8915">
      <pivotArea field="0" dataOnly="0" labelOnly="1" grandRow="1" outline="0" axis="axisRow" fieldPosition="0">
        <references count="1">
          <reference field="4294967294" count="1" selected="0">
            <x v="15"/>
          </reference>
        </references>
      </pivotArea>
    </format>
    <format dxfId="8914">
      <pivotArea field="0" dataOnly="0" labelOnly="1" grandRow="1" outline="0" axis="axisRow" fieldPosition="0">
        <references count="1">
          <reference field="4294967294" count="1" selected="0">
            <x v="16"/>
          </reference>
        </references>
      </pivotArea>
    </format>
    <format dxfId="8913">
      <pivotArea field="0" dataOnly="0" labelOnly="1" grandRow="1" outline="0" axis="axisRow" fieldPosition="0">
        <references count="1">
          <reference field="4294967294" count="1" selected="0">
            <x v="17"/>
          </reference>
        </references>
      </pivotArea>
    </format>
    <format dxfId="8912">
      <pivotArea field="0" dataOnly="0" labelOnly="1" grandRow="1" outline="0" axis="axisRow" fieldPosition="0">
        <references count="1">
          <reference field="4294967294" count="1" selected="0">
            <x v="18"/>
          </reference>
        </references>
      </pivotArea>
    </format>
    <format dxfId="8911">
      <pivotArea field="0" dataOnly="0" labelOnly="1" grandRow="1" outline="0" axis="axisRow" fieldPosition="0">
        <references count="1">
          <reference field="4294967294" count="1" selected="0">
            <x v="19"/>
          </reference>
        </references>
      </pivotArea>
    </format>
    <format dxfId="8910">
      <pivotArea field="0" dataOnly="0" labelOnly="1" grandRow="1" outline="0" axis="axisRow" fieldPosition="0">
        <references count="1">
          <reference field="4294967294" count="1" selected="0">
            <x v="20"/>
          </reference>
        </references>
      </pivotArea>
    </format>
    <format dxfId="8909">
      <pivotArea field="0" dataOnly="0" labelOnly="1" grandRow="1" outline="0" axis="axisRow" fieldPosition="0">
        <references count="1">
          <reference field="4294967294" count="1" selected="0">
            <x v="21"/>
          </reference>
        </references>
      </pivotArea>
    </format>
    <format dxfId="8908">
      <pivotArea field="0" dataOnly="0" labelOnly="1" grandRow="1" outline="0" axis="axisRow" fieldPosition="0">
        <references count="1">
          <reference field="4294967294" count="1" selected="0">
            <x v="22"/>
          </reference>
        </references>
      </pivotArea>
    </format>
    <format dxfId="8907">
      <pivotArea field="0" dataOnly="0" labelOnly="1" grandRow="1" outline="0" axis="axisRow" fieldPosition="0">
        <references count="1">
          <reference field="4294967294" count="1" selected="0">
            <x v="23"/>
          </reference>
        </references>
      </pivotArea>
    </format>
    <format dxfId="8906">
      <pivotArea field="0" dataOnly="0" labelOnly="1" grandRow="1" outline="0" axis="axisRow" fieldPosition="0">
        <references count="1">
          <reference field="4294967294" count="1" selected="0">
            <x v="24"/>
          </reference>
        </references>
      </pivotArea>
    </format>
    <format dxfId="8905">
      <pivotArea field="0" dataOnly="0" labelOnly="1" grandRow="1" outline="0" axis="axisRow" fieldPosition="0">
        <references count="1">
          <reference field="4294967294" count="1" selected="0">
            <x v="25"/>
          </reference>
        </references>
      </pivotArea>
    </format>
    <format dxfId="8904">
      <pivotArea field="0" dataOnly="0" labelOnly="1" grandRow="1" outline="0" axis="axisRow" fieldPosition="0">
        <references count="1">
          <reference field="4294967294" count="1" selected="0">
            <x v="26"/>
          </reference>
        </references>
      </pivotArea>
    </format>
    <format dxfId="8903">
      <pivotArea field="0" dataOnly="0" labelOnly="1" grandRow="1" outline="0" axis="axisRow" fieldPosition="0">
        <references count="1">
          <reference field="4294967294" count="1" selected="0">
            <x v="27"/>
          </reference>
        </references>
      </pivotArea>
    </format>
    <format dxfId="8902">
      <pivotArea field="0" dataOnly="0" labelOnly="1" grandRow="1" outline="0" axis="axisRow" fieldPosition="0">
        <references count="1">
          <reference field="4294967294" count="1" selected="0">
            <x v="28"/>
          </reference>
        </references>
      </pivotArea>
    </format>
    <format dxfId="8901">
      <pivotArea field="0" dataOnly="0" labelOnly="1" grandRow="1" outline="0" axis="axisRow" fieldPosition="0">
        <references count="1">
          <reference field="4294967294" count="1" selected="0">
            <x v="29"/>
          </reference>
        </references>
      </pivotArea>
    </format>
    <format dxfId="8900">
      <pivotArea field="0" dataOnly="0" labelOnly="1" grandRow="1" outline="0" axis="axisRow" fieldPosition="0">
        <references count="1">
          <reference field="4294967294" count="1" selected="0">
            <x v="30"/>
          </reference>
        </references>
      </pivotArea>
    </format>
    <format dxfId="8899">
      <pivotArea field="0" dataOnly="0" labelOnly="1" grandRow="1" outline="0" axis="axisRow" fieldPosition="0">
        <references count="1">
          <reference field="4294967294" count="1" selected="0">
            <x v="31"/>
          </reference>
        </references>
      </pivotArea>
    </format>
    <format dxfId="8898">
      <pivotArea field="0" dataOnly="0" labelOnly="1" grandRow="1" outline="0" axis="axisRow" fieldPosition="0">
        <references count="1">
          <reference field="4294967294" count="1" selected="0">
            <x v="32"/>
          </reference>
        </references>
      </pivotArea>
    </format>
    <format dxfId="8897">
      <pivotArea field="0" dataOnly="0" labelOnly="1" grandRow="1" outline="0" axis="axisRow" fieldPosition="0">
        <references count="1">
          <reference field="4294967294" count="1" selected="0">
            <x v="33"/>
          </reference>
        </references>
      </pivotArea>
    </format>
    <format dxfId="8896">
      <pivotArea field="0" dataOnly="0" labelOnly="1" grandRow="1" outline="0" axis="axisRow" fieldPosition="0">
        <references count="1">
          <reference field="4294967294" count="1" selected="0">
            <x v="34"/>
          </reference>
        </references>
      </pivotArea>
    </format>
    <format dxfId="8895">
      <pivotArea field="0" dataOnly="0" labelOnly="1" grandRow="1" outline="0" axis="axisRow" fieldPosition="0">
        <references count="1">
          <reference field="4294967294" count="1" selected="0">
            <x v="35"/>
          </reference>
        </references>
      </pivotArea>
    </format>
    <format dxfId="8894">
      <pivotArea field="0" dataOnly="0" labelOnly="1" grandRow="1" outline="0" axis="axisRow" fieldPosition="0">
        <references count="1">
          <reference field="4294967294" count="1" selected="0">
            <x v="0"/>
          </reference>
        </references>
      </pivotArea>
    </format>
    <format dxfId="8893">
      <pivotArea field="0" dataOnly="0" labelOnly="1" grandRow="1" outline="0" axis="axisRow" fieldPosition="0">
        <references count="1">
          <reference field="4294967294" count="1" selected="0">
            <x v="1"/>
          </reference>
        </references>
      </pivotArea>
    </format>
    <format dxfId="8892">
      <pivotArea field="0" dataOnly="0" labelOnly="1" grandRow="1" outline="0" axis="axisRow" fieldPosition="0">
        <references count="1">
          <reference field="4294967294" count="1" selected="0">
            <x v="2"/>
          </reference>
        </references>
      </pivotArea>
    </format>
    <format dxfId="8891">
      <pivotArea field="0" dataOnly="0" labelOnly="1" grandRow="1" outline="0" axis="axisRow" fieldPosition="0">
        <references count="1">
          <reference field="4294967294" count="1" selected="0">
            <x v="3"/>
          </reference>
        </references>
      </pivotArea>
    </format>
    <format dxfId="8890">
      <pivotArea field="0" dataOnly="0" labelOnly="1" grandRow="1" outline="0" axis="axisRow" fieldPosition="0">
        <references count="1">
          <reference field="4294967294" count="1" selected="0">
            <x v="4"/>
          </reference>
        </references>
      </pivotArea>
    </format>
    <format dxfId="8889">
      <pivotArea field="0" dataOnly="0" labelOnly="1" grandRow="1" outline="0" axis="axisRow" fieldPosition="0">
        <references count="1">
          <reference field="4294967294" count="1" selected="0">
            <x v="5"/>
          </reference>
        </references>
      </pivotArea>
    </format>
    <format dxfId="8888">
      <pivotArea field="0" dataOnly="0" labelOnly="1" grandRow="1" outline="0" axis="axisRow" fieldPosition="0">
        <references count="1">
          <reference field="4294967294" count="1" selected="0">
            <x v="6"/>
          </reference>
        </references>
      </pivotArea>
    </format>
    <format dxfId="8887">
      <pivotArea field="0" dataOnly="0" labelOnly="1" grandRow="1" outline="0" axis="axisRow" fieldPosition="0">
        <references count="1">
          <reference field="4294967294" count="1" selected="0">
            <x v="7"/>
          </reference>
        </references>
      </pivotArea>
    </format>
    <format dxfId="8886">
      <pivotArea field="0" dataOnly="0" labelOnly="1" grandRow="1" outline="0" axis="axisRow" fieldPosition="0">
        <references count="1">
          <reference field="4294967294" count="1" selected="0">
            <x v="8"/>
          </reference>
        </references>
      </pivotArea>
    </format>
    <format dxfId="8885">
      <pivotArea field="0" dataOnly="0" labelOnly="1" grandRow="1" outline="0" axis="axisRow" fieldPosition="0">
        <references count="1">
          <reference field="4294967294" count="1" selected="0">
            <x v="9"/>
          </reference>
        </references>
      </pivotArea>
    </format>
    <format dxfId="8884">
      <pivotArea field="0" dataOnly="0" labelOnly="1" grandRow="1" outline="0" axis="axisRow" fieldPosition="0">
        <references count="1">
          <reference field="4294967294" count="1" selected="0">
            <x v="10"/>
          </reference>
        </references>
      </pivotArea>
    </format>
    <format dxfId="8883">
      <pivotArea field="0" dataOnly="0" labelOnly="1" grandRow="1" outline="0" axis="axisRow" fieldPosition="0">
        <references count="1">
          <reference field="4294967294" count="1" selected="0">
            <x v="11"/>
          </reference>
        </references>
      </pivotArea>
    </format>
    <format dxfId="8882">
      <pivotArea field="0" dataOnly="0" labelOnly="1" grandRow="1" outline="0" axis="axisRow" fieldPosition="0">
        <references count="1">
          <reference field="4294967294" count="1" selected="0">
            <x v="12"/>
          </reference>
        </references>
      </pivotArea>
    </format>
    <format dxfId="8881">
      <pivotArea field="0" dataOnly="0" labelOnly="1" grandRow="1" outline="0" axis="axisRow" fieldPosition="0">
        <references count="1">
          <reference field="4294967294" count="1" selected="0">
            <x v="13"/>
          </reference>
        </references>
      </pivotArea>
    </format>
    <format dxfId="8880">
      <pivotArea field="0" dataOnly="0" labelOnly="1" grandRow="1" outline="0" axis="axisRow" fieldPosition="0">
        <references count="1">
          <reference field="4294967294" count="1" selected="0">
            <x v="14"/>
          </reference>
        </references>
      </pivotArea>
    </format>
    <format dxfId="8879">
      <pivotArea field="0" dataOnly="0" labelOnly="1" grandRow="1" outline="0" axis="axisRow" fieldPosition="0">
        <references count="1">
          <reference field="4294967294" count="1" selected="0">
            <x v="15"/>
          </reference>
        </references>
      </pivotArea>
    </format>
    <format dxfId="8878">
      <pivotArea field="0" dataOnly="0" labelOnly="1" grandRow="1" outline="0" axis="axisRow" fieldPosition="0">
        <references count="1">
          <reference field="4294967294" count="1" selected="0">
            <x v="16"/>
          </reference>
        </references>
      </pivotArea>
    </format>
    <format dxfId="8877">
      <pivotArea field="0" dataOnly="0" labelOnly="1" grandRow="1" outline="0" axis="axisRow" fieldPosition="0">
        <references count="1">
          <reference field="4294967294" count="1" selected="0">
            <x v="17"/>
          </reference>
        </references>
      </pivotArea>
    </format>
    <format dxfId="8876">
      <pivotArea field="0" dataOnly="0" labelOnly="1" grandRow="1" outline="0" axis="axisRow" fieldPosition="0">
        <references count="1">
          <reference field="4294967294" count="1" selected="0">
            <x v="18"/>
          </reference>
        </references>
      </pivotArea>
    </format>
    <format dxfId="8875">
      <pivotArea field="0" dataOnly="0" labelOnly="1" grandRow="1" outline="0" axis="axisRow" fieldPosition="0">
        <references count="1">
          <reference field="4294967294" count="1" selected="0">
            <x v="19"/>
          </reference>
        </references>
      </pivotArea>
    </format>
    <format dxfId="8874">
      <pivotArea field="0" dataOnly="0" labelOnly="1" grandRow="1" outline="0" axis="axisRow" fieldPosition="0">
        <references count="1">
          <reference field="4294967294" count="1" selected="0">
            <x v="20"/>
          </reference>
        </references>
      </pivotArea>
    </format>
    <format dxfId="8873">
      <pivotArea field="0" dataOnly="0" labelOnly="1" grandRow="1" outline="0" axis="axisRow" fieldPosition="0">
        <references count="1">
          <reference field="4294967294" count="1" selected="0">
            <x v="21"/>
          </reference>
        </references>
      </pivotArea>
    </format>
    <format dxfId="8872">
      <pivotArea field="0" dataOnly="0" labelOnly="1" grandRow="1" outline="0" axis="axisRow" fieldPosition="0">
        <references count="1">
          <reference field="4294967294" count="1" selected="0">
            <x v="22"/>
          </reference>
        </references>
      </pivotArea>
    </format>
    <format dxfId="8871">
      <pivotArea field="0" dataOnly="0" labelOnly="1" grandRow="1" outline="0" axis="axisRow" fieldPosition="0">
        <references count="1">
          <reference field="4294967294" count="1" selected="0">
            <x v="23"/>
          </reference>
        </references>
      </pivotArea>
    </format>
    <format dxfId="8870">
      <pivotArea field="0" dataOnly="0" labelOnly="1" grandRow="1" outline="0" axis="axisRow" fieldPosition="0">
        <references count="1">
          <reference field="4294967294" count="1" selected="0">
            <x v="24"/>
          </reference>
        </references>
      </pivotArea>
    </format>
    <format dxfId="8869">
      <pivotArea field="0" dataOnly="0" labelOnly="1" grandRow="1" outline="0" axis="axisRow" fieldPosition="0">
        <references count="1">
          <reference field="4294967294" count="1" selected="0">
            <x v="25"/>
          </reference>
        </references>
      </pivotArea>
    </format>
    <format dxfId="8868">
      <pivotArea field="0" dataOnly="0" labelOnly="1" grandRow="1" outline="0" axis="axisRow" fieldPosition="0">
        <references count="1">
          <reference field="4294967294" count="1" selected="0">
            <x v="26"/>
          </reference>
        </references>
      </pivotArea>
    </format>
    <format dxfId="8867">
      <pivotArea field="0" dataOnly="0" labelOnly="1" grandRow="1" outline="0" axis="axisRow" fieldPosition="0">
        <references count="1">
          <reference field="4294967294" count="1" selected="0">
            <x v="27"/>
          </reference>
        </references>
      </pivotArea>
    </format>
    <format dxfId="8866">
      <pivotArea field="0" dataOnly="0" labelOnly="1" grandRow="1" outline="0" axis="axisRow" fieldPosition="0">
        <references count="1">
          <reference field="4294967294" count="1" selected="0">
            <x v="28"/>
          </reference>
        </references>
      </pivotArea>
    </format>
    <format dxfId="8865">
      <pivotArea field="0" dataOnly="0" labelOnly="1" grandRow="1" outline="0" axis="axisRow" fieldPosition="0">
        <references count="1">
          <reference field="4294967294" count="1" selected="0">
            <x v="29"/>
          </reference>
        </references>
      </pivotArea>
    </format>
    <format dxfId="8864">
      <pivotArea field="0" dataOnly="0" labelOnly="1" grandRow="1" outline="0" axis="axisRow" fieldPosition="0">
        <references count="1">
          <reference field="4294967294" count="1" selected="0">
            <x v="30"/>
          </reference>
        </references>
      </pivotArea>
    </format>
    <format dxfId="8863">
      <pivotArea field="0" dataOnly="0" labelOnly="1" grandRow="1" outline="0" axis="axisRow" fieldPosition="0">
        <references count="1">
          <reference field="4294967294" count="1" selected="0">
            <x v="31"/>
          </reference>
        </references>
      </pivotArea>
    </format>
    <format dxfId="8862">
      <pivotArea field="0" dataOnly="0" labelOnly="1" grandRow="1" outline="0" axis="axisRow" fieldPosition="0">
        <references count="1">
          <reference field="4294967294" count="1" selected="0">
            <x v="32"/>
          </reference>
        </references>
      </pivotArea>
    </format>
    <format dxfId="8861">
      <pivotArea field="0" dataOnly="0" labelOnly="1" grandRow="1" outline="0" axis="axisRow" fieldPosition="0">
        <references count="1">
          <reference field="4294967294" count="1" selected="0">
            <x v="33"/>
          </reference>
        </references>
      </pivotArea>
    </format>
    <format dxfId="8860">
      <pivotArea field="0" dataOnly="0" labelOnly="1" grandRow="1" outline="0" axis="axisRow" fieldPosition="0">
        <references count="1">
          <reference field="4294967294" count="1" selected="0">
            <x v="34"/>
          </reference>
        </references>
      </pivotArea>
    </format>
    <format dxfId="8859">
      <pivotArea field="0" dataOnly="0" labelOnly="1" grandRow="1" outline="0" axis="axisRow" fieldPosition="0">
        <references count="1">
          <reference field="4294967294" count="1" selected="0">
            <x v="35"/>
          </reference>
        </references>
      </pivotArea>
    </format>
    <format dxfId="8858">
      <pivotArea field="0" dataOnly="0" labelOnly="1" grandRow="1" outline="0" axis="axisRow" fieldPosition="0">
        <references count="1">
          <reference field="4294967294" count="1" selected="0">
            <x v="0"/>
          </reference>
        </references>
      </pivotArea>
    </format>
    <format dxfId="8857">
      <pivotArea field="0" dataOnly="0" labelOnly="1" grandRow="1" outline="0" axis="axisRow" fieldPosition="0">
        <references count="1">
          <reference field="4294967294" count="1" selected="0">
            <x v="1"/>
          </reference>
        </references>
      </pivotArea>
    </format>
    <format dxfId="8856">
      <pivotArea field="0" dataOnly="0" labelOnly="1" grandRow="1" outline="0" axis="axisRow" fieldPosition="0">
        <references count="1">
          <reference field="4294967294" count="1" selected="0">
            <x v="2"/>
          </reference>
        </references>
      </pivotArea>
    </format>
    <format dxfId="8855">
      <pivotArea field="0" dataOnly="0" labelOnly="1" grandRow="1" outline="0" axis="axisRow" fieldPosition="0">
        <references count="1">
          <reference field="4294967294" count="1" selected="0">
            <x v="3"/>
          </reference>
        </references>
      </pivotArea>
    </format>
    <format dxfId="8854">
      <pivotArea field="0" dataOnly="0" labelOnly="1" grandRow="1" outline="0" axis="axisRow" fieldPosition="0">
        <references count="1">
          <reference field="4294967294" count="1" selected="0">
            <x v="4"/>
          </reference>
        </references>
      </pivotArea>
    </format>
    <format dxfId="8853">
      <pivotArea field="0" dataOnly="0" labelOnly="1" grandRow="1" outline="0" axis="axisRow" fieldPosition="0">
        <references count="1">
          <reference field="4294967294" count="1" selected="0">
            <x v="5"/>
          </reference>
        </references>
      </pivotArea>
    </format>
    <format dxfId="8852">
      <pivotArea field="0" dataOnly="0" labelOnly="1" grandRow="1" outline="0" axis="axisRow" fieldPosition="0">
        <references count="1">
          <reference field="4294967294" count="1" selected="0">
            <x v="6"/>
          </reference>
        </references>
      </pivotArea>
    </format>
    <format dxfId="8851">
      <pivotArea field="0" dataOnly="0" labelOnly="1" grandRow="1" outline="0" axis="axisRow" fieldPosition="0">
        <references count="1">
          <reference field="4294967294" count="1" selected="0">
            <x v="7"/>
          </reference>
        </references>
      </pivotArea>
    </format>
    <format dxfId="8850">
      <pivotArea field="0" dataOnly="0" labelOnly="1" grandRow="1" outline="0" axis="axisRow" fieldPosition="0">
        <references count="1">
          <reference field="4294967294" count="1" selected="0">
            <x v="8"/>
          </reference>
        </references>
      </pivotArea>
    </format>
    <format dxfId="8849">
      <pivotArea field="0" dataOnly="0" labelOnly="1" grandRow="1" outline="0" axis="axisRow" fieldPosition="0">
        <references count="1">
          <reference field="4294967294" count="1" selected="0">
            <x v="9"/>
          </reference>
        </references>
      </pivotArea>
    </format>
    <format dxfId="8848">
      <pivotArea field="0" dataOnly="0" labelOnly="1" grandRow="1" outline="0" axis="axisRow" fieldPosition="0">
        <references count="1">
          <reference field="4294967294" count="1" selected="0">
            <x v="10"/>
          </reference>
        </references>
      </pivotArea>
    </format>
    <format dxfId="8847">
      <pivotArea field="0" dataOnly="0" labelOnly="1" grandRow="1" outline="0" axis="axisRow" fieldPosition="0">
        <references count="1">
          <reference field="4294967294" count="1" selected="0">
            <x v="11"/>
          </reference>
        </references>
      </pivotArea>
    </format>
    <format dxfId="8846">
      <pivotArea field="0" dataOnly="0" labelOnly="1" grandRow="1" outline="0" axis="axisRow" fieldPosition="0">
        <references count="1">
          <reference field="4294967294" count="1" selected="0">
            <x v="12"/>
          </reference>
        </references>
      </pivotArea>
    </format>
    <format dxfId="8845">
      <pivotArea field="0" dataOnly="0" labelOnly="1" grandRow="1" outline="0" axis="axisRow" fieldPosition="0">
        <references count="1">
          <reference field="4294967294" count="1" selected="0">
            <x v="13"/>
          </reference>
        </references>
      </pivotArea>
    </format>
    <format dxfId="8844">
      <pivotArea field="0" dataOnly="0" labelOnly="1" grandRow="1" outline="0" axis="axisRow" fieldPosition="0">
        <references count="1">
          <reference field="4294967294" count="1" selected="0">
            <x v="14"/>
          </reference>
        </references>
      </pivotArea>
    </format>
    <format dxfId="8843">
      <pivotArea field="0" dataOnly="0" labelOnly="1" grandRow="1" outline="0" axis="axisRow" fieldPosition="0">
        <references count="1">
          <reference field="4294967294" count="1" selected="0">
            <x v="15"/>
          </reference>
        </references>
      </pivotArea>
    </format>
    <format dxfId="8842">
      <pivotArea field="0" dataOnly="0" labelOnly="1" grandRow="1" outline="0" axis="axisRow" fieldPosition="0">
        <references count="1">
          <reference field="4294967294" count="1" selected="0">
            <x v="16"/>
          </reference>
        </references>
      </pivotArea>
    </format>
    <format dxfId="8841">
      <pivotArea field="0" dataOnly="0" labelOnly="1" grandRow="1" outline="0" axis="axisRow" fieldPosition="0">
        <references count="1">
          <reference field="4294967294" count="1" selected="0">
            <x v="17"/>
          </reference>
        </references>
      </pivotArea>
    </format>
    <format dxfId="8840">
      <pivotArea field="0" dataOnly="0" labelOnly="1" grandRow="1" outline="0" axis="axisRow" fieldPosition="0">
        <references count="1">
          <reference field="4294967294" count="1" selected="0">
            <x v="18"/>
          </reference>
        </references>
      </pivotArea>
    </format>
    <format dxfId="8839">
      <pivotArea field="0" dataOnly="0" labelOnly="1" grandRow="1" outline="0" axis="axisRow" fieldPosition="0">
        <references count="1">
          <reference field="4294967294" count="1" selected="0">
            <x v="19"/>
          </reference>
        </references>
      </pivotArea>
    </format>
    <format dxfId="8838">
      <pivotArea field="0" dataOnly="0" labelOnly="1" grandRow="1" outline="0" axis="axisRow" fieldPosition="0">
        <references count="1">
          <reference field="4294967294" count="1" selected="0">
            <x v="20"/>
          </reference>
        </references>
      </pivotArea>
    </format>
    <format dxfId="8837">
      <pivotArea field="0" dataOnly="0" labelOnly="1" grandRow="1" outline="0" axis="axisRow" fieldPosition="0">
        <references count="1">
          <reference field="4294967294" count="1" selected="0">
            <x v="21"/>
          </reference>
        </references>
      </pivotArea>
    </format>
    <format dxfId="8836">
      <pivotArea field="0" dataOnly="0" labelOnly="1" grandRow="1" outline="0" axis="axisRow" fieldPosition="0">
        <references count="1">
          <reference field="4294967294" count="1" selected="0">
            <x v="22"/>
          </reference>
        </references>
      </pivotArea>
    </format>
    <format dxfId="8835">
      <pivotArea field="0" dataOnly="0" labelOnly="1" grandRow="1" outline="0" axis="axisRow" fieldPosition="0">
        <references count="1">
          <reference field="4294967294" count="1" selected="0">
            <x v="23"/>
          </reference>
        </references>
      </pivotArea>
    </format>
    <format dxfId="8834">
      <pivotArea field="0" dataOnly="0" labelOnly="1" grandRow="1" outline="0" axis="axisRow" fieldPosition="0">
        <references count="1">
          <reference field="4294967294" count="1" selected="0">
            <x v="24"/>
          </reference>
        </references>
      </pivotArea>
    </format>
    <format dxfId="8833">
      <pivotArea field="0" dataOnly="0" labelOnly="1" grandRow="1" outline="0" axis="axisRow" fieldPosition="0">
        <references count="1">
          <reference field="4294967294" count="1" selected="0">
            <x v="25"/>
          </reference>
        </references>
      </pivotArea>
    </format>
    <format dxfId="8832">
      <pivotArea field="0" dataOnly="0" labelOnly="1" grandRow="1" outline="0" axis="axisRow" fieldPosition="0">
        <references count="1">
          <reference field="4294967294" count="1" selected="0">
            <x v="26"/>
          </reference>
        </references>
      </pivotArea>
    </format>
    <format dxfId="8831">
      <pivotArea field="0" dataOnly="0" labelOnly="1" grandRow="1" outline="0" axis="axisRow" fieldPosition="0">
        <references count="1">
          <reference field="4294967294" count="1" selected="0">
            <x v="27"/>
          </reference>
        </references>
      </pivotArea>
    </format>
    <format dxfId="8830">
      <pivotArea field="0" dataOnly="0" labelOnly="1" grandRow="1" outline="0" axis="axisRow" fieldPosition="0">
        <references count="1">
          <reference field="4294967294" count="1" selected="0">
            <x v="28"/>
          </reference>
        </references>
      </pivotArea>
    </format>
    <format dxfId="8829">
      <pivotArea field="0" dataOnly="0" labelOnly="1" grandRow="1" outline="0" axis="axisRow" fieldPosition="0">
        <references count="1">
          <reference field="4294967294" count="1" selected="0">
            <x v="29"/>
          </reference>
        </references>
      </pivotArea>
    </format>
    <format dxfId="8828">
      <pivotArea field="0" dataOnly="0" labelOnly="1" grandRow="1" outline="0" axis="axisRow" fieldPosition="0">
        <references count="1">
          <reference field="4294967294" count="1" selected="0">
            <x v="30"/>
          </reference>
        </references>
      </pivotArea>
    </format>
    <format dxfId="8827">
      <pivotArea field="0" dataOnly="0" labelOnly="1" grandRow="1" outline="0" axis="axisRow" fieldPosition="0">
        <references count="1">
          <reference field="4294967294" count="1" selected="0">
            <x v="31"/>
          </reference>
        </references>
      </pivotArea>
    </format>
    <format dxfId="8826">
      <pivotArea field="0" dataOnly="0" labelOnly="1" grandRow="1" outline="0" axis="axisRow" fieldPosition="0">
        <references count="1">
          <reference field="4294967294" count="1" selected="0">
            <x v="32"/>
          </reference>
        </references>
      </pivotArea>
    </format>
    <format dxfId="8825">
      <pivotArea field="0" dataOnly="0" labelOnly="1" grandRow="1" outline="0" axis="axisRow" fieldPosition="0">
        <references count="1">
          <reference field="4294967294" count="1" selected="0">
            <x v="33"/>
          </reference>
        </references>
      </pivotArea>
    </format>
    <format dxfId="8824">
      <pivotArea field="0" dataOnly="0" labelOnly="1" grandRow="1" outline="0" axis="axisRow" fieldPosition="0">
        <references count="1">
          <reference field="4294967294" count="1" selected="0">
            <x v="34"/>
          </reference>
        </references>
      </pivotArea>
    </format>
    <format dxfId="8823">
      <pivotArea field="0" dataOnly="0" labelOnly="1" grandRow="1" outline="0" axis="axisRow" fieldPosition="0">
        <references count="1">
          <reference field="4294967294" count="1" selected="0">
            <x v="35"/>
          </reference>
        </references>
      </pivotArea>
    </format>
    <format dxfId="8822">
      <pivotArea field="0" dataOnly="0" labelOnly="1" grandRow="1" outline="0" axis="axisRow" fieldPosition="0">
        <references count="1">
          <reference field="4294967294" count="1" selected="0">
            <x v="0"/>
          </reference>
        </references>
      </pivotArea>
    </format>
    <format dxfId="8821">
      <pivotArea field="0" dataOnly="0" labelOnly="1" grandRow="1" outline="0" axis="axisRow" fieldPosition="0">
        <references count="1">
          <reference field="4294967294" count="1" selected="0">
            <x v="1"/>
          </reference>
        </references>
      </pivotArea>
    </format>
    <format dxfId="8820">
      <pivotArea field="0" dataOnly="0" labelOnly="1" grandRow="1" outline="0" axis="axisRow" fieldPosition="0">
        <references count="1">
          <reference field="4294967294" count="1" selected="0">
            <x v="2"/>
          </reference>
        </references>
      </pivotArea>
    </format>
    <format dxfId="8819">
      <pivotArea field="0" dataOnly="0" labelOnly="1" grandRow="1" outline="0" axis="axisRow" fieldPosition="0">
        <references count="1">
          <reference field="4294967294" count="1" selected="0">
            <x v="3"/>
          </reference>
        </references>
      </pivotArea>
    </format>
    <format dxfId="8818">
      <pivotArea field="0" dataOnly="0" labelOnly="1" grandRow="1" outline="0" axis="axisRow" fieldPosition="0">
        <references count="1">
          <reference field="4294967294" count="1" selected="0">
            <x v="4"/>
          </reference>
        </references>
      </pivotArea>
    </format>
    <format dxfId="8817">
      <pivotArea field="0" dataOnly="0" labelOnly="1" grandRow="1" outline="0" axis="axisRow" fieldPosition="0">
        <references count="1">
          <reference field="4294967294" count="1" selected="0">
            <x v="5"/>
          </reference>
        </references>
      </pivotArea>
    </format>
    <format dxfId="8816">
      <pivotArea field="0" dataOnly="0" labelOnly="1" grandRow="1" outline="0" axis="axisRow" fieldPosition="0">
        <references count="1">
          <reference field="4294967294" count="1" selected="0">
            <x v="6"/>
          </reference>
        </references>
      </pivotArea>
    </format>
    <format dxfId="8815">
      <pivotArea field="0" dataOnly="0" labelOnly="1" grandRow="1" outline="0" axis="axisRow" fieldPosition="0">
        <references count="1">
          <reference field="4294967294" count="1" selected="0">
            <x v="7"/>
          </reference>
        </references>
      </pivotArea>
    </format>
    <format dxfId="8814">
      <pivotArea field="0" dataOnly="0" labelOnly="1" grandRow="1" outline="0" axis="axisRow" fieldPosition="0">
        <references count="1">
          <reference field="4294967294" count="1" selected="0">
            <x v="8"/>
          </reference>
        </references>
      </pivotArea>
    </format>
    <format dxfId="8813">
      <pivotArea field="0" dataOnly="0" labelOnly="1" grandRow="1" outline="0" axis="axisRow" fieldPosition="0">
        <references count="1">
          <reference field="4294967294" count="1" selected="0">
            <x v="9"/>
          </reference>
        </references>
      </pivotArea>
    </format>
    <format dxfId="8812">
      <pivotArea field="0" dataOnly="0" labelOnly="1" grandRow="1" outline="0" axis="axisRow" fieldPosition="0">
        <references count="1">
          <reference field="4294967294" count="1" selected="0">
            <x v="10"/>
          </reference>
        </references>
      </pivotArea>
    </format>
    <format dxfId="8811">
      <pivotArea field="0" dataOnly="0" labelOnly="1" grandRow="1" outline="0" axis="axisRow" fieldPosition="0">
        <references count="1">
          <reference field="4294967294" count="1" selected="0">
            <x v="11"/>
          </reference>
        </references>
      </pivotArea>
    </format>
    <format dxfId="8810">
      <pivotArea field="0" dataOnly="0" labelOnly="1" grandRow="1" outline="0" axis="axisRow" fieldPosition="0">
        <references count="1">
          <reference field="4294967294" count="1" selected="0">
            <x v="12"/>
          </reference>
        </references>
      </pivotArea>
    </format>
    <format dxfId="8809">
      <pivotArea field="0" dataOnly="0" labelOnly="1" grandRow="1" outline="0" axis="axisRow" fieldPosition="0">
        <references count="1">
          <reference field="4294967294" count="1" selected="0">
            <x v="13"/>
          </reference>
        </references>
      </pivotArea>
    </format>
    <format dxfId="8808">
      <pivotArea field="0" dataOnly="0" labelOnly="1" grandRow="1" outline="0" axis="axisRow" fieldPosition="0">
        <references count="1">
          <reference field="4294967294" count="1" selected="0">
            <x v="14"/>
          </reference>
        </references>
      </pivotArea>
    </format>
    <format dxfId="8807">
      <pivotArea field="0" dataOnly="0" labelOnly="1" grandRow="1" outline="0" axis="axisRow" fieldPosition="0">
        <references count="1">
          <reference field="4294967294" count="1" selected="0">
            <x v="15"/>
          </reference>
        </references>
      </pivotArea>
    </format>
    <format dxfId="8806">
      <pivotArea field="0" dataOnly="0" labelOnly="1" grandRow="1" outline="0" axis="axisRow" fieldPosition="0">
        <references count="1">
          <reference field="4294967294" count="1" selected="0">
            <x v="16"/>
          </reference>
        </references>
      </pivotArea>
    </format>
    <format dxfId="8805">
      <pivotArea field="0" dataOnly="0" labelOnly="1" grandRow="1" outline="0" axis="axisRow" fieldPosition="0">
        <references count="1">
          <reference field="4294967294" count="1" selected="0">
            <x v="17"/>
          </reference>
        </references>
      </pivotArea>
    </format>
    <format dxfId="8804">
      <pivotArea field="0" dataOnly="0" labelOnly="1" grandRow="1" outline="0" axis="axisRow" fieldPosition="0">
        <references count="1">
          <reference field="4294967294" count="1" selected="0">
            <x v="18"/>
          </reference>
        </references>
      </pivotArea>
    </format>
    <format dxfId="8803">
      <pivotArea field="0" dataOnly="0" labelOnly="1" grandRow="1" outline="0" axis="axisRow" fieldPosition="0">
        <references count="1">
          <reference field="4294967294" count="1" selected="0">
            <x v="19"/>
          </reference>
        </references>
      </pivotArea>
    </format>
    <format dxfId="8802">
      <pivotArea field="0" dataOnly="0" labelOnly="1" grandRow="1" outline="0" axis="axisRow" fieldPosition="0">
        <references count="1">
          <reference field="4294967294" count="1" selected="0">
            <x v="20"/>
          </reference>
        </references>
      </pivotArea>
    </format>
    <format dxfId="8801">
      <pivotArea field="0" dataOnly="0" labelOnly="1" grandRow="1" outline="0" axis="axisRow" fieldPosition="0">
        <references count="1">
          <reference field="4294967294" count="1" selected="0">
            <x v="21"/>
          </reference>
        </references>
      </pivotArea>
    </format>
    <format dxfId="8800">
      <pivotArea field="0" dataOnly="0" labelOnly="1" grandRow="1" outline="0" axis="axisRow" fieldPosition="0">
        <references count="1">
          <reference field="4294967294" count="1" selected="0">
            <x v="22"/>
          </reference>
        </references>
      </pivotArea>
    </format>
    <format dxfId="8799">
      <pivotArea field="0" dataOnly="0" labelOnly="1" grandRow="1" outline="0" axis="axisRow" fieldPosition="0">
        <references count="1">
          <reference field="4294967294" count="1" selected="0">
            <x v="23"/>
          </reference>
        </references>
      </pivotArea>
    </format>
    <format dxfId="8798">
      <pivotArea field="0" dataOnly="0" labelOnly="1" grandRow="1" outline="0" axis="axisRow" fieldPosition="0">
        <references count="1">
          <reference field="4294967294" count="1" selected="0">
            <x v="24"/>
          </reference>
        </references>
      </pivotArea>
    </format>
    <format dxfId="8797">
      <pivotArea field="0" dataOnly="0" labelOnly="1" grandRow="1" outline="0" axis="axisRow" fieldPosition="0">
        <references count="1">
          <reference field="4294967294" count="1" selected="0">
            <x v="25"/>
          </reference>
        </references>
      </pivotArea>
    </format>
    <format dxfId="8796">
      <pivotArea field="0" dataOnly="0" labelOnly="1" grandRow="1" outline="0" axis="axisRow" fieldPosition="0">
        <references count="1">
          <reference field="4294967294" count="1" selected="0">
            <x v="26"/>
          </reference>
        </references>
      </pivotArea>
    </format>
    <format dxfId="8795">
      <pivotArea field="0" dataOnly="0" labelOnly="1" grandRow="1" outline="0" axis="axisRow" fieldPosition="0">
        <references count="1">
          <reference field="4294967294" count="1" selected="0">
            <x v="27"/>
          </reference>
        </references>
      </pivotArea>
    </format>
    <format dxfId="8794">
      <pivotArea field="0" dataOnly="0" labelOnly="1" grandRow="1" outline="0" axis="axisRow" fieldPosition="0">
        <references count="1">
          <reference field="4294967294" count="1" selected="0">
            <x v="28"/>
          </reference>
        </references>
      </pivotArea>
    </format>
    <format dxfId="8793">
      <pivotArea field="0" dataOnly="0" labelOnly="1" grandRow="1" outline="0" axis="axisRow" fieldPosition="0">
        <references count="1">
          <reference field="4294967294" count="1" selected="0">
            <x v="29"/>
          </reference>
        </references>
      </pivotArea>
    </format>
    <format dxfId="8792">
      <pivotArea field="0" dataOnly="0" labelOnly="1" grandRow="1" outline="0" axis="axisRow" fieldPosition="0">
        <references count="1">
          <reference field="4294967294" count="1" selected="0">
            <x v="30"/>
          </reference>
        </references>
      </pivotArea>
    </format>
    <format dxfId="8791">
      <pivotArea field="0" dataOnly="0" labelOnly="1" grandRow="1" outline="0" axis="axisRow" fieldPosition="0">
        <references count="1">
          <reference field="4294967294" count="1" selected="0">
            <x v="31"/>
          </reference>
        </references>
      </pivotArea>
    </format>
    <format dxfId="8790">
      <pivotArea field="0" dataOnly="0" labelOnly="1" grandRow="1" outline="0" axis="axisRow" fieldPosition="0">
        <references count="1">
          <reference field="4294967294" count="1" selected="0">
            <x v="32"/>
          </reference>
        </references>
      </pivotArea>
    </format>
    <format dxfId="8789">
      <pivotArea field="0" dataOnly="0" labelOnly="1" grandRow="1" outline="0" axis="axisRow" fieldPosition="0">
        <references count="1">
          <reference field="4294967294" count="1" selected="0">
            <x v="33"/>
          </reference>
        </references>
      </pivotArea>
    </format>
    <format dxfId="8788">
      <pivotArea field="0" dataOnly="0" labelOnly="1" grandRow="1" outline="0" axis="axisRow" fieldPosition="0">
        <references count="1">
          <reference field="4294967294" count="1" selected="0">
            <x v="34"/>
          </reference>
        </references>
      </pivotArea>
    </format>
    <format dxfId="8787">
      <pivotArea field="0" dataOnly="0" labelOnly="1" grandRow="1" outline="0" axis="axisRow" fieldPosition="0">
        <references count="1">
          <reference field="4294967294" count="1" selected="0">
            <x v="35"/>
          </reference>
        </references>
      </pivotArea>
    </format>
    <format dxfId="8786">
      <pivotArea field="0" dataOnly="0" labelOnly="1" grandRow="1" outline="0" axis="axisRow" fieldPosition="0">
        <references count="1">
          <reference field="4294967294" count="1" selected="0">
            <x v="0"/>
          </reference>
        </references>
      </pivotArea>
    </format>
    <format dxfId="8785">
      <pivotArea field="0" dataOnly="0" labelOnly="1" grandRow="1" outline="0" axis="axisRow" fieldPosition="0">
        <references count="1">
          <reference field="4294967294" count="1" selected="0">
            <x v="1"/>
          </reference>
        </references>
      </pivotArea>
    </format>
    <format dxfId="8784">
      <pivotArea field="0" dataOnly="0" labelOnly="1" grandRow="1" outline="0" axis="axisRow" fieldPosition="0">
        <references count="1">
          <reference field="4294967294" count="1" selected="0">
            <x v="2"/>
          </reference>
        </references>
      </pivotArea>
    </format>
    <format dxfId="8783">
      <pivotArea field="0" dataOnly="0" labelOnly="1" grandRow="1" outline="0" axis="axisRow" fieldPosition="0">
        <references count="1">
          <reference field="4294967294" count="1" selected="0">
            <x v="3"/>
          </reference>
        </references>
      </pivotArea>
    </format>
    <format dxfId="8782">
      <pivotArea field="0" dataOnly="0" labelOnly="1" grandRow="1" outline="0" axis="axisRow" fieldPosition="0">
        <references count="1">
          <reference field="4294967294" count="1" selected="0">
            <x v="4"/>
          </reference>
        </references>
      </pivotArea>
    </format>
    <format dxfId="8781">
      <pivotArea field="0" dataOnly="0" labelOnly="1" grandRow="1" outline="0" axis="axisRow" fieldPosition="0">
        <references count="1">
          <reference field="4294967294" count="1" selected="0">
            <x v="5"/>
          </reference>
        </references>
      </pivotArea>
    </format>
    <format dxfId="8780">
      <pivotArea field="0" dataOnly="0" labelOnly="1" grandRow="1" outline="0" axis="axisRow" fieldPosition="0">
        <references count="1">
          <reference field="4294967294" count="1" selected="0">
            <x v="6"/>
          </reference>
        </references>
      </pivotArea>
    </format>
    <format dxfId="8779">
      <pivotArea field="0" dataOnly="0" labelOnly="1" grandRow="1" outline="0" axis="axisRow" fieldPosition="0">
        <references count="1">
          <reference field="4294967294" count="1" selected="0">
            <x v="7"/>
          </reference>
        </references>
      </pivotArea>
    </format>
    <format dxfId="8778">
      <pivotArea field="0" dataOnly="0" labelOnly="1" grandRow="1" outline="0" axis="axisRow" fieldPosition="0">
        <references count="1">
          <reference field="4294967294" count="1" selected="0">
            <x v="8"/>
          </reference>
        </references>
      </pivotArea>
    </format>
    <format dxfId="8777">
      <pivotArea field="0" dataOnly="0" labelOnly="1" grandRow="1" outline="0" axis="axisRow" fieldPosition="0">
        <references count="1">
          <reference field="4294967294" count="1" selected="0">
            <x v="9"/>
          </reference>
        </references>
      </pivotArea>
    </format>
    <format dxfId="8776">
      <pivotArea field="0" dataOnly="0" labelOnly="1" grandRow="1" outline="0" axis="axisRow" fieldPosition="0">
        <references count="1">
          <reference field="4294967294" count="1" selected="0">
            <x v="10"/>
          </reference>
        </references>
      </pivotArea>
    </format>
    <format dxfId="8775">
      <pivotArea field="0" dataOnly="0" labelOnly="1" grandRow="1" outline="0" axis="axisRow" fieldPosition="0">
        <references count="1">
          <reference field="4294967294" count="1" selected="0">
            <x v="11"/>
          </reference>
        </references>
      </pivotArea>
    </format>
    <format dxfId="8774">
      <pivotArea field="0" dataOnly="0" labelOnly="1" grandRow="1" outline="0" axis="axisRow" fieldPosition="0">
        <references count="1">
          <reference field="4294967294" count="1" selected="0">
            <x v="12"/>
          </reference>
        </references>
      </pivotArea>
    </format>
    <format dxfId="8773">
      <pivotArea field="0" dataOnly="0" labelOnly="1" grandRow="1" outline="0" axis="axisRow" fieldPosition="0">
        <references count="1">
          <reference field="4294967294" count="1" selected="0">
            <x v="13"/>
          </reference>
        </references>
      </pivotArea>
    </format>
    <format dxfId="8772">
      <pivotArea field="0" dataOnly="0" labelOnly="1" grandRow="1" outline="0" axis="axisRow" fieldPosition="0">
        <references count="1">
          <reference field="4294967294" count="1" selected="0">
            <x v="14"/>
          </reference>
        </references>
      </pivotArea>
    </format>
    <format dxfId="8771">
      <pivotArea field="0" dataOnly="0" labelOnly="1" grandRow="1" outline="0" axis="axisRow" fieldPosition="0">
        <references count="1">
          <reference field="4294967294" count="1" selected="0">
            <x v="15"/>
          </reference>
        </references>
      </pivotArea>
    </format>
    <format dxfId="8770">
      <pivotArea field="0" dataOnly="0" labelOnly="1" grandRow="1" outline="0" axis="axisRow" fieldPosition="0">
        <references count="1">
          <reference field="4294967294" count="1" selected="0">
            <x v="16"/>
          </reference>
        </references>
      </pivotArea>
    </format>
    <format dxfId="8769">
      <pivotArea field="0" dataOnly="0" labelOnly="1" grandRow="1" outline="0" axis="axisRow" fieldPosition="0">
        <references count="1">
          <reference field="4294967294" count="1" selected="0">
            <x v="17"/>
          </reference>
        </references>
      </pivotArea>
    </format>
    <format dxfId="8768">
      <pivotArea field="0" dataOnly="0" labelOnly="1" grandRow="1" outline="0" axis="axisRow" fieldPosition="0">
        <references count="1">
          <reference field="4294967294" count="1" selected="0">
            <x v="18"/>
          </reference>
        </references>
      </pivotArea>
    </format>
    <format dxfId="8767">
      <pivotArea field="0" dataOnly="0" labelOnly="1" grandRow="1" outline="0" axis="axisRow" fieldPosition="0">
        <references count="1">
          <reference field="4294967294" count="1" selected="0">
            <x v="19"/>
          </reference>
        </references>
      </pivotArea>
    </format>
    <format dxfId="8766">
      <pivotArea field="0" dataOnly="0" labelOnly="1" grandRow="1" outline="0" axis="axisRow" fieldPosition="0">
        <references count="1">
          <reference field="4294967294" count="1" selected="0">
            <x v="20"/>
          </reference>
        </references>
      </pivotArea>
    </format>
    <format dxfId="8765">
      <pivotArea field="0" dataOnly="0" labelOnly="1" grandRow="1" outline="0" axis="axisRow" fieldPosition="0">
        <references count="1">
          <reference field="4294967294" count="1" selected="0">
            <x v="21"/>
          </reference>
        </references>
      </pivotArea>
    </format>
    <format dxfId="8764">
      <pivotArea field="0" dataOnly="0" labelOnly="1" grandRow="1" outline="0" axis="axisRow" fieldPosition="0">
        <references count="1">
          <reference field="4294967294" count="1" selected="0">
            <x v="22"/>
          </reference>
        </references>
      </pivotArea>
    </format>
    <format dxfId="8763">
      <pivotArea field="0" dataOnly="0" labelOnly="1" grandRow="1" outline="0" axis="axisRow" fieldPosition="0">
        <references count="1">
          <reference field="4294967294" count="1" selected="0">
            <x v="23"/>
          </reference>
        </references>
      </pivotArea>
    </format>
    <format dxfId="8762">
      <pivotArea field="0" dataOnly="0" labelOnly="1" grandRow="1" outline="0" axis="axisRow" fieldPosition="0">
        <references count="1">
          <reference field="4294967294" count="1" selected="0">
            <x v="24"/>
          </reference>
        </references>
      </pivotArea>
    </format>
    <format dxfId="8761">
      <pivotArea field="0" dataOnly="0" labelOnly="1" grandRow="1" outline="0" axis="axisRow" fieldPosition="0">
        <references count="1">
          <reference field="4294967294" count="1" selected="0">
            <x v="25"/>
          </reference>
        </references>
      </pivotArea>
    </format>
    <format dxfId="8760">
      <pivotArea field="0" dataOnly="0" labelOnly="1" grandRow="1" outline="0" axis="axisRow" fieldPosition="0">
        <references count="1">
          <reference field="4294967294" count="1" selected="0">
            <x v="26"/>
          </reference>
        </references>
      </pivotArea>
    </format>
    <format dxfId="8759">
      <pivotArea field="0" dataOnly="0" labelOnly="1" grandRow="1" outline="0" axis="axisRow" fieldPosition="0">
        <references count="1">
          <reference field="4294967294" count="1" selected="0">
            <x v="27"/>
          </reference>
        </references>
      </pivotArea>
    </format>
    <format dxfId="8758">
      <pivotArea field="0" dataOnly="0" labelOnly="1" grandRow="1" outline="0" axis="axisRow" fieldPosition="0">
        <references count="1">
          <reference field="4294967294" count="1" selected="0">
            <x v="28"/>
          </reference>
        </references>
      </pivotArea>
    </format>
    <format dxfId="8757">
      <pivotArea field="0" dataOnly="0" labelOnly="1" grandRow="1" outline="0" axis="axisRow" fieldPosition="0">
        <references count="1">
          <reference field="4294967294" count="1" selected="0">
            <x v="29"/>
          </reference>
        </references>
      </pivotArea>
    </format>
    <format dxfId="8756">
      <pivotArea field="0" dataOnly="0" labelOnly="1" grandRow="1" outline="0" axis="axisRow" fieldPosition="0">
        <references count="1">
          <reference field="4294967294" count="1" selected="0">
            <x v="30"/>
          </reference>
        </references>
      </pivotArea>
    </format>
    <format dxfId="8755">
      <pivotArea field="0" dataOnly="0" labelOnly="1" grandRow="1" outline="0" axis="axisRow" fieldPosition="0">
        <references count="1">
          <reference field="4294967294" count="1" selected="0">
            <x v="31"/>
          </reference>
        </references>
      </pivotArea>
    </format>
    <format dxfId="8754">
      <pivotArea field="0" dataOnly="0" labelOnly="1" grandRow="1" outline="0" axis="axisRow" fieldPosition="0">
        <references count="1">
          <reference field="4294967294" count="1" selected="0">
            <x v="32"/>
          </reference>
        </references>
      </pivotArea>
    </format>
    <format dxfId="8753">
      <pivotArea field="0" dataOnly="0" labelOnly="1" grandRow="1" outline="0" axis="axisRow" fieldPosition="0">
        <references count="1">
          <reference field="4294967294" count="1" selected="0">
            <x v="33"/>
          </reference>
        </references>
      </pivotArea>
    </format>
    <format dxfId="8752">
      <pivotArea field="0" dataOnly="0" labelOnly="1" grandRow="1" outline="0" axis="axisRow" fieldPosition="0">
        <references count="1">
          <reference field="4294967294" count="1" selected="0">
            <x v="34"/>
          </reference>
        </references>
      </pivotArea>
    </format>
    <format dxfId="8751">
      <pivotArea field="0" dataOnly="0" labelOnly="1" grandRow="1" outline="0" axis="axisRow" fieldPosition="0">
        <references count="1">
          <reference field="4294967294" count="1" selected="0">
            <x v="35"/>
          </reference>
        </references>
      </pivotArea>
    </format>
    <format dxfId="8750">
      <pivotArea field="0" dataOnly="0" labelOnly="1" grandRow="1" outline="0" axis="axisRow" fieldPosition="0">
        <references count="1">
          <reference field="4294967294" count="1" selected="0">
            <x v="0"/>
          </reference>
        </references>
      </pivotArea>
    </format>
    <format dxfId="8749">
      <pivotArea field="0" dataOnly="0" labelOnly="1" grandRow="1" outline="0" axis="axisRow" fieldPosition="0">
        <references count="1">
          <reference field="4294967294" count="1" selected="0">
            <x v="1"/>
          </reference>
        </references>
      </pivotArea>
    </format>
    <format dxfId="8748">
      <pivotArea field="0" dataOnly="0" labelOnly="1" grandRow="1" outline="0" axis="axisRow" fieldPosition="0">
        <references count="1">
          <reference field="4294967294" count="1" selected="0">
            <x v="2"/>
          </reference>
        </references>
      </pivotArea>
    </format>
    <format dxfId="8747">
      <pivotArea field="0" dataOnly="0" labelOnly="1" grandRow="1" outline="0" axis="axisRow" fieldPosition="0">
        <references count="1">
          <reference field="4294967294" count="1" selected="0">
            <x v="3"/>
          </reference>
        </references>
      </pivotArea>
    </format>
    <format dxfId="8746">
      <pivotArea field="0" dataOnly="0" labelOnly="1" grandRow="1" outline="0" axis="axisRow" fieldPosition="0">
        <references count="1">
          <reference field="4294967294" count="1" selected="0">
            <x v="4"/>
          </reference>
        </references>
      </pivotArea>
    </format>
    <format dxfId="8745">
      <pivotArea field="0" dataOnly="0" labelOnly="1" grandRow="1" outline="0" axis="axisRow" fieldPosition="0">
        <references count="1">
          <reference field="4294967294" count="1" selected="0">
            <x v="5"/>
          </reference>
        </references>
      </pivotArea>
    </format>
    <format dxfId="8744">
      <pivotArea field="0" dataOnly="0" labelOnly="1" grandRow="1" outline="0" axis="axisRow" fieldPosition="0">
        <references count="1">
          <reference field="4294967294" count="1" selected="0">
            <x v="6"/>
          </reference>
        </references>
      </pivotArea>
    </format>
    <format dxfId="8743">
      <pivotArea field="0" dataOnly="0" labelOnly="1" grandRow="1" outline="0" axis="axisRow" fieldPosition="0">
        <references count="1">
          <reference field="4294967294" count="1" selected="0">
            <x v="7"/>
          </reference>
        </references>
      </pivotArea>
    </format>
    <format dxfId="8742">
      <pivotArea field="0" dataOnly="0" labelOnly="1" grandRow="1" outline="0" axis="axisRow" fieldPosition="0">
        <references count="1">
          <reference field="4294967294" count="1" selected="0">
            <x v="8"/>
          </reference>
        </references>
      </pivotArea>
    </format>
    <format dxfId="8741">
      <pivotArea field="0" dataOnly="0" labelOnly="1" grandRow="1" outline="0" axis="axisRow" fieldPosition="0">
        <references count="1">
          <reference field="4294967294" count="1" selected="0">
            <x v="9"/>
          </reference>
        </references>
      </pivotArea>
    </format>
    <format dxfId="8740">
      <pivotArea field="0" dataOnly="0" labelOnly="1" grandRow="1" outline="0" axis="axisRow" fieldPosition="0">
        <references count="1">
          <reference field="4294967294" count="1" selected="0">
            <x v="10"/>
          </reference>
        </references>
      </pivotArea>
    </format>
    <format dxfId="8739">
      <pivotArea field="0" dataOnly="0" labelOnly="1" grandRow="1" outline="0" axis="axisRow" fieldPosition="0">
        <references count="1">
          <reference field="4294967294" count="1" selected="0">
            <x v="11"/>
          </reference>
        </references>
      </pivotArea>
    </format>
    <format dxfId="8738">
      <pivotArea field="0" dataOnly="0" labelOnly="1" grandRow="1" outline="0" axis="axisRow" fieldPosition="0">
        <references count="1">
          <reference field="4294967294" count="1" selected="0">
            <x v="12"/>
          </reference>
        </references>
      </pivotArea>
    </format>
    <format dxfId="8737">
      <pivotArea field="0" dataOnly="0" labelOnly="1" grandRow="1" outline="0" axis="axisRow" fieldPosition="0">
        <references count="1">
          <reference field="4294967294" count="1" selected="0">
            <x v="13"/>
          </reference>
        </references>
      </pivotArea>
    </format>
    <format dxfId="8736">
      <pivotArea field="0" dataOnly="0" labelOnly="1" grandRow="1" outline="0" axis="axisRow" fieldPosition="0">
        <references count="1">
          <reference field="4294967294" count="1" selected="0">
            <x v="14"/>
          </reference>
        </references>
      </pivotArea>
    </format>
    <format dxfId="8735">
      <pivotArea field="0" dataOnly="0" labelOnly="1" grandRow="1" outline="0" axis="axisRow" fieldPosition="0">
        <references count="1">
          <reference field="4294967294" count="1" selected="0">
            <x v="15"/>
          </reference>
        </references>
      </pivotArea>
    </format>
    <format dxfId="8734">
      <pivotArea field="0" dataOnly="0" labelOnly="1" grandRow="1" outline="0" axis="axisRow" fieldPosition="0">
        <references count="1">
          <reference field="4294967294" count="1" selected="0">
            <x v="16"/>
          </reference>
        </references>
      </pivotArea>
    </format>
    <format dxfId="8733">
      <pivotArea field="0" dataOnly="0" labelOnly="1" grandRow="1" outline="0" axis="axisRow" fieldPosition="0">
        <references count="1">
          <reference field="4294967294" count="1" selected="0">
            <x v="17"/>
          </reference>
        </references>
      </pivotArea>
    </format>
    <format dxfId="8732">
      <pivotArea field="0" dataOnly="0" labelOnly="1" grandRow="1" outline="0" axis="axisRow" fieldPosition="0">
        <references count="1">
          <reference field="4294967294" count="1" selected="0">
            <x v="18"/>
          </reference>
        </references>
      </pivotArea>
    </format>
    <format dxfId="8731">
      <pivotArea field="0" dataOnly="0" labelOnly="1" grandRow="1" outline="0" axis="axisRow" fieldPosition="0">
        <references count="1">
          <reference field="4294967294" count="1" selected="0">
            <x v="19"/>
          </reference>
        </references>
      </pivotArea>
    </format>
    <format dxfId="8730">
      <pivotArea field="0" dataOnly="0" labelOnly="1" grandRow="1" outline="0" axis="axisRow" fieldPosition="0">
        <references count="1">
          <reference field="4294967294" count="1" selected="0">
            <x v="20"/>
          </reference>
        </references>
      </pivotArea>
    </format>
    <format dxfId="8729">
      <pivotArea field="0" dataOnly="0" labelOnly="1" grandRow="1" outline="0" axis="axisRow" fieldPosition="0">
        <references count="1">
          <reference field="4294967294" count="1" selected="0">
            <x v="21"/>
          </reference>
        </references>
      </pivotArea>
    </format>
    <format dxfId="8728">
      <pivotArea field="0" dataOnly="0" labelOnly="1" grandRow="1" outline="0" axis="axisRow" fieldPosition="0">
        <references count="1">
          <reference field="4294967294" count="1" selected="0">
            <x v="22"/>
          </reference>
        </references>
      </pivotArea>
    </format>
    <format dxfId="8727">
      <pivotArea field="0" dataOnly="0" labelOnly="1" grandRow="1" outline="0" axis="axisRow" fieldPosition="0">
        <references count="1">
          <reference field="4294967294" count="1" selected="0">
            <x v="23"/>
          </reference>
        </references>
      </pivotArea>
    </format>
    <format dxfId="8726">
      <pivotArea field="0" dataOnly="0" labelOnly="1" grandRow="1" outline="0" axis="axisRow" fieldPosition="0">
        <references count="1">
          <reference field="4294967294" count="1" selected="0">
            <x v="24"/>
          </reference>
        </references>
      </pivotArea>
    </format>
    <format dxfId="8725">
      <pivotArea field="0" dataOnly="0" labelOnly="1" grandRow="1" outline="0" axis="axisRow" fieldPosition="0">
        <references count="1">
          <reference field="4294967294" count="1" selected="0">
            <x v="25"/>
          </reference>
        </references>
      </pivotArea>
    </format>
    <format dxfId="8724">
      <pivotArea field="0" dataOnly="0" labelOnly="1" grandRow="1" outline="0" axis="axisRow" fieldPosition="0">
        <references count="1">
          <reference field="4294967294" count="1" selected="0">
            <x v="26"/>
          </reference>
        </references>
      </pivotArea>
    </format>
    <format dxfId="8723">
      <pivotArea field="0" dataOnly="0" labelOnly="1" grandRow="1" outline="0" axis="axisRow" fieldPosition="0">
        <references count="1">
          <reference field="4294967294" count="1" selected="0">
            <x v="27"/>
          </reference>
        </references>
      </pivotArea>
    </format>
    <format dxfId="8722">
      <pivotArea field="0" dataOnly="0" labelOnly="1" grandRow="1" outline="0" axis="axisRow" fieldPosition="0">
        <references count="1">
          <reference field="4294967294" count="1" selected="0">
            <x v="28"/>
          </reference>
        </references>
      </pivotArea>
    </format>
    <format dxfId="8721">
      <pivotArea field="0" dataOnly="0" labelOnly="1" grandRow="1" outline="0" axis="axisRow" fieldPosition="0">
        <references count="1">
          <reference field="4294967294" count="1" selected="0">
            <x v="29"/>
          </reference>
        </references>
      </pivotArea>
    </format>
    <format dxfId="8720">
      <pivotArea field="0" dataOnly="0" labelOnly="1" grandRow="1" outline="0" axis="axisRow" fieldPosition="0">
        <references count="1">
          <reference field="4294967294" count="1" selected="0">
            <x v="30"/>
          </reference>
        </references>
      </pivotArea>
    </format>
    <format dxfId="8719">
      <pivotArea field="0" dataOnly="0" labelOnly="1" grandRow="1" outline="0" axis="axisRow" fieldPosition="0">
        <references count="1">
          <reference field="4294967294" count="1" selected="0">
            <x v="31"/>
          </reference>
        </references>
      </pivotArea>
    </format>
    <format dxfId="8718">
      <pivotArea field="0" dataOnly="0" labelOnly="1" grandRow="1" outline="0" axis="axisRow" fieldPosition="0">
        <references count="1">
          <reference field="4294967294" count="1" selected="0">
            <x v="32"/>
          </reference>
        </references>
      </pivotArea>
    </format>
    <format dxfId="8717">
      <pivotArea field="0" dataOnly="0" labelOnly="1" grandRow="1" outline="0" axis="axisRow" fieldPosition="0">
        <references count="1">
          <reference field="4294967294" count="1" selected="0">
            <x v="33"/>
          </reference>
        </references>
      </pivotArea>
    </format>
    <format dxfId="8716">
      <pivotArea field="0" dataOnly="0" labelOnly="1" grandRow="1" outline="0" axis="axisRow" fieldPosition="0">
        <references count="1">
          <reference field="4294967294" count="1" selected="0">
            <x v="34"/>
          </reference>
        </references>
      </pivotArea>
    </format>
    <format dxfId="8715">
      <pivotArea field="0" dataOnly="0" labelOnly="1" grandRow="1" outline="0" axis="axisRow" fieldPosition="0">
        <references count="1">
          <reference field="4294967294" count="1" selected="0">
            <x v="35"/>
          </reference>
        </references>
      </pivotArea>
    </format>
    <format dxfId="8714">
      <pivotArea field="0" dataOnly="0" labelOnly="1" grandRow="1" outline="0" axis="axisRow" fieldPosition="0">
        <references count="1">
          <reference field="4294967294" count="1" selected="0">
            <x v="0"/>
          </reference>
        </references>
      </pivotArea>
    </format>
    <format dxfId="8713">
      <pivotArea field="0" dataOnly="0" labelOnly="1" grandRow="1" outline="0" axis="axisRow" fieldPosition="0">
        <references count="1">
          <reference field="4294967294" count="1" selected="0">
            <x v="1"/>
          </reference>
        </references>
      </pivotArea>
    </format>
    <format dxfId="8712">
      <pivotArea field="0" dataOnly="0" labelOnly="1" grandRow="1" outline="0" axis="axisRow" fieldPosition="0">
        <references count="1">
          <reference field="4294967294" count="1" selected="0">
            <x v="2"/>
          </reference>
        </references>
      </pivotArea>
    </format>
    <format dxfId="8711">
      <pivotArea field="0" dataOnly="0" labelOnly="1" grandRow="1" outline="0" axis="axisRow" fieldPosition="0">
        <references count="1">
          <reference field="4294967294" count="1" selected="0">
            <x v="3"/>
          </reference>
        </references>
      </pivotArea>
    </format>
    <format dxfId="8710">
      <pivotArea field="0" dataOnly="0" labelOnly="1" grandRow="1" outline="0" axis="axisRow" fieldPosition="0">
        <references count="1">
          <reference field="4294967294" count="1" selected="0">
            <x v="4"/>
          </reference>
        </references>
      </pivotArea>
    </format>
    <format dxfId="8709">
      <pivotArea field="0" dataOnly="0" labelOnly="1" grandRow="1" outline="0" axis="axisRow" fieldPosition="0">
        <references count="1">
          <reference field="4294967294" count="1" selected="0">
            <x v="5"/>
          </reference>
        </references>
      </pivotArea>
    </format>
    <format dxfId="8708">
      <pivotArea field="0" dataOnly="0" labelOnly="1" grandRow="1" outline="0" axis="axisRow" fieldPosition="0">
        <references count="1">
          <reference field="4294967294" count="1" selected="0">
            <x v="6"/>
          </reference>
        </references>
      </pivotArea>
    </format>
    <format dxfId="8707">
      <pivotArea field="0" dataOnly="0" labelOnly="1" grandRow="1" outline="0" axis="axisRow" fieldPosition="0">
        <references count="1">
          <reference field="4294967294" count="1" selected="0">
            <x v="7"/>
          </reference>
        </references>
      </pivotArea>
    </format>
    <format dxfId="8706">
      <pivotArea field="0" dataOnly="0" labelOnly="1" grandRow="1" outline="0" axis="axisRow" fieldPosition="0">
        <references count="1">
          <reference field="4294967294" count="1" selected="0">
            <x v="8"/>
          </reference>
        </references>
      </pivotArea>
    </format>
    <format dxfId="8705">
      <pivotArea field="0" dataOnly="0" labelOnly="1" grandRow="1" outline="0" axis="axisRow" fieldPosition="0">
        <references count="1">
          <reference field="4294967294" count="1" selected="0">
            <x v="9"/>
          </reference>
        </references>
      </pivotArea>
    </format>
    <format dxfId="8704">
      <pivotArea field="0" dataOnly="0" labelOnly="1" grandRow="1" outline="0" axis="axisRow" fieldPosition="0">
        <references count="1">
          <reference field="4294967294" count="1" selected="0">
            <x v="10"/>
          </reference>
        </references>
      </pivotArea>
    </format>
    <format dxfId="8703">
      <pivotArea field="0" dataOnly="0" labelOnly="1" grandRow="1" outline="0" axis="axisRow" fieldPosition="0">
        <references count="1">
          <reference field="4294967294" count="1" selected="0">
            <x v="11"/>
          </reference>
        </references>
      </pivotArea>
    </format>
    <format dxfId="8702">
      <pivotArea field="0" dataOnly="0" labelOnly="1" grandRow="1" outline="0" axis="axisRow" fieldPosition="0">
        <references count="1">
          <reference field="4294967294" count="1" selected="0">
            <x v="12"/>
          </reference>
        </references>
      </pivotArea>
    </format>
    <format dxfId="8701">
      <pivotArea field="0" dataOnly="0" labelOnly="1" grandRow="1" outline="0" axis="axisRow" fieldPosition="0">
        <references count="1">
          <reference field="4294967294" count="1" selected="0">
            <x v="13"/>
          </reference>
        </references>
      </pivotArea>
    </format>
    <format dxfId="8700">
      <pivotArea field="0" dataOnly="0" labelOnly="1" grandRow="1" outline="0" axis="axisRow" fieldPosition="0">
        <references count="1">
          <reference field="4294967294" count="1" selected="0">
            <x v="14"/>
          </reference>
        </references>
      </pivotArea>
    </format>
    <format dxfId="8699">
      <pivotArea field="0" dataOnly="0" labelOnly="1" grandRow="1" outline="0" axis="axisRow" fieldPosition="0">
        <references count="1">
          <reference field="4294967294" count="1" selected="0">
            <x v="15"/>
          </reference>
        </references>
      </pivotArea>
    </format>
    <format dxfId="8698">
      <pivotArea field="0" dataOnly="0" labelOnly="1" grandRow="1" outline="0" axis="axisRow" fieldPosition="0">
        <references count="1">
          <reference field="4294967294" count="1" selected="0">
            <x v="16"/>
          </reference>
        </references>
      </pivotArea>
    </format>
    <format dxfId="8697">
      <pivotArea field="0" dataOnly="0" labelOnly="1" grandRow="1" outline="0" axis="axisRow" fieldPosition="0">
        <references count="1">
          <reference field="4294967294" count="1" selected="0">
            <x v="17"/>
          </reference>
        </references>
      </pivotArea>
    </format>
    <format dxfId="8696">
      <pivotArea field="0" dataOnly="0" labelOnly="1" grandRow="1" outline="0" axis="axisRow" fieldPosition="0">
        <references count="1">
          <reference field="4294967294" count="1" selected="0">
            <x v="18"/>
          </reference>
        </references>
      </pivotArea>
    </format>
    <format dxfId="8695">
      <pivotArea field="0" dataOnly="0" labelOnly="1" grandRow="1" outline="0" axis="axisRow" fieldPosition="0">
        <references count="1">
          <reference field="4294967294" count="1" selected="0">
            <x v="19"/>
          </reference>
        </references>
      </pivotArea>
    </format>
    <format dxfId="8694">
      <pivotArea field="0" dataOnly="0" labelOnly="1" grandRow="1" outline="0" axis="axisRow" fieldPosition="0">
        <references count="1">
          <reference field="4294967294" count="1" selected="0">
            <x v="20"/>
          </reference>
        </references>
      </pivotArea>
    </format>
    <format dxfId="8693">
      <pivotArea field="0" dataOnly="0" labelOnly="1" grandRow="1" outline="0" axis="axisRow" fieldPosition="0">
        <references count="1">
          <reference field="4294967294" count="1" selected="0">
            <x v="21"/>
          </reference>
        </references>
      </pivotArea>
    </format>
    <format dxfId="8692">
      <pivotArea field="0" dataOnly="0" labelOnly="1" grandRow="1" outline="0" axis="axisRow" fieldPosition="0">
        <references count="1">
          <reference field="4294967294" count="1" selected="0">
            <x v="22"/>
          </reference>
        </references>
      </pivotArea>
    </format>
    <format dxfId="8691">
      <pivotArea field="0" dataOnly="0" labelOnly="1" grandRow="1" outline="0" axis="axisRow" fieldPosition="0">
        <references count="1">
          <reference field="4294967294" count="1" selected="0">
            <x v="23"/>
          </reference>
        </references>
      </pivotArea>
    </format>
    <format dxfId="8690">
      <pivotArea field="0" dataOnly="0" labelOnly="1" grandRow="1" outline="0" axis="axisRow" fieldPosition="0">
        <references count="1">
          <reference field="4294967294" count="1" selected="0">
            <x v="24"/>
          </reference>
        </references>
      </pivotArea>
    </format>
    <format dxfId="8689">
      <pivotArea field="0" dataOnly="0" labelOnly="1" grandRow="1" outline="0" axis="axisRow" fieldPosition="0">
        <references count="1">
          <reference field="4294967294" count="1" selected="0">
            <x v="25"/>
          </reference>
        </references>
      </pivotArea>
    </format>
    <format dxfId="8688">
      <pivotArea field="0" dataOnly="0" labelOnly="1" grandRow="1" outline="0" axis="axisRow" fieldPosition="0">
        <references count="1">
          <reference field="4294967294" count="1" selected="0">
            <x v="26"/>
          </reference>
        </references>
      </pivotArea>
    </format>
    <format dxfId="8687">
      <pivotArea field="0" dataOnly="0" labelOnly="1" grandRow="1" outline="0" axis="axisRow" fieldPosition="0">
        <references count="1">
          <reference field="4294967294" count="1" selected="0">
            <x v="27"/>
          </reference>
        </references>
      </pivotArea>
    </format>
    <format dxfId="8686">
      <pivotArea field="0" dataOnly="0" labelOnly="1" grandRow="1" outline="0" axis="axisRow" fieldPosition="0">
        <references count="1">
          <reference field="4294967294" count="1" selected="0">
            <x v="28"/>
          </reference>
        </references>
      </pivotArea>
    </format>
    <format dxfId="8685">
      <pivotArea field="0" dataOnly="0" labelOnly="1" grandRow="1" outline="0" axis="axisRow" fieldPosition="0">
        <references count="1">
          <reference field="4294967294" count="1" selected="0">
            <x v="29"/>
          </reference>
        </references>
      </pivotArea>
    </format>
    <format dxfId="8684">
      <pivotArea field="0" dataOnly="0" labelOnly="1" grandRow="1" outline="0" axis="axisRow" fieldPosition="0">
        <references count="1">
          <reference field="4294967294" count="1" selected="0">
            <x v="30"/>
          </reference>
        </references>
      </pivotArea>
    </format>
    <format dxfId="8683">
      <pivotArea field="0" dataOnly="0" labelOnly="1" grandRow="1" outline="0" axis="axisRow" fieldPosition="0">
        <references count="1">
          <reference field="4294967294" count="1" selected="0">
            <x v="31"/>
          </reference>
        </references>
      </pivotArea>
    </format>
    <format dxfId="8682">
      <pivotArea field="0" dataOnly="0" labelOnly="1" grandRow="1" outline="0" axis="axisRow" fieldPosition="0">
        <references count="1">
          <reference field="4294967294" count="1" selected="0">
            <x v="32"/>
          </reference>
        </references>
      </pivotArea>
    </format>
    <format dxfId="8681">
      <pivotArea field="0" dataOnly="0" labelOnly="1" grandRow="1" outline="0" axis="axisRow" fieldPosition="0">
        <references count="1">
          <reference field="4294967294" count="1" selected="0">
            <x v="33"/>
          </reference>
        </references>
      </pivotArea>
    </format>
    <format dxfId="8680">
      <pivotArea field="0" dataOnly="0" labelOnly="1" grandRow="1" outline="0" axis="axisRow" fieldPosition="0">
        <references count="1">
          <reference field="4294967294" count="1" selected="0">
            <x v="34"/>
          </reference>
        </references>
      </pivotArea>
    </format>
    <format dxfId="8679">
      <pivotArea field="0" dataOnly="0" labelOnly="1" grandRow="1" outline="0" axis="axisRow" fieldPosition="0">
        <references count="1">
          <reference field="4294967294" count="1" selected="0">
            <x v="35"/>
          </reference>
        </references>
      </pivotArea>
    </format>
    <format dxfId="8678">
      <pivotArea field="0" dataOnly="0" labelOnly="1" grandRow="1" outline="0" axis="axisRow" fieldPosition="0">
        <references count="1">
          <reference field="4294967294" count="1" selected="0">
            <x v="0"/>
          </reference>
        </references>
      </pivotArea>
    </format>
    <format dxfId="8677">
      <pivotArea field="0" dataOnly="0" labelOnly="1" grandRow="1" outline="0" axis="axisRow" fieldPosition="0">
        <references count="1">
          <reference field="4294967294" count="1" selected="0">
            <x v="1"/>
          </reference>
        </references>
      </pivotArea>
    </format>
    <format dxfId="8676">
      <pivotArea field="0" dataOnly="0" labelOnly="1" grandRow="1" outline="0" axis="axisRow" fieldPosition="0">
        <references count="1">
          <reference field="4294967294" count="1" selected="0">
            <x v="2"/>
          </reference>
        </references>
      </pivotArea>
    </format>
    <format dxfId="8675">
      <pivotArea field="0" dataOnly="0" labelOnly="1" grandRow="1" outline="0" axis="axisRow" fieldPosition="0">
        <references count="1">
          <reference field="4294967294" count="1" selected="0">
            <x v="3"/>
          </reference>
        </references>
      </pivotArea>
    </format>
    <format dxfId="8674">
      <pivotArea field="0" dataOnly="0" labelOnly="1" grandRow="1" outline="0" axis="axisRow" fieldPosition="0">
        <references count="1">
          <reference field="4294967294" count="1" selected="0">
            <x v="4"/>
          </reference>
        </references>
      </pivotArea>
    </format>
    <format dxfId="8673">
      <pivotArea field="0" dataOnly="0" labelOnly="1" grandRow="1" outline="0" axis="axisRow" fieldPosition="0">
        <references count="1">
          <reference field="4294967294" count="1" selected="0">
            <x v="5"/>
          </reference>
        </references>
      </pivotArea>
    </format>
    <format dxfId="8672">
      <pivotArea field="0" dataOnly="0" labelOnly="1" grandRow="1" outline="0" axis="axisRow" fieldPosition="0">
        <references count="1">
          <reference field="4294967294" count="1" selected="0">
            <x v="6"/>
          </reference>
        </references>
      </pivotArea>
    </format>
    <format dxfId="8671">
      <pivotArea field="0" dataOnly="0" labelOnly="1" grandRow="1" outline="0" axis="axisRow" fieldPosition="0">
        <references count="1">
          <reference field="4294967294" count="1" selected="0">
            <x v="7"/>
          </reference>
        </references>
      </pivotArea>
    </format>
    <format dxfId="8670">
      <pivotArea field="0" dataOnly="0" labelOnly="1" grandRow="1" outline="0" axis="axisRow" fieldPosition="0">
        <references count="1">
          <reference field="4294967294" count="1" selected="0">
            <x v="8"/>
          </reference>
        </references>
      </pivotArea>
    </format>
    <format dxfId="8669">
      <pivotArea field="0" dataOnly="0" labelOnly="1" grandRow="1" outline="0" axis="axisRow" fieldPosition="0">
        <references count="1">
          <reference field="4294967294" count="1" selected="0">
            <x v="9"/>
          </reference>
        </references>
      </pivotArea>
    </format>
    <format dxfId="8668">
      <pivotArea field="0" dataOnly="0" labelOnly="1" grandRow="1" outline="0" axis="axisRow" fieldPosition="0">
        <references count="1">
          <reference field="4294967294" count="1" selected="0">
            <x v="10"/>
          </reference>
        </references>
      </pivotArea>
    </format>
    <format dxfId="8667">
      <pivotArea field="0" dataOnly="0" labelOnly="1" grandRow="1" outline="0" axis="axisRow" fieldPosition="0">
        <references count="1">
          <reference field="4294967294" count="1" selected="0">
            <x v="11"/>
          </reference>
        </references>
      </pivotArea>
    </format>
    <format dxfId="8666">
      <pivotArea field="0" dataOnly="0" labelOnly="1" grandRow="1" outline="0" axis="axisRow" fieldPosition="0">
        <references count="1">
          <reference field="4294967294" count="1" selected="0">
            <x v="12"/>
          </reference>
        </references>
      </pivotArea>
    </format>
    <format dxfId="8665">
      <pivotArea field="0" dataOnly="0" labelOnly="1" grandRow="1" outline="0" axis="axisRow" fieldPosition="0">
        <references count="1">
          <reference field="4294967294" count="1" selected="0">
            <x v="13"/>
          </reference>
        </references>
      </pivotArea>
    </format>
    <format dxfId="8664">
      <pivotArea field="0" dataOnly="0" labelOnly="1" grandRow="1" outline="0" axis="axisRow" fieldPosition="0">
        <references count="1">
          <reference field="4294967294" count="1" selected="0">
            <x v="14"/>
          </reference>
        </references>
      </pivotArea>
    </format>
    <format dxfId="8663">
      <pivotArea field="0" dataOnly="0" labelOnly="1" grandRow="1" outline="0" axis="axisRow" fieldPosition="0">
        <references count="1">
          <reference field="4294967294" count="1" selected="0">
            <x v="15"/>
          </reference>
        </references>
      </pivotArea>
    </format>
    <format dxfId="8662">
      <pivotArea field="0" dataOnly="0" labelOnly="1" grandRow="1" outline="0" axis="axisRow" fieldPosition="0">
        <references count="1">
          <reference field="4294967294" count="1" selected="0">
            <x v="16"/>
          </reference>
        </references>
      </pivotArea>
    </format>
    <format dxfId="8661">
      <pivotArea field="0" dataOnly="0" labelOnly="1" grandRow="1" outline="0" axis="axisRow" fieldPosition="0">
        <references count="1">
          <reference field="4294967294" count="1" selected="0">
            <x v="17"/>
          </reference>
        </references>
      </pivotArea>
    </format>
    <format dxfId="8660">
      <pivotArea field="0" dataOnly="0" labelOnly="1" grandRow="1" outline="0" axis="axisRow" fieldPosition="0">
        <references count="1">
          <reference field="4294967294" count="1" selected="0">
            <x v="18"/>
          </reference>
        </references>
      </pivotArea>
    </format>
    <format dxfId="8659">
      <pivotArea field="0" dataOnly="0" labelOnly="1" grandRow="1" outline="0" axis="axisRow" fieldPosition="0">
        <references count="1">
          <reference field="4294967294" count="1" selected="0">
            <x v="19"/>
          </reference>
        </references>
      </pivotArea>
    </format>
    <format dxfId="8658">
      <pivotArea field="0" dataOnly="0" labelOnly="1" grandRow="1" outline="0" axis="axisRow" fieldPosition="0">
        <references count="1">
          <reference field="4294967294" count="1" selected="0">
            <x v="20"/>
          </reference>
        </references>
      </pivotArea>
    </format>
    <format dxfId="8657">
      <pivotArea field="0" dataOnly="0" labelOnly="1" grandRow="1" outline="0" axis="axisRow" fieldPosition="0">
        <references count="1">
          <reference field="4294967294" count="1" selected="0">
            <x v="21"/>
          </reference>
        </references>
      </pivotArea>
    </format>
    <format dxfId="8656">
      <pivotArea field="0" dataOnly="0" labelOnly="1" grandRow="1" outline="0" axis="axisRow" fieldPosition="0">
        <references count="1">
          <reference field="4294967294" count="1" selected="0">
            <x v="22"/>
          </reference>
        </references>
      </pivotArea>
    </format>
    <format dxfId="8655">
      <pivotArea field="0" dataOnly="0" labelOnly="1" grandRow="1" outline="0" axis="axisRow" fieldPosition="0">
        <references count="1">
          <reference field="4294967294" count="1" selected="0">
            <x v="23"/>
          </reference>
        </references>
      </pivotArea>
    </format>
    <format dxfId="8654">
      <pivotArea field="0" dataOnly="0" labelOnly="1" grandRow="1" outline="0" axis="axisRow" fieldPosition="0">
        <references count="1">
          <reference field="4294967294" count="1" selected="0">
            <x v="24"/>
          </reference>
        </references>
      </pivotArea>
    </format>
    <format dxfId="8653">
      <pivotArea field="0" dataOnly="0" labelOnly="1" grandRow="1" outline="0" axis="axisRow" fieldPosition="0">
        <references count="1">
          <reference field="4294967294" count="1" selected="0">
            <x v="25"/>
          </reference>
        </references>
      </pivotArea>
    </format>
    <format dxfId="8652">
      <pivotArea field="0" dataOnly="0" labelOnly="1" grandRow="1" outline="0" axis="axisRow" fieldPosition="0">
        <references count="1">
          <reference field="4294967294" count="1" selected="0">
            <x v="26"/>
          </reference>
        </references>
      </pivotArea>
    </format>
    <format dxfId="8651">
      <pivotArea field="0" dataOnly="0" labelOnly="1" grandRow="1" outline="0" axis="axisRow" fieldPosition="0">
        <references count="1">
          <reference field="4294967294" count="1" selected="0">
            <x v="27"/>
          </reference>
        </references>
      </pivotArea>
    </format>
    <format dxfId="8650">
      <pivotArea field="0" dataOnly="0" labelOnly="1" grandRow="1" outline="0" axis="axisRow" fieldPosition="0">
        <references count="1">
          <reference field="4294967294" count="1" selected="0">
            <x v="28"/>
          </reference>
        </references>
      </pivotArea>
    </format>
    <format dxfId="8649">
      <pivotArea field="0" dataOnly="0" labelOnly="1" grandRow="1" outline="0" axis="axisRow" fieldPosition="0">
        <references count="1">
          <reference field="4294967294" count="1" selected="0">
            <x v="29"/>
          </reference>
        </references>
      </pivotArea>
    </format>
    <format dxfId="8648">
      <pivotArea field="0" dataOnly="0" labelOnly="1" grandRow="1" outline="0" axis="axisRow" fieldPosition="0">
        <references count="1">
          <reference field="4294967294" count="1" selected="0">
            <x v="30"/>
          </reference>
        </references>
      </pivotArea>
    </format>
    <format dxfId="8647">
      <pivotArea field="0" dataOnly="0" labelOnly="1" grandRow="1" outline="0" axis="axisRow" fieldPosition="0">
        <references count="1">
          <reference field="4294967294" count="1" selected="0">
            <x v="31"/>
          </reference>
        </references>
      </pivotArea>
    </format>
    <format dxfId="8646">
      <pivotArea field="0" dataOnly="0" labelOnly="1" grandRow="1" outline="0" axis="axisRow" fieldPosition="0">
        <references count="1">
          <reference field="4294967294" count="1" selected="0">
            <x v="32"/>
          </reference>
        </references>
      </pivotArea>
    </format>
    <format dxfId="8645">
      <pivotArea field="0" dataOnly="0" labelOnly="1" grandRow="1" outline="0" axis="axisRow" fieldPosition="0">
        <references count="1">
          <reference field="4294967294" count="1" selected="0">
            <x v="33"/>
          </reference>
        </references>
      </pivotArea>
    </format>
    <format dxfId="8644">
      <pivotArea field="0" dataOnly="0" labelOnly="1" grandRow="1" outline="0" axis="axisRow" fieldPosition="0">
        <references count="1">
          <reference field="4294967294" count="1" selected="0">
            <x v="34"/>
          </reference>
        </references>
      </pivotArea>
    </format>
    <format dxfId="8643">
      <pivotArea field="0" dataOnly="0" labelOnly="1" grandRow="1" outline="0" axis="axisRow" fieldPosition="0">
        <references count="1">
          <reference field="4294967294" count="1" selected="0">
            <x v="35"/>
          </reference>
        </references>
      </pivotArea>
    </format>
    <format dxfId="8642">
      <pivotArea field="0" dataOnly="0" labelOnly="1" grandRow="1" outline="0" axis="axisRow" fieldPosition="0">
        <references count="1">
          <reference field="4294967294" count="1" selected="0">
            <x v="0"/>
          </reference>
        </references>
      </pivotArea>
    </format>
    <format dxfId="8641">
      <pivotArea field="0" dataOnly="0" labelOnly="1" grandRow="1" outline="0" axis="axisRow" fieldPosition="0">
        <references count="1">
          <reference field="4294967294" count="1" selected="0">
            <x v="1"/>
          </reference>
        </references>
      </pivotArea>
    </format>
    <format dxfId="8640">
      <pivotArea field="0" dataOnly="0" labelOnly="1" grandRow="1" outline="0" axis="axisRow" fieldPosition="0">
        <references count="1">
          <reference field="4294967294" count="1" selected="0">
            <x v="2"/>
          </reference>
        </references>
      </pivotArea>
    </format>
    <format dxfId="8639">
      <pivotArea field="0" dataOnly="0" labelOnly="1" grandRow="1" outline="0" axis="axisRow" fieldPosition="0">
        <references count="1">
          <reference field="4294967294" count="1" selected="0">
            <x v="3"/>
          </reference>
        </references>
      </pivotArea>
    </format>
    <format dxfId="8638">
      <pivotArea field="0" dataOnly="0" labelOnly="1" grandRow="1" outline="0" axis="axisRow" fieldPosition="0">
        <references count="1">
          <reference field="4294967294" count="1" selected="0">
            <x v="4"/>
          </reference>
        </references>
      </pivotArea>
    </format>
    <format dxfId="8637">
      <pivotArea field="0" dataOnly="0" labelOnly="1" grandRow="1" outline="0" axis="axisRow" fieldPosition="0">
        <references count="1">
          <reference field="4294967294" count="1" selected="0">
            <x v="5"/>
          </reference>
        </references>
      </pivotArea>
    </format>
    <format dxfId="8636">
      <pivotArea field="0" dataOnly="0" labelOnly="1" grandRow="1" outline="0" axis="axisRow" fieldPosition="0">
        <references count="1">
          <reference field="4294967294" count="1" selected="0">
            <x v="6"/>
          </reference>
        </references>
      </pivotArea>
    </format>
    <format dxfId="8635">
      <pivotArea field="0" dataOnly="0" labelOnly="1" grandRow="1" outline="0" axis="axisRow" fieldPosition="0">
        <references count="1">
          <reference field="4294967294" count="1" selected="0">
            <x v="7"/>
          </reference>
        </references>
      </pivotArea>
    </format>
    <format dxfId="8634">
      <pivotArea field="0" dataOnly="0" labelOnly="1" grandRow="1" outline="0" axis="axisRow" fieldPosition="0">
        <references count="1">
          <reference field="4294967294" count="1" selected="0">
            <x v="8"/>
          </reference>
        </references>
      </pivotArea>
    </format>
    <format dxfId="8633">
      <pivotArea field="0" dataOnly="0" labelOnly="1" grandRow="1" outline="0" axis="axisRow" fieldPosition="0">
        <references count="1">
          <reference field="4294967294" count="1" selected="0">
            <x v="9"/>
          </reference>
        </references>
      </pivotArea>
    </format>
    <format dxfId="8632">
      <pivotArea field="0" dataOnly="0" labelOnly="1" grandRow="1" outline="0" axis="axisRow" fieldPosition="0">
        <references count="1">
          <reference field="4294967294" count="1" selected="0">
            <x v="10"/>
          </reference>
        </references>
      </pivotArea>
    </format>
    <format dxfId="8631">
      <pivotArea field="0" dataOnly="0" labelOnly="1" grandRow="1" outline="0" axis="axisRow" fieldPosition="0">
        <references count="1">
          <reference field="4294967294" count="1" selected="0">
            <x v="11"/>
          </reference>
        </references>
      </pivotArea>
    </format>
    <format dxfId="8630">
      <pivotArea field="0" dataOnly="0" labelOnly="1" grandRow="1" outline="0" axis="axisRow" fieldPosition="0">
        <references count="1">
          <reference field="4294967294" count="1" selected="0">
            <x v="12"/>
          </reference>
        </references>
      </pivotArea>
    </format>
    <format dxfId="8629">
      <pivotArea field="0" dataOnly="0" labelOnly="1" grandRow="1" outline="0" axis="axisRow" fieldPosition="0">
        <references count="1">
          <reference field="4294967294" count="1" selected="0">
            <x v="13"/>
          </reference>
        </references>
      </pivotArea>
    </format>
    <format dxfId="8628">
      <pivotArea field="0" dataOnly="0" labelOnly="1" grandRow="1" outline="0" axis="axisRow" fieldPosition="0">
        <references count="1">
          <reference field="4294967294" count="1" selected="0">
            <x v="14"/>
          </reference>
        </references>
      </pivotArea>
    </format>
    <format dxfId="8627">
      <pivotArea field="0" dataOnly="0" labelOnly="1" grandRow="1" outline="0" axis="axisRow" fieldPosition="0">
        <references count="1">
          <reference field="4294967294" count="1" selected="0">
            <x v="15"/>
          </reference>
        </references>
      </pivotArea>
    </format>
    <format dxfId="8626">
      <pivotArea field="0" dataOnly="0" labelOnly="1" grandRow="1" outline="0" axis="axisRow" fieldPosition="0">
        <references count="1">
          <reference field="4294967294" count="1" selected="0">
            <x v="16"/>
          </reference>
        </references>
      </pivotArea>
    </format>
    <format dxfId="8625">
      <pivotArea field="0" dataOnly="0" labelOnly="1" grandRow="1" outline="0" axis="axisRow" fieldPosition="0">
        <references count="1">
          <reference field="4294967294" count="1" selected="0">
            <x v="17"/>
          </reference>
        </references>
      </pivotArea>
    </format>
    <format dxfId="8624">
      <pivotArea field="0" dataOnly="0" labelOnly="1" grandRow="1" outline="0" axis="axisRow" fieldPosition="0">
        <references count="1">
          <reference field="4294967294" count="1" selected="0">
            <x v="18"/>
          </reference>
        </references>
      </pivotArea>
    </format>
    <format dxfId="8623">
      <pivotArea field="0" dataOnly="0" labelOnly="1" grandRow="1" outline="0" axis="axisRow" fieldPosition="0">
        <references count="1">
          <reference field="4294967294" count="1" selected="0">
            <x v="19"/>
          </reference>
        </references>
      </pivotArea>
    </format>
    <format dxfId="8622">
      <pivotArea field="0" dataOnly="0" labelOnly="1" grandRow="1" outline="0" axis="axisRow" fieldPosition="0">
        <references count="1">
          <reference field="4294967294" count="1" selected="0">
            <x v="20"/>
          </reference>
        </references>
      </pivotArea>
    </format>
    <format dxfId="8621">
      <pivotArea field="0" dataOnly="0" labelOnly="1" grandRow="1" outline="0" axis="axisRow" fieldPosition="0">
        <references count="1">
          <reference field="4294967294" count="1" selected="0">
            <x v="21"/>
          </reference>
        </references>
      </pivotArea>
    </format>
    <format dxfId="8620">
      <pivotArea field="0" dataOnly="0" labelOnly="1" grandRow="1" outline="0" axis="axisRow" fieldPosition="0">
        <references count="1">
          <reference field="4294967294" count="1" selected="0">
            <x v="22"/>
          </reference>
        </references>
      </pivotArea>
    </format>
    <format dxfId="8619">
      <pivotArea field="0" dataOnly="0" labelOnly="1" grandRow="1" outline="0" axis="axisRow" fieldPosition="0">
        <references count="1">
          <reference field="4294967294" count="1" selected="0">
            <x v="23"/>
          </reference>
        </references>
      </pivotArea>
    </format>
    <format dxfId="8618">
      <pivotArea field="0" dataOnly="0" labelOnly="1" grandRow="1" outline="0" axis="axisRow" fieldPosition="0">
        <references count="1">
          <reference field="4294967294" count="1" selected="0">
            <x v="24"/>
          </reference>
        </references>
      </pivotArea>
    </format>
    <format dxfId="8617">
      <pivotArea field="0" dataOnly="0" labelOnly="1" grandRow="1" outline="0" axis="axisRow" fieldPosition="0">
        <references count="1">
          <reference field="4294967294" count="1" selected="0">
            <x v="25"/>
          </reference>
        </references>
      </pivotArea>
    </format>
    <format dxfId="8616">
      <pivotArea field="0" dataOnly="0" labelOnly="1" grandRow="1" outline="0" axis="axisRow" fieldPosition="0">
        <references count="1">
          <reference field="4294967294" count="1" selected="0">
            <x v="26"/>
          </reference>
        </references>
      </pivotArea>
    </format>
    <format dxfId="8615">
      <pivotArea field="0" dataOnly="0" labelOnly="1" grandRow="1" outline="0" axis="axisRow" fieldPosition="0">
        <references count="1">
          <reference field="4294967294" count="1" selected="0">
            <x v="27"/>
          </reference>
        </references>
      </pivotArea>
    </format>
    <format dxfId="8614">
      <pivotArea field="0" dataOnly="0" labelOnly="1" grandRow="1" outline="0" axis="axisRow" fieldPosition="0">
        <references count="1">
          <reference field="4294967294" count="1" selected="0">
            <x v="28"/>
          </reference>
        </references>
      </pivotArea>
    </format>
    <format dxfId="8613">
      <pivotArea field="0" dataOnly="0" labelOnly="1" grandRow="1" outline="0" axis="axisRow" fieldPosition="0">
        <references count="1">
          <reference field="4294967294" count="1" selected="0">
            <x v="29"/>
          </reference>
        </references>
      </pivotArea>
    </format>
    <format dxfId="8612">
      <pivotArea field="0" dataOnly="0" labelOnly="1" grandRow="1" outline="0" axis="axisRow" fieldPosition="0">
        <references count="1">
          <reference field="4294967294" count="1" selected="0">
            <x v="30"/>
          </reference>
        </references>
      </pivotArea>
    </format>
    <format dxfId="8611">
      <pivotArea field="0" dataOnly="0" labelOnly="1" grandRow="1" outline="0" axis="axisRow" fieldPosition="0">
        <references count="1">
          <reference field="4294967294" count="1" selected="0">
            <x v="31"/>
          </reference>
        </references>
      </pivotArea>
    </format>
    <format dxfId="8610">
      <pivotArea field="0" dataOnly="0" labelOnly="1" grandRow="1" outline="0" axis="axisRow" fieldPosition="0">
        <references count="1">
          <reference field="4294967294" count="1" selected="0">
            <x v="32"/>
          </reference>
        </references>
      </pivotArea>
    </format>
    <format dxfId="8609">
      <pivotArea field="0" dataOnly="0" labelOnly="1" grandRow="1" outline="0" axis="axisRow" fieldPosition="0">
        <references count="1">
          <reference field="4294967294" count="1" selected="0">
            <x v="33"/>
          </reference>
        </references>
      </pivotArea>
    </format>
    <format dxfId="8608">
      <pivotArea field="0" dataOnly="0" labelOnly="1" grandRow="1" outline="0" axis="axisRow" fieldPosition="0">
        <references count="1">
          <reference field="4294967294" count="1" selected="0">
            <x v="34"/>
          </reference>
        </references>
      </pivotArea>
    </format>
    <format dxfId="8607">
      <pivotArea field="0" dataOnly="0" labelOnly="1" grandRow="1" outline="0" axis="axisRow" fieldPosition="0">
        <references count="1">
          <reference field="4294967294" count="1" selected="0">
            <x v="35"/>
          </reference>
        </references>
      </pivotArea>
    </format>
    <format dxfId="8606">
      <pivotArea field="0" dataOnly="0" labelOnly="1" grandRow="1" outline="0" axis="axisRow" fieldPosition="0">
        <references count="1">
          <reference field="4294967294" count="1" selected="0">
            <x v="0"/>
          </reference>
        </references>
      </pivotArea>
    </format>
    <format dxfId="8605">
      <pivotArea field="0" dataOnly="0" labelOnly="1" grandRow="1" outline="0" axis="axisRow" fieldPosition="0">
        <references count="1">
          <reference field="4294967294" count="1" selected="0">
            <x v="1"/>
          </reference>
        </references>
      </pivotArea>
    </format>
    <format dxfId="8604">
      <pivotArea field="0" dataOnly="0" labelOnly="1" grandRow="1" outline="0" axis="axisRow" fieldPosition="0">
        <references count="1">
          <reference field="4294967294" count="1" selected="0">
            <x v="2"/>
          </reference>
        </references>
      </pivotArea>
    </format>
    <format dxfId="8603">
      <pivotArea field="0" dataOnly="0" labelOnly="1" grandRow="1" outline="0" axis="axisRow" fieldPosition="0">
        <references count="1">
          <reference field="4294967294" count="1" selected="0">
            <x v="3"/>
          </reference>
        </references>
      </pivotArea>
    </format>
    <format dxfId="8602">
      <pivotArea field="0" dataOnly="0" labelOnly="1" grandRow="1" outline="0" axis="axisRow" fieldPosition="0">
        <references count="1">
          <reference field="4294967294" count="1" selected="0">
            <x v="4"/>
          </reference>
        </references>
      </pivotArea>
    </format>
    <format dxfId="8601">
      <pivotArea field="0" dataOnly="0" labelOnly="1" grandRow="1" outline="0" axis="axisRow" fieldPosition="0">
        <references count="1">
          <reference field="4294967294" count="1" selected="0">
            <x v="5"/>
          </reference>
        </references>
      </pivotArea>
    </format>
    <format dxfId="8600">
      <pivotArea field="0" dataOnly="0" labelOnly="1" grandRow="1" outline="0" axis="axisRow" fieldPosition="0">
        <references count="1">
          <reference field="4294967294" count="1" selected="0">
            <x v="6"/>
          </reference>
        </references>
      </pivotArea>
    </format>
    <format dxfId="8599">
      <pivotArea field="0" dataOnly="0" labelOnly="1" grandRow="1" outline="0" axis="axisRow" fieldPosition="0">
        <references count="1">
          <reference field="4294967294" count="1" selected="0">
            <x v="7"/>
          </reference>
        </references>
      </pivotArea>
    </format>
    <format dxfId="8598">
      <pivotArea field="0" dataOnly="0" labelOnly="1" grandRow="1" outline="0" axis="axisRow" fieldPosition="0">
        <references count="1">
          <reference field="4294967294" count="1" selected="0">
            <x v="8"/>
          </reference>
        </references>
      </pivotArea>
    </format>
    <format dxfId="8597">
      <pivotArea field="0" dataOnly="0" labelOnly="1" grandRow="1" outline="0" axis="axisRow" fieldPosition="0">
        <references count="1">
          <reference field="4294967294" count="1" selected="0">
            <x v="9"/>
          </reference>
        </references>
      </pivotArea>
    </format>
    <format dxfId="8596">
      <pivotArea field="0" dataOnly="0" labelOnly="1" grandRow="1" outline="0" axis="axisRow" fieldPosition="0">
        <references count="1">
          <reference field="4294967294" count="1" selected="0">
            <x v="10"/>
          </reference>
        </references>
      </pivotArea>
    </format>
    <format dxfId="8595">
      <pivotArea field="0" dataOnly="0" labelOnly="1" grandRow="1" outline="0" axis="axisRow" fieldPosition="0">
        <references count="1">
          <reference field="4294967294" count="1" selected="0">
            <x v="11"/>
          </reference>
        </references>
      </pivotArea>
    </format>
    <format dxfId="8594">
      <pivotArea field="0" dataOnly="0" labelOnly="1" grandRow="1" outline="0" axis="axisRow" fieldPosition="0">
        <references count="1">
          <reference field="4294967294" count="1" selected="0">
            <x v="12"/>
          </reference>
        </references>
      </pivotArea>
    </format>
    <format dxfId="8593">
      <pivotArea field="0" dataOnly="0" labelOnly="1" grandRow="1" outline="0" axis="axisRow" fieldPosition="0">
        <references count="1">
          <reference field="4294967294" count="1" selected="0">
            <x v="13"/>
          </reference>
        </references>
      </pivotArea>
    </format>
    <format dxfId="8592">
      <pivotArea field="0" dataOnly="0" labelOnly="1" grandRow="1" outline="0" axis="axisRow" fieldPosition="0">
        <references count="1">
          <reference field="4294967294" count="1" selected="0">
            <x v="14"/>
          </reference>
        </references>
      </pivotArea>
    </format>
    <format dxfId="8591">
      <pivotArea field="0" dataOnly="0" labelOnly="1" grandRow="1" outline="0" axis="axisRow" fieldPosition="0">
        <references count="1">
          <reference field="4294967294" count="1" selected="0">
            <x v="15"/>
          </reference>
        </references>
      </pivotArea>
    </format>
    <format dxfId="8590">
      <pivotArea field="0" dataOnly="0" labelOnly="1" grandRow="1" outline="0" axis="axisRow" fieldPosition="0">
        <references count="1">
          <reference field="4294967294" count="1" selected="0">
            <x v="16"/>
          </reference>
        </references>
      </pivotArea>
    </format>
    <format dxfId="8589">
      <pivotArea field="0" dataOnly="0" labelOnly="1" grandRow="1" outline="0" axis="axisRow" fieldPosition="0">
        <references count="1">
          <reference field="4294967294" count="1" selected="0">
            <x v="17"/>
          </reference>
        </references>
      </pivotArea>
    </format>
    <format dxfId="8588">
      <pivotArea field="0" dataOnly="0" labelOnly="1" grandRow="1" outline="0" axis="axisRow" fieldPosition="0">
        <references count="1">
          <reference field="4294967294" count="1" selected="0">
            <x v="18"/>
          </reference>
        </references>
      </pivotArea>
    </format>
    <format dxfId="8587">
      <pivotArea field="0" dataOnly="0" labelOnly="1" grandRow="1" outline="0" axis="axisRow" fieldPosition="0">
        <references count="1">
          <reference field="4294967294" count="1" selected="0">
            <x v="19"/>
          </reference>
        </references>
      </pivotArea>
    </format>
    <format dxfId="8586">
      <pivotArea field="0" dataOnly="0" labelOnly="1" grandRow="1" outline="0" axis="axisRow" fieldPosition="0">
        <references count="1">
          <reference field="4294967294" count="1" selected="0">
            <x v="20"/>
          </reference>
        </references>
      </pivotArea>
    </format>
    <format dxfId="8585">
      <pivotArea field="0" dataOnly="0" labelOnly="1" grandRow="1" outline="0" axis="axisRow" fieldPosition="0">
        <references count="1">
          <reference field="4294967294" count="1" selected="0">
            <x v="21"/>
          </reference>
        </references>
      </pivotArea>
    </format>
    <format dxfId="8584">
      <pivotArea field="0" dataOnly="0" labelOnly="1" grandRow="1" outline="0" axis="axisRow" fieldPosition="0">
        <references count="1">
          <reference field="4294967294" count="1" selected="0">
            <x v="22"/>
          </reference>
        </references>
      </pivotArea>
    </format>
    <format dxfId="8583">
      <pivotArea field="0" dataOnly="0" labelOnly="1" grandRow="1" outline="0" axis="axisRow" fieldPosition="0">
        <references count="1">
          <reference field="4294967294" count="1" selected="0">
            <x v="23"/>
          </reference>
        </references>
      </pivotArea>
    </format>
    <format dxfId="8582">
      <pivotArea field="0" dataOnly="0" labelOnly="1" grandRow="1" outline="0" axis="axisRow" fieldPosition="0">
        <references count="1">
          <reference field="4294967294" count="1" selected="0">
            <x v="24"/>
          </reference>
        </references>
      </pivotArea>
    </format>
    <format dxfId="8581">
      <pivotArea field="0" dataOnly="0" labelOnly="1" grandRow="1" outline="0" axis="axisRow" fieldPosition="0">
        <references count="1">
          <reference field="4294967294" count="1" selected="0">
            <x v="25"/>
          </reference>
        </references>
      </pivotArea>
    </format>
    <format dxfId="8580">
      <pivotArea field="0" dataOnly="0" labelOnly="1" grandRow="1" outline="0" axis="axisRow" fieldPosition="0">
        <references count="1">
          <reference field="4294967294" count="1" selected="0">
            <x v="26"/>
          </reference>
        </references>
      </pivotArea>
    </format>
    <format dxfId="8579">
      <pivotArea field="0" dataOnly="0" labelOnly="1" grandRow="1" outline="0" axis="axisRow" fieldPosition="0">
        <references count="1">
          <reference field="4294967294" count="1" selected="0">
            <x v="27"/>
          </reference>
        </references>
      </pivotArea>
    </format>
    <format dxfId="8578">
      <pivotArea field="0" dataOnly="0" labelOnly="1" grandRow="1" outline="0" axis="axisRow" fieldPosition="0">
        <references count="1">
          <reference field="4294967294" count="1" selected="0">
            <x v="28"/>
          </reference>
        </references>
      </pivotArea>
    </format>
    <format dxfId="8577">
      <pivotArea field="0" dataOnly="0" labelOnly="1" grandRow="1" outline="0" axis="axisRow" fieldPosition="0">
        <references count="1">
          <reference field="4294967294" count="1" selected="0">
            <x v="29"/>
          </reference>
        </references>
      </pivotArea>
    </format>
    <format dxfId="8576">
      <pivotArea field="0" dataOnly="0" labelOnly="1" grandRow="1" outline="0" axis="axisRow" fieldPosition="0">
        <references count="1">
          <reference field="4294967294" count="1" selected="0">
            <x v="30"/>
          </reference>
        </references>
      </pivotArea>
    </format>
    <format dxfId="8575">
      <pivotArea field="0" dataOnly="0" labelOnly="1" grandRow="1" outline="0" axis="axisRow" fieldPosition="0">
        <references count="1">
          <reference field="4294967294" count="1" selected="0">
            <x v="31"/>
          </reference>
        </references>
      </pivotArea>
    </format>
    <format dxfId="8574">
      <pivotArea field="0" dataOnly="0" labelOnly="1" grandRow="1" outline="0" axis="axisRow" fieldPosition="0">
        <references count="1">
          <reference field="4294967294" count="1" selected="0">
            <x v="32"/>
          </reference>
        </references>
      </pivotArea>
    </format>
    <format dxfId="8573">
      <pivotArea field="0" dataOnly="0" labelOnly="1" grandRow="1" outline="0" axis="axisRow" fieldPosition="0">
        <references count="1">
          <reference field="4294967294" count="1" selected="0">
            <x v="33"/>
          </reference>
        </references>
      </pivotArea>
    </format>
    <format dxfId="8572">
      <pivotArea field="0" dataOnly="0" labelOnly="1" grandRow="1" outline="0" axis="axisRow" fieldPosition="0">
        <references count="1">
          <reference field="4294967294" count="1" selected="0">
            <x v="34"/>
          </reference>
        </references>
      </pivotArea>
    </format>
    <format dxfId="8571">
      <pivotArea field="0" dataOnly="0" labelOnly="1" grandRow="1" outline="0" axis="axisRow" fieldPosition="0">
        <references count="1">
          <reference field="4294967294" count="1" selected="0">
            <x v="35"/>
          </reference>
        </references>
      </pivotArea>
    </format>
    <format dxfId="8570">
      <pivotArea field="0" dataOnly="0" labelOnly="1" grandRow="1" outline="0" axis="axisRow" fieldPosition="0">
        <references count="1">
          <reference field="4294967294" count="1" selected="0">
            <x v="0"/>
          </reference>
        </references>
      </pivotArea>
    </format>
    <format dxfId="8569">
      <pivotArea field="0" dataOnly="0" labelOnly="1" grandRow="1" outline="0" axis="axisRow" fieldPosition="0">
        <references count="1">
          <reference field="4294967294" count="1" selected="0">
            <x v="1"/>
          </reference>
        </references>
      </pivotArea>
    </format>
    <format dxfId="8568">
      <pivotArea field="0" dataOnly="0" labelOnly="1" grandRow="1" outline="0" axis="axisRow" fieldPosition="0">
        <references count="1">
          <reference field="4294967294" count="1" selected="0">
            <x v="2"/>
          </reference>
        </references>
      </pivotArea>
    </format>
    <format dxfId="8567">
      <pivotArea field="0" dataOnly="0" labelOnly="1" grandRow="1" outline="0" axis="axisRow" fieldPosition="0">
        <references count="1">
          <reference field="4294967294" count="1" selected="0">
            <x v="3"/>
          </reference>
        </references>
      </pivotArea>
    </format>
    <format dxfId="8566">
      <pivotArea field="0" dataOnly="0" labelOnly="1" grandRow="1" outline="0" axis="axisRow" fieldPosition="0">
        <references count="1">
          <reference field="4294967294" count="1" selected="0">
            <x v="4"/>
          </reference>
        </references>
      </pivotArea>
    </format>
    <format dxfId="8565">
      <pivotArea field="0" dataOnly="0" labelOnly="1" grandRow="1" outline="0" axis="axisRow" fieldPosition="0">
        <references count="1">
          <reference field="4294967294" count="1" selected="0">
            <x v="5"/>
          </reference>
        </references>
      </pivotArea>
    </format>
    <format dxfId="8564">
      <pivotArea field="0" dataOnly="0" labelOnly="1" grandRow="1" outline="0" axis="axisRow" fieldPosition="0">
        <references count="1">
          <reference field="4294967294" count="1" selected="0">
            <x v="6"/>
          </reference>
        </references>
      </pivotArea>
    </format>
    <format dxfId="8563">
      <pivotArea field="0" dataOnly="0" labelOnly="1" grandRow="1" outline="0" axis="axisRow" fieldPosition="0">
        <references count="1">
          <reference field="4294967294" count="1" selected="0">
            <x v="7"/>
          </reference>
        </references>
      </pivotArea>
    </format>
    <format dxfId="8562">
      <pivotArea field="0" dataOnly="0" labelOnly="1" grandRow="1" outline="0" axis="axisRow" fieldPosition="0">
        <references count="1">
          <reference field="4294967294" count="1" selected="0">
            <x v="8"/>
          </reference>
        </references>
      </pivotArea>
    </format>
    <format dxfId="8561">
      <pivotArea field="0" dataOnly="0" labelOnly="1" grandRow="1" outline="0" axis="axisRow" fieldPosition="0">
        <references count="1">
          <reference field="4294967294" count="1" selected="0">
            <x v="9"/>
          </reference>
        </references>
      </pivotArea>
    </format>
    <format dxfId="8560">
      <pivotArea field="0" dataOnly="0" labelOnly="1" grandRow="1" outline="0" axis="axisRow" fieldPosition="0">
        <references count="1">
          <reference field="4294967294" count="1" selected="0">
            <x v="10"/>
          </reference>
        </references>
      </pivotArea>
    </format>
    <format dxfId="8559">
      <pivotArea field="0" dataOnly="0" labelOnly="1" grandRow="1" outline="0" axis="axisRow" fieldPosition="0">
        <references count="1">
          <reference field="4294967294" count="1" selected="0">
            <x v="11"/>
          </reference>
        </references>
      </pivotArea>
    </format>
    <format dxfId="8558">
      <pivotArea field="0" dataOnly="0" labelOnly="1" grandRow="1" outline="0" axis="axisRow" fieldPosition="0">
        <references count="1">
          <reference field="4294967294" count="1" selected="0">
            <x v="12"/>
          </reference>
        </references>
      </pivotArea>
    </format>
    <format dxfId="8557">
      <pivotArea field="0" dataOnly="0" labelOnly="1" grandRow="1" outline="0" axis="axisRow" fieldPosition="0">
        <references count="1">
          <reference field="4294967294" count="1" selected="0">
            <x v="13"/>
          </reference>
        </references>
      </pivotArea>
    </format>
    <format dxfId="8556">
      <pivotArea field="0" dataOnly="0" labelOnly="1" grandRow="1" outline="0" axis="axisRow" fieldPosition="0">
        <references count="1">
          <reference field="4294967294" count="1" selected="0">
            <x v="14"/>
          </reference>
        </references>
      </pivotArea>
    </format>
    <format dxfId="8555">
      <pivotArea field="0" dataOnly="0" labelOnly="1" grandRow="1" outline="0" axis="axisRow" fieldPosition="0">
        <references count="1">
          <reference field="4294967294" count="1" selected="0">
            <x v="15"/>
          </reference>
        </references>
      </pivotArea>
    </format>
    <format dxfId="8554">
      <pivotArea field="0" dataOnly="0" labelOnly="1" grandRow="1" outline="0" axis="axisRow" fieldPosition="0">
        <references count="1">
          <reference field="4294967294" count="1" selected="0">
            <x v="16"/>
          </reference>
        </references>
      </pivotArea>
    </format>
    <format dxfId="8553">
      <pivotArea field="0" dataOnly="0" labelOnly="1" grandRow="1" outline="0" axis="axisRow" fieldPosition="0">
        <references count="1">
          <reference field="4294967294" count="1" selected="0">
            <x v="17"/>
          </reference>
        </references>
      </pivotArea>
    </format>
    <format dxfId="8552">
      <pivotArea field="0" dataOnly="0" labelOnly="1" grandRow="1" outline="0" axis="axisRow" fieldPosition="0">
        <references count="1">
          <reference field="4294967294" count="1" selected="0">
            <x v="18"/>
          </reference>
        </references>
      </pivotArea>
    </format>
    <format dxfId="8551">
      <pivotArea field="0" dataOnly="0" labelOnly="1" grandRow="1" outline="0" axis="axisRow" fieldPosition="0">
        <references count="1">
          <reference field="4294967294" count="1" selected="0">
            <x v="19"/>
          </reference>
        </references>
      </pivotArea>
    </format>
    <format dxfId="8550">
      <pivotArea field="0" dataOnly="0" labelOnly="1" grandRow="1" outline="0" axis="axisRow" fieldPosition="0">
        <references count="1">
          <reference field="4294967294" count="1" selected="0">
            <x v="20"/>
          </reference>
        </references>
      </pivotArea>
    </format>
    <format dxfId="8549">
      <pivotArea field="0" dataOnly="0" labelOnly="1" grandRow="1" outline="0" axis="axisRow" fieldPosition="0">
        <references count="1">
          <reference field="4294967294" count="1" selected="0">
            <x v="21"/>
          </reference>
        </references>
      </pivotArea>
    </format>
    <format dxfId="8548">
      <pivotArea field="0" dataOnly="0" labelOnly="1" grandRow="1" outline="0" axis="axisRow" fieldPosition="0">
        <references count="1">
          <reference field="4294967294" count="1" selected="0">
            <x v="22"/>
          </reference>
        </references>
      </pivotArea>
    </format>
    <format dxfId="8547">
      <pivotArea field="0" dataOnly="0" labelOnly="1" grandRow="1" outline="0" axis="axisRow" fieldPosition="0">
        <references count="1">
          <reference field="4294967294" count="1" selected="0">
            <x v="23"/>
          </reference>
        </references>
      </pivotArea>
    </format>
    <format dxfId="8546">
      <pivotArea field="0" dataOnly="0" labelOnly="1" grandRow="1" outline="0" axis="axisRow" fieldPosition="0">
        <references count="1">
          <reference field="4294967294" count="1" selected="0">
            <x v="24"/>
          </reference>
        </references>
      </pivotArea>
    </format>
    <format dxfId="8545">
      <pivotArea field="0" dataOnly="0" labelOnly="1" grandRow="1" outline="0" axis="axisRow" fieldPosition="0">
        <references count="1">
          <reference field="4294967294" count="1" selected="0">
            <x v="25"/>
          </reference>
        </references>
      </pivotArea>
    </format>
    <format dxfId="8544">
      <pivotArea field="0" dataOnly="0" labelOnly="1" grandRow="1" outline="0" axis="axisRow" fieldPosition="0">
        <references count="1">
          <reference field="4294967294" count="1" selected="0">
            <x v="26"/>
          </reference>
        </references>
      </pivotArea>
    </format>
    <format dxfId="8543">
      <pivotArea field="0" dataOnly="0" labelOnly="1" grandRow="1" outline="0" axis="axisRow" fieldPosition="0">
        <references count="1">
          <reference field="4294967294" count="1" selected="0">
            <x v="27"/>
          </reference>
        </references>
      </pivotArea>
    </format>
    <format dxfId="8542">
      <pivotArea field="0" dataOnly="0" labelOnly="1" grandRow="1" outline="0" axis="axisRow" fieldPosition="0">
        <references count="1">
          <reference field="4294967294" count="1" selected="0">
            <x v="28"/>
          </reference>
        </references>
      </pivotArea>
    </format>
    <format dxfId="8541">
      <pivotArea field="0" dataOnly="0" labelOnly="1" grandRow="1" outline="0" axis="axisRow" fieldPosition="0">
        <references count="1">
          <reference field="4294967294" count="1" selected="0">
            <x v="29"/>
          </reference>
        </references>
      </pivotArea>
    </format>
    <format dxfId="8540">
      <pivotArea field="0" dataOnly="0" labelOnly="1" grandRow="1" outline="0" axis="axisRow" fieldPosition="0">
        <references count="1">
          <reference field="4294967294" count="1" selected="0">
            <x v="30"/>
          </reference>
        </references>
      </pivotArea>
    </format>
    <format dxfId="8539">
      <pivotArea field="0" dataOnly="0" labelOnly="1" grandRow="1" outline="0" axis="axisRow" fieldPosition="0">
        <references count="1">
          <reference field="4294967294" count="1" selected="0">
            <x v="31"/>
          </reference>
        </references>
      </pivotArea>
    </format>
    <format dxfId="8538">
      <pivotArea field="0" dataOnly="0" labelOnly="1" grandRow="1" outline="0" axis="axisRow" fieldPosition="0">
        <references count="1">
          <reference field="4294967294" count="1" selected="0">
            <x v="32"/>
          </reference>
        </references>
      </pivotArea>
    </format>
    <format dxfId="8537">
      <pivotArea field="0" dataOnly="0" labelOnly="1" grandRow="1" outline="0" axis="axisRow" fieldPosition="0">
        <references count="1">
          <reference field="4294967294" count="1" selected="0">
            <x v="33"/>
          </reference>
        </references>
      </pivotArea>
    </format>
    <format dxfId="8536">
      <pivotArea field="0" dataOnly="0" labelOnly="1" grandRow="1" outline="0" axis="axisRow" fieldPosition="0">
        <references count="1">
          <reference field="4294967294" count="1" selected="0">
            <x v="34"/>
          </reference>
        </references>
      </pivotArea>
    </format>
    <format dxfId="8535">
      <pivotArea field="0" dataOnly="0" labelOnly="1" grandRow="1" outline="0" axis="axisRow" fieldPosition="0">
        <references count="1">
          <reference field="4294967294" count="1" selected="0">
            <x v="35"/>
          </reference>
        </references>
      </pivotArea>
    </format>
    <format dxfId="8534">
      <pivotArea field="0" dataOnly="0" labelOnly="1" grandRow="1" outline="0" axis="axisRow" fieldPosition="0">
        <references count="1">
          <reference field="4294967294" count="1" selected="0">
            <x v="0"/>
          </reference>
        </references>
      </pivotArea>
    </format>
    <format dxfId="8533">
      <pivotArea field="0" dataOnly="0" labelOnly="1" grandRow="1" outline="0" axis="axisRow" fieldPosition="0">
        <references count="1">
          <reference field="4294967294" count="1" selected="0">
            <x v="1"/>
          </reference>
        </references>
      </pivotArea>
    </format>
    <format dxfId="8532">
      <pivotArea field="0" dataOnly="0" labelOnly="1" grandRow="1" outline="0" axis="axisRow" fieldPosition="0">
        <references count="1">
          <reference field="4294967294" count="1" selected="0">
            <x v="2"/>
          </reference>
        </references>
      </pivotArea>
    </format>
    <format dxfId="8531">
      <pivotArea field="0" dataOnly="0" labelOnly="1" grandRow="1" outline="0" axis="axisRow" fieldPosition="0">
        <references count="1">
          <reference field="4294967294" count="1" selected="0">
            <x v="3"/>
          </reference>
        </references>
      </pivotArea>
    </format>
    <format dxfId="8530">
      <pivotArea field="0" dataOnly="0" labelOnly="1" grandRow="1" outline="0" axis="axisRow" fieldPosition="0">
        <references count="1">
          <reference field="4294967294" count="1" selected="0">
            <x v="4"/>
          </reference>
        </references>
      </pivotArea>
    </format>
    <format dxfId="8529">
      <pivotArea field="0" dataOnly="0" labelOnly="1" grandRow="1" outline="0" axis="axisRow" fieldPosition="0">
        <references count="1">
          <reference field="4294967294" count="1" selected="0">
            <x v="5"/>
          </reference>
        </references>
      </pivotArea>
    </format>
    <format dxfId="8528">
      <pivotArea field="0" dataOnly="0" labelOnly="1" grandRow="1" outline="0" axis="axisRow" fieldPosition="0">
        <references count="1">
          <reference field="4294967294" count="1" selected="0">
            <x v="6"/>
          </reference>
        </references>
      </pivotArea>
    </format>
    <format dxfId="8527">
      <pivotArea field="0" dataOnly="0" labelOnly="1" grandRow="1" outline="0" axis="axisRow" fieldPosition="0">
        <references count="1">
          <reference field="4294967294" count="1" selected="0">
            <x v="7"/>
          </reference>
        </references>
      </pivotArea>
    </format>
    <format dxfId="8526">
      <pivotArea field="0" dataOnly="0" labelOnly="1" grandRow="1" outline="0" axis="axisRow" fieldPosition="0">
        <references count="1">
          <reference field="4294967294" count="1" selected="0">
            <x v="8"/>
          </reference>
        </references>
      </pivotArea>
    </format>
    <format dxfId="8525">
      <pivotArea field="0" dataOnly="0" labelOnly="1" grandRow="1" outline="0" axis="axisRow" fieldPosition="0">
        <references count="1">
          <reference field="4294967294" count="1" selected="0">
            <x v="9"/>
          </reference>
        </references>
      </pivotArea>
    </format>
    <format dxfId="8524">
      <pivotArea field="0" dataOnly="0" labelOnly="1" grandRow="1" outline="0" axis="axisRow" fieldPosition="0">
        <references count="1">
          <reference field="4294967294" count="1" selected="0">
            <x v="10"/>
          </reference>
        </references>
      </pivotArea>
    </format>
    <format dxfId="8523">
      <pivotArea field="0" dataOnly="0" labelOnly="1" grandRow="1" outline="0" axis="axisRow" fieldPosition="0">
        <references count="1">
          <reference field="4294967294" count="1" selected="0">
            <x v="11"/>
          </reference>
        </references>
      </pivotArea>
    </format>
    <format dxfId="8522">
      <pivotArea field="0" dataOnly="0" labelOnly="1" grandRow="1" outline="0" axis="axisRow" fieldPosition="0">
        <references count="1">
          <reference field="4294967294" count="1" selected="0">
            <x v="12"/>
          </reference>
        </references>
      </pivotArea>
    </format>
    <format dxfId="8521">
      <pivotArea field="0" dataOnly="0" labelOnly="1" grandRow="1" outline="0" axis="axisRow" fieldPosition="0">
        <references count="1">
          <reference field="4294967294" count="1" selected="0">
            <x v="13"/>
          </reference>
        </references>
      </pivotArea>
    </format>
    <format dxfId="8520">
      <pivotArea field="0" dataOnly="0" labelOnly="1" grandRow="1" outline="0" axis="axisRow" fieldPosition="0">
        <references count="1">
          <reference field="4294967294" count="1" selected="0">
            <x v="14"/>
          </reference>
        </references>
      </pivotArea>
    </format>
    <format dxfId="8519">
      <pivotArea field="0" dataOnly="0" labelOnly="1" grandRow="1" outline="0" axis="axisRow" fieldPosition="0">
        <references count="1">
          <reference field="4294967294" count="1" selected="0">
            <x v="15"/>
          </reference>
        </references>
      </pivotArea>
    </format>
    <format dxfId="8518">
      <pivotArea field="0" dataOnly="0" labelOnly="1" grandRow="1" outline="0" axis="axisRow" fieldPosition="0">
        <references count="1">
          <reference field="4294967294" count="1" selected="0">
            <x v="16"/>
          </reference>
        </references>
      </pivotArea>
    </format>
    <format dxfId="8517">
      <pivotArea field="0" dataOnly="0" labelOnly="1" grandRow="1" outline="0" axis="axisRow" fieldPosition="0">
        <references count="1">
          <reference field="4294967294" count="1" selected="0">
            <x v="17"/>
          </reference>
        </references>
      </pivotArea>
    </format>
    <format dxfId="8516">
      <pivotArea field="0" dataOnly="0" labelOnly="1" grandRow="1" outline="0" axis="axisRow" fieldPosition="0">
        <references count="1">
          <reference field="4294967294" count="1" selected="0">
            <x v="18"/>
          </reference>
        </references>
      </pivotArea>
    </format>
    <format dxfId="8515">
      <pivotArea field="0" dataOnly="0" labelOnly="1" grandRow="1" outline="0" axis="axisRow" fieldPosition="0">
        <references count="1">
          <reference field="4294967294" count="1" selected="0">
            <x v="19"/>
          </reference>
        </references>
      </pivotArea>
    </format>
    <format dxfId="8514">
      <pivotArea field="0" dataOnly="0" labelOnly="1" grandRow="1" outline="0" axis="axisRow" fieldPosition="0">
        <references count="1">
          <reference field="4294967294" count="1" selected="0">
            <x v="20"/>
          </reference>
        </references>
      </pivotArea>
    </format>
    <format dxfId="8513">
      <pivotArea field="0" dataOnly="0" labelOnly="1" grandRow="1" outline="0" axis="axisRow" fieldPosition="0">
        <references count="1">
          <reference field="4294967294" count="1" selected="0">
            <x v="21"/>
          </reference>
        </references>
      </pivotArea>
    </format>
    <format dxfId="8512">
      <pivotArea field="0" dataOnly="0" labelOnly="1" grandRow="1" outline="0" axis="axisRow" fieldPosition="0">
        <references count="1">
          <reference field="4294967294" count="1" selected="0">
            <x v="22"/>
          </reference>
        </references>
      </pivotArea>
    </format>
    <format dxfId="8511">
      <pivotArea field="0" dataOnly="0" labelOnly="1" grandRow="1" outline="0" axis="axisRow" fieldPosition="0">
        <references count="1">
          <reference field="4294967294" count="1" selected="0">
            <x v="23"/>
          </reference>
        </references>
      </pivotArea>
    </format>
    <format dxfId="8510">
      <pivotArea field="0" dataOnly="0" labelOnly="1" grandRow="1" outline="0" axis="axisRow" fieldPosition="0">
        <references count="1">
          <reference field="4294967294" count="1" selected="0">
            <x v="24"/>
          </reference>
        </references>
      </pivotArea>
    </format>
    <format dxfId="8509">
      <pivotArea field="0" dataOnly="0" labelOnly="1" grandRow="1" outline="0" axis="axisRow" fieldPosition="0">
        <references count="1">
          <reference field="4294967294" count="1" selected="0">
            <x v="25"/>
          </reference>
        </references>
      </pivotArea>
    </format>
    <format dxfId="8508">
      <pivotArea field="0" dataOnly="0" labelOnly="1" grandRow="1" outline="0" axis="axisRow" fieldPosition="0">
        <references count="1">
          <reference field="4294967294" count="1" selected="0">
            <x v="26"/>
          </reference>
        </references>
      </pivotArea>
    </format>
    <format dxfId="8507">
      <pivotArea field="0" dataOnly="0" labelOnly="1" grandRow="1" outline="0" axis="axisRow" fieldPosition="0">
        <references count="1">
          <reference field="4294967294" count="1" selected="0">
            <x v="27"/>
          </reference>
        </references>
      </pivotArea>
    </format>
    <format dxfId="8506">
      <pivotArea field="0" dataOnly="0" labelOnly="1" grandRow="1" outline="0" axis="axisRow" fieldPosition="0">
        <references count="1">
          <reference field="4294967294" count="1" selected="0">
            <x v="28"/>
          </reference>
        </references>
      </pivotArea>
    </format>
    <format dxfId="8505">
      <pivotArea field="0" dataOnly="0" labelOnly="1" grandRow="1" outline="0" axis="axisRow" fieldPosition="0">
        <references count="1">
          <reference field="4294967294" count="1" selected="0">
            <x v="29"/>
          </reference>
        </references>
      </pivotArea>
    </format>
    <format dxfId="8504">
      <pivotArea field="0" dataOnly="0" labelOnly="1" grandRow="1" outline="0" axis="axisRow" fieldPosition="0">
        <references count="1">
          <reference field="4294967294" count="1" selected="0">
            <x v="30"/>
          </reference>
        </references>
      </pivotArea>
    </format>
    <format dxfId="8503">
      <pivotArea field="0" dataOnly="0" labelOnly="1" grandRow="1" outline="0" axis="axisRow" fieldPosition="0">
        <references count="1">
          <reference field="4294967294" count="1" selected="0">
            <x v="31"/>
          </reference>
        </references>
      </pivotArea>
    </format>
    <format dxfId="8502">
      <pivotArea field="0" dataOnly="0" labelOnly="1" grandRow="1" outline="0" axis="axisRow" fieldPosition="0">
        <references count="1">
          <reference field="4294967294" count="1" selected="0">
            <x v="32"/>
          </reference>
        </references>
      </pivotArea>
    </format>
    <format dxfId="8501">
      <pivotArea field="0" dataOnly="0" labelOnly="1" grandRow="1" outline="0" axis="axisRow" fieldPosition="0">
        <references count="1">
          <reference field="4294967294" count="1" selected="0">
            <x v="33"/>
          </reference>
        </references>
      </pivotArea>
    </format>
    <format dxfId="8500">
      <pivotArea field="0" dataOnly="0" labelOnly="1" grandRow="1" outline="0" axis="axisRow" fieldPosition="0">
        <references count="1">
          <reference field="4294967294" count="1" selected="0">
            <x v="34"/>
          </reference>
        </references>
      </pivotArea>
    </format>
    <format dxfId="8499">
      <pivotArea field="0" dataOnly="0" labelOnly="1" grandRow="1" outline="0" axis="axisRow" fieldPosition="0">
        <references count="1">
          <reference field="4294967294" count="1" selected="0">
            <x v="35"/>
          </reference>
        </references>
      </pivotArea>
    </format>
    <format dxfId="8498">
      <pivotArea field="0" dataOnly="0" labelOnly="1" grandRow="1" outline="0" axis="axisRow" fieldPosition="0">
        <references count="1">
          <reference field="4294967294" count="1" selected="0">
            <x v="0"/>
          </reference>
        </references>
      </pivotArea>
    </format>
    <format dxfId="8497">
      <pivotArea field="0" dataOnly="0" labelOnly="1" grandRow="1" outline="0" axis="axisRow" fieldPosition="0">
        <references count="1">
          <reference field="4294967294" count="1" selected="0">
            <x v="1"/>
          </reference>
        </references>
      </pivotArea>
    </format>
    <format dxfId="8496">
      <pivotArea field="0" dataOnly="0" labelOnly="1" grandRow="1" outline="0" axis="axisRow" fieldPosition="0">
        <references count="1">
          <reference field="4294967294" count="1" selected="0">
            <x v="2"/>
          </reference>
        </references>
      </pivotArea>
    </format>
    <format dxfId="8495">
      <pivotArea field="0" dataOnly="0" labelOnly="1" grandRow="1" outline="0" axis="axisRow" fieldPosition="0">
        <references count="1">
          <reference field="4294967294" count="1" selected="0">
            <x v="3"/>
          </reference>
        </references>
      </pivotArea>
    </format>
    <format dxfId="8494">
      <pivotArea field="0" dataOnly="0" labelOnly="1" grandRow="1" outline="0" axis="axisRow" fieldPosition="0">
        <references count="1">
          <reference field="4294967294" count="1" selected="0">
            <x v="4"/>
          </reference>
        </references>
      </pivotArea>
    </format>
    <format dxfId="8493">
      <pivotArea field="0" dataOnly="0" labelOnly="1" grandRow="1" outline="0" axis="axisRow" fieldPosition="0">
        <references count="1">
          <reference field="4294967294" count="1" selected="0">
            <x v="5"/>
          </reference>
        </references>
      </pivotArea>
    </format>
    <format dxfId="8492">
      <pivotArea field="0" dataOnly="0" labelOnly="1" grandRow="1" outline="0" axis="axisRow" fieldPosition="0">
        <references count="1">
          <reference field="4294967294" count="1" selected="0">
            <x v="6"/>
          </reference>
        </references>
      </pivotArea>
    </format>
    <format dxfId="8491">
      <pivotArea field="0" dataOnly="0" labelOnly="1" grandRow="1" outline="0" axis="axisRow" fieldPosition="0">
        <references count="1">
          <reference field="4294967294" count="1" selected="0">
            <x v="7"/>
          </reference>
        </references>
      </pivotArea>
    </format>
    <format dxfId="8490">
      <pivotArea field="0" dataOnly="0" labelOnly="1" grandRow="1" outline="0" axis="axisRow" fieldPosition="0">
        <references count="1">
          <reference field="4294967294" count="1" selected="0">
            <x v="8"/>
          </reference>
        </references>
      </pivotArea>
    </format>
    <format dxfId="8489">
      <pivotArea field="0" dataOnly="0" labelOnly="1" grandRow="1" outline="0" axis="axisRow" fieldPosition="0">
        <references count="1">
          <reference field="4294967294" count="1" selected="0">
            <x v="9"/>
          </reference>
        </references>
      </pivotArea>
    </format>
    <format dxfId="8488">
      <pivotArea field="0" dataOnly="0" labelOnly="1" grandRow="1" outline="0" axis="axisRow" fieldPosition="0">
        <references count="1">
          <reference field="4294967294" count="1" selected="0">
            <x v="10"/>
          </reference>
        </references>
      </pivotArea>
    </format>
    <format dxfId="8487">
      <pivotArea field="0" dataOnly="0" labelOnly="1" grandRow="1" outline="0" axis="axisRow" fieldPosition="0">
        <references count="1">
          <reference field="4294967294" count="1" selected="0">
            <x v="11"/>
          </reference>
        </references>
      </pivotArea>
    </format>
    <format dxfId="8486">
      <pivotArea field="0" dataOnly="0" labelOnly="1" grandRow="1" outline="0" axis="axisRow" fieldPosition="0">
        <references count="1">
          <reference field="4294967294" count="1" selected="0">
            <x v="12"/>
          </reference>
        </references>
      </pivotArea>
    </format>
    <format dxfId="8485">
      <pivotArea field="0" dataOnly="0" labelOnly="1" grandRow="1" outline="0" axis="axisRow" fieldPosition="0">
        <references count="1">
          <reference field="4294967294" count="1" selected="0">
            <x v="13"/>
          </reference>
        </references>
      </pivotArea>
    </format>
    <format dxfId="8484">
      <pivotArea field="0" dataOnly="0" labelOnly="1" grandRow="1" outline="0" axis="axisRow" fieldPosition="0">
        <references count="1">
          <reference field="4294967294" count="1" selected="0">
            <x v="14"/>
          </reference>
        </references>
      </pivotArea>
    </format>
    <format dxfId="8483">
      <pivotArea field="0" dataOnly="0" labelOnly="1" grandRow="1" outline="0" axis="axisRow" fieldPosition="0">
        <references count="1">
          <reference field="4294967294" count="1" selected="0">
            <x v="15"/>
          </reference>
        </references>
      </pivotArea>
    </format>
    <format dxfId="8482">
      <pivotArea field="0" dataOnly="0" labelOnly="1" grandRow="1" outline="0" axis="axisRow" fieldPosition="0">
        <references count="1">
          <reference field="4294967294" count="1" selected="0">
            <x v="16"/>
          </reference>
        </references>
      </pivotArea>
    </format>
    <format dxfId="8481">
      <pivotArea field="0" dataOnly="0" labelOnly="1" grandRow="1" outline="0" axis="axisRow" fieldPosition="0">
        <references count="1">
          <reference field="4294967294" count="1" selected="0">
            <x v="17"/>
          </reference>
        </references>
      </pivotArea>
    </format>
    <format dxfId="8480">
      <pivotArea field="0" dataOnly="0" labelOnly="1" grandRow="1" outline="0" axis="axisRow" fieldPosition="0">
        <references count="1">
          <reference field="4294967294" count="1" selected="0">
            <x v="18"/>
          </reference>
        </references>
      </pivotArea>
    </format>
    <format dxfId="8479">
      <pivotArea field="0" dataOnly="0" labelOnly="1" grandRow="1" outline="0" axis="axisRow" fieldPosition="0">
        <references count="1">
          <reference field="4294967294" count="1" selected="0">
            <x v="19"/>
          </reference>
        </references>
      </pivotArea>
    </format>
    <format dxfId="8478">
      <pivotArea field="0" dataOnly="0" labelOnly="1" grandRow="1" outline="0" axis="axisRow" fieldPosition="0">
        <references count="1">
          <reference field="4294967294" count="1" selected="0">
            <x v="20"/>
          </reference>
        </references>
      </pivotArea>
    </format>
    <format dxfId="8477">
      <pivotArea field="0" dataOnly="0" labelOnly="1" grandRow="1" outline="0" axis="axisRow" fieldPosition="0">
        <references count="1">
          <reference field="4294967294" count="1" selected="0">
            <x v="21"/>
          </reference>
        </references>
      </pivotArea>
    </format>
    <format dxfId="8476">
      <pivotArea field="0" dataOnly="0" labelOnly="1" grandRow="1" outline="0" axis="axisRow" fieldPosition="0">
        <references count="1">
          <reference field="4294967294" count="1" selected="0">
            <x v="22"/>
          </reference>
        </references>
      </pivotArea>
    </format>
    <format dxfId="8475">
      <pivotArea field="0" dataOnly="0" labelOnly="1" grandRow="1" outline="0" axis="axisRow" fieldPosition="0">
        <references count="1">
          <reference field="4294967294" count="1" selected="0">
            <x v="23"/>
          </reference>
        </references>
      </pivotArea>
    </format>
    <format dxfId="8474">
      <pivotArea field="0" dataOnly="0" labelOnly="1" grandRow="1" outline="0" axis="axisRow" fieldPosition="0">
        <references count="1">
          <reference field="4294967294" count="1" selected="0">
            <x v="24"/>
          </reference>
        </references>
      </pivotArea>
    </format>
    <format dxfId="8473">
      <pivotArea field="0" dataOnly="0" labelOnly="1" grandRow="1" outline="0" axis="axisRow" fieldPosition="0">
        <references count="1">
          <reference field="4294967294" count="1" selected="0">
            <x v="25"/>
          </reference>
        </references>
      </pivotArea>
    </format>
    <format dxfId="8472">
      <pivotArea field="0" dataOnly="0" labelOnly="1" grandRow="1" outline="0" axis="axisRow" fieldPosition="0">
        <references count="1">
          <reference field="4294967294" count="1" selected="0">
            <x v="26"/>
          </reference>
        </references>
      </pivotArea>
    </format>
    <format dxfId="8471">
      <pivotArea field="0" dataOnly="0" labelOnly="1" grandRow="1" outline="0" axis="axisRow" fieldPosition="0">
        <references count="1">
          <reference field="4294967294" count="1" selected="0">
            <x v="27"/>
          </reference>
        </references>
      </pivotArea>
    </format>
    <format dxfId="8470">
      <pivotArea field="0" dataOnly="0" labelOnly="1" grandRow="1" outline="0" axis="axisRow" fieldPosition="0">
        <references count="1">
          <reference field="4294967294" count="1" selected="0">
            <x v="28"/>
          </reference>
        </references>
      </pivotArea>
    </format>
    <format dxfId="8469">
      <pivotArea field="0" dataOnly="0" labelOnly="1" grandRow="1" outline="0" axis="axisRow" fieldPosition="0">
        <references count="1">
          <reference field="4294967294" count="1" selected="0">
            <x v="29"/>
          </reference>
        </references>
      </pivotArea>
    </format>
    <format dxfId="8468">
      <pivotArea field="0" dataOnly="0" labelOnly="1" grandRow="1" outline="0" axis="axisRow" fieldPosition="0">
        <references count="1">
          <reference field="4294967294" count="1" selected="0">
            <x v="30"/>
          </reference>
        </references>
      </pivotArea>
    </format>
    <format dxfId="8467">
      <pivotArea field="0" dataOnly="0" labelOnly="1" grandRow="1" outline="0" axis="axisRow" fieldPosition="0">
        <references count="1">
          <reference field="4294967294" count="1" selected="0">
            <x v="31"/>
          </reference>
        </references>
      </pivotArea>
    </format>
    <format dxfId="8466">
      <pivotArea field="0" dataOnly="0" labelOnly="1" grandRow="1" outline="0" axis="axisRow" fieldPosition="0">
        <references count="1">
          <reference field="4294967294" count="1" selected="0">
            <x v="32"/>
          </reference>
        </references>
      </pivotArea>
    </format>
    <format dxfId="8465">
      <pivotArea field="0" dataOnly="0" labelOnly="1" grandRow="1" outline="0" axis="axisRow" fieldPosition="0">
        <references count="1">
          <reference field="4294967294" count="1" selected="0">
            <x v="33"/>
          </reference>
        </references>
      </pivotArea>
    </format>
    <format dxfId="8464">
      <pivotArea field="0" dataOnly="0" labelOnly="1" grandRow="1" outline="0" axis="axisRow" fieldPosition="0">
        <references count="1">
          <reference field="4294967294" count="1" selected="0">
            <x v="34"/>
          </reference>
        </references>
      </pivotArea>
    </format>
    <format dxfId="8463">
      <pivotArea field="0" dataOnly="0" labelOnly="1" grandRow="1" outline="0" axis="axisRow" fieldPosition="0">
        <references count="1">
          <reference field="4294967294" count="1" selected="0">
            <x v="35"/>
          </reference>
        </references>
      </pivotArea>
    </format>
    <format dxfId="8462">
      <pivotArea field="0" dataOnly="0" labelOnly="1" grandRow="1" outline="0" axis="axisRow" fieldPosition="0">
        <references count="1">
          <reference field="4294967294" count="1" selected="0">
            <x v="0"/>
          </reference>
        </references>
      </pivotArea>
    </format>
    <format dxfId="8461">
      <pivotArea field="0" dataOnly="0" labelOnly="1" grandRow="1" outline="0" axis="axisRow" fieldPosition="0">
        <references count="1">
          <reference field="4294967294" count="1" selected="0">
            <x v="1"/>
          </reference>
        </references>
      </pivotArea>
    </format>
    <format dxfId="8460">
      <pivotArea field="0" dataOnly="0" labelOnly="1" grandRow="1" outline="0" axis="axisRow" fieldPosition="0">
        <references count="1">
          <reference field="4294967294" count="1" selected="0">
            <x v="2"/>
          </reference>
        </references>
      </pivotArea>
    </format>
    <format dxfId="8459">
      <pivotArea field="0" dataOnly="0" labelOnly="1" grandRow="1" outline="0" axis="axisRow" fieldPosition="0">
        <references count="1">
          <reference field="4294967294" count="1" selected="0">
            <x v="3"/>
          </reference>
        </references>
      </pivotArea>
    </format>
    <format dxfId="8458">
      <pivotArea field="0" dataOnly="0" labelOnly="1" grandRow="1" outline="0" axis="axisRow" fieldPosition="0">
        <references count="1">
          <reference field="4294967294" count="1" selected="0">
            <x v="4"/>
          </reference>
        </references>
      </pivotArea>
    </format>
    <format dxfId="8457">
      <pivotArea field="0" dataOnly="0" labelOnly="1" grandRow="1" outline="0" axis="axisRow" fieldPosition="0">
        <references count="1">
          <reference field="4294967294" count="1" selected="0">
            <x v="5"/>
          </reference>
        </references>
      </pivotArea>
    </format>
    <format dxfId="8456">
      <pivotArea field="0" dataOnly="0" labelOnly="1" grandRow="1" outline="0" axis="axisRow" fieldPosition="0">
        <references count="1">
          <reference field="4294967294" count="1" selected="0">
            <x v="6"/>
          </reference>
        </references>
      </pivotArea>
    </format>
    <format dxfId="8455">
      <pivotArea field="0" dataOnly="0" labelOnly="1" grandRow="1" outline="0" axis="axisRow" fieldPosition="0">
        <references count="1">
          <reference field="4294967294" count="1" selected="0">
            <x v="7"/>
          </reference>
        </references>
      </pivotArea>
    </format>
    <format dxfId="8454">
      <pivotArea field="0" dataOnly="0" labelOnly="1" grandRow="1" outline="0" axis="axisRow" fieldPosition="0">
        <references count="1">
          <reference field="4294967294" count="1" selected="0">
            <x v="8"/>
          </reference>
        </references>
      </pivotArea>
    </format>
    <format dxfId="8453">
      <pivotArea field="0" dataOnly="0" labelOnly="1" grandRow="1" outline="0" axis="axisRow" fieldPosition="0">
        <references count="1">
          <reference field="4294967294" count="1" selected="0">
            <x v="9"/>
          </reference>
        </references>
      </pivotArea>
    </format>
    <format dxfId="8452">
      <pivotArea field="0" dataOnly="0" labelOnly="1" grandRow="1" outline="0" axis="axisRow" fieldPosition="0">
        <references count="1">
          <reference field="4294967294" count="1" selected="0">
            <x v="10"/>
          </reference>
        </references>
      </pivotArea>
    </format>
    <format dxfId="8451">
      <pivotArea field="0" dataOnly="0" labelOnly="1" grandRow="1" outline="0" axis="axisRow" fieldPosition="0">
        <references count="1">
          <reference field="4294967294" count="1" selected="0">
            <x v="11"/>
          </reference>
        </references>
      </pivotArea>
    </format>
    <format dxfId="8450">
      <pivotArea field="0" dataOnly="0" labelOnly="1" grandRow="1" outline="0" axis="axisRow" fieldPosition="0">
        <references count="1">
          <reference field="4294967294" count="1" selected="0">
            <x v="12"/>
          </reference>
        </references>
      </pivotArea>
    </format>
    <format dxfId="8449">
      <pivotArea field="0" dataOnly="0" labelOnly="1" grandRow="1" outline="0" axis="axisRow" fieldPosition="0">
        <references count="1">
          <reference field="4294967294" count="1" selected="0">
            <x v="13"/>
          </reference>
        </references>
      </pivotArea>
    </format>
    <format dxfId="8448">
      <pivotArea field="0" dataOnly="0" labelOnly="1" grandRow="1" outline="0" axis="axisRow" fieldPosition="0">
        <references count="1">
          <reference field="4294967294" count="1" selected="0">
            <x v="14"/>
          </reference>
        </references>
      </pivotArea>
    </format>
    <format dxfId="8447">
      <pivotArea field="0" dataOnly="0" labelOnly="1" grandRow="1" outline="0" axis="axisRow" fieldPosition="0">
        <references count="1">
          <reference field="4294967294" count="1" selected="0">
            <x v="15"/>
          </reference>
        </references>
      </pivotArea>
    </format>
    <format dxfId="8446">
      <pivotArea field="0" dataOnly="0" labelOnly="1" grandRow="1" outline="0" axis="axisRow" fieldPosition="0">
        <references count="1">
          <reference field="4294967294" count="1" selected="0">
            <x v="16"/>
          </reference>
        </references>
      </pivotArea>
    </format>
    <format dxfId="8445">
      <pivotArea field="0" dataOnly="0" labelOnly="1" grandRow="1" outline="0" axis="axisRow" fieldPosition="0">
        <references count="1">
          <reference field="4294967294" count="1" selected="0">
            <x v="17"/>
          </reference>
        </references>
      </pivotArea>
    </format>
    <format dxfId="8444">
      <pivotArea field="0" dataOnly="0" labelOnly="1" grandRow="1" outline="0" axis="axisRow" fieldPosition="0">
        <references count="1">
          <reference field="4294967294" count="1" selected="0">
            <x v="18"/>
          </reference>
        </references>
      </pivotArea>
    </format>
    <format dxfId="8443">
      <pivotArea field="0" dataOnly="0" labelOnly="1" grandRow="1" outline="0" axis="axisRow" fieldPosition="0">
        <references count="1">
          <reference field="4294967294" count="1" selected="0">
            <x v="19"/>
          </reference>
        </references>
      </pivotArea>
    </format>
    <format dxfId="8442">
      <pivotArea field="0" dataOnly="0" labelOnly="1" grandRow="1" outline="0" axis="axisRow" fieldPosition="0">
        <references count="1">
          <reference field="4294967294" count="1" selected="0">
            <x v="20"/>
          </reference>
        </references>
      </pivotArea>
    </format>
    <format dxfId="8441">
      <pivotArea field="0" dataOnly="0" labelOnly="1" grandRow="1" outline="0" axis="axisRow" fieldPosition="0">
        <references count="1">
          <reference field="4294967294" count="1" selected="0">
            <x v="21"/>
          </reference>
        </references>
      </pivotArea>
    </format>
    <format dxfId="8440">
      <pivotArea field="0" dataOnly="0" labelOnly="1" grandRow="1" outline="0" axis="axisRow" fieldPosition="0">
        <references count="1">
          <reference field="4294967294" count="1" selected="0">
            <x v="22"/>
          </reference>
        </references>
      </pivotArea>
    </format>
    <format dxfId="8439">
      <pivotArea field="0" dataOnly="0" labelOnly="1" grandRow="1" outline="0" axis="axisRow" fieldPosition="0">
        <references count="1">
          <reference field="4294967294" count="1" selected="0">
            <x v="23"/>
          </reference>
        </references>
      </pivotArea>
    </format>
    <format dxfId="8438">
      <pivotArea field="0" dataOnly="0" labelOnly="1" grandRow="1" outline="0" axis="axisRow" fieldPosition="0">
        <references count="1">
          <reference field="4294967294" count="1" selected="0">
            <x v="24"/>
          </reference>
        </references>
      </pivotArea>
    </format>
    <format dxfId="8437">
      <pivotArea field="0" dataOnly="0" labelOnly="1" grandRow="1" outline="0" axis="axisRow" fieldPosition="0">
        <references count="1">
          <reference field="4294967294" count="1" selected="0">
            <x v="25"/>
          </reference>
        </references>
      </pivotArea>
    </format>
    <format dxfId="8436">
      <pivotArea field="0" dataOnly="0" labelOnly="1" grandRow="1" outline="0" axis="axisRow" fieldPosition="0">
        <references count="1">
          <reference field="4294967294" count="1" selected="0">
            <x v="26"/>
          </reference>
        </references>
      </pivotArea>
    </format>
    <format dxfId="8435">
      <pivotArea field="0" dataOnly="0" labelOnly="1" grandRow="1" outline="0" axis="axisRow" fieldPosition="0">
        <references count="1">
          <reference field="4294967294" count="1" selected="0">
            <x v="27"/>
          </reference>
        </references>
      </pivotArea>
    </format>
    <format dxfId="8434">
      <pivotArea field="0" dataOnly="0" labelOnly="1" grandRow="1" outline="0" axis="axisRow" fieldPosition="0">
        <references count="1">
          <reference field="4294967294" count="1" selected="0">
            <x v="28"/>
          </reference>
        </references>
      </pivotArea>
    </format>
    <format dxfId="8433">
      <pivotArea field="0" dataOnly="0" labelOnly="1" grandRow="1" outline="0" axis="axisRow" fieldPosition="0">
        <references count="1">
          <reference field="4294967294" count="1" selected="0">
            <x v="29"/>
          </reference>
        </references>
      </pivotArea>
    </format>
    <format dxfId="8432">
      <pivotArea field="0" dataOnly="0" labelOnly="1" grandRow="1" outline="0" axis="axisRow" fieldPosition="0">
        <references count="1">
          <reference field="4294967294" count="1" selected="0">
            <x v="30"/>
          </reference>
        </references>
      </pivotArea>
    </format>
    <format dxfId="8431">
      <pivotArea field="0" dataOnly="0" labelOnly="1" grandRow="1" outline="0" axis="axisRow" fieldPosition="0">
        <references count="1">
          <reference field="4294967294" count="1" selected="0">
            <x v="31"/>
          </reference>
        </references>
      </pivotArea>
    </format>
    <format dxfId="8430">
      <pivotArea field="0" dataOnly="0" labelOnly="1" grandRow="1" outline="0" axis="axisRow" fieldPosition="0">
        <references count="1">
          <reference field="4294967294" count="1" selected="0">
            <x v="32"/>
          </reference>
        </references>
      </pivotArea>
    </format>
    <format dxfId="8429">
      <pivotArea field="0" dataOnly="0" labelOnly="1" grandRow="1" outline="0" axis="axisRow" fieldPosition="0">
        <references count="1">
          <reference field="4294967294" count="1" selected="0">
            <x v="33"/>
          </reference>
        </references>
      </pivotArea>
    </format>
    <format dxfId="8428">
      <pivotArea field="0" dataOnly="0" labelOnly="1" grandRow="1" outline="0" axis="axisRow" fieldPosition="0">
        <references count="1">
          <reference field="4294967294" count="1" selected="0">
            <x v="34"/>
          </reference>
        </references>
      </pivotArea>
    </format>
    <format dxfId="8427">
      <pivotArea field="0" dataOnly="0" labelOnly="1" grandRow="1" outline="0" axis="axisRow" fieldPosition="0">
        <references count="1">
          <reference field="4294967294" count="1" selected="0">
            <x v="35"/>
          </reference>
        </references>
      </pivotArea>
    </format>
    <format dxfId="8426">
      <pivotArea field="0" dataOnly="0" labelOnly="1" grandRow="1" outline="0" axis="axisRow" fieldPosition="0">
        <references count="1">
          <reference field="4294967294" count="1" selected="0">
            <x v="0"/>
          </reference>
        </references>
      </pivotArea>
    </format>
    <format dxfId="8425">
      <pivotArea field="0" dataOnly="0" labelOnly="1" grandRow="1" outline="0" axis="axisRow" fieldPosition="0">
        <references count="1">
          <reference field="4294967294" count="1" selected="0">
            <x v="1"/>
          </reference>
        </references>
      </pivotArea>
    </format>
    <format dxfId="8424">
      <pivotArea field="0" dataOnly="0" labelOnly="1" grandRow="1" outline="0" axis="axisRow" fieldPosition="0">
        <references count="1">
          <reference field="4294967294" count="1" selected="0">
            <x v="2"/>
          </reference>
        </references>
      </pivotArea>
    </format>
    <format dxfId="8423">
      <pivotArea field="0" dataOnly="0" labelOnly="1" grandRow="1" outline="0" axis="axisRow" fieldPosition="0">
        <references count="1">
          <reference field="4294967294" count="1" selected="0">
            <x v="3"/>
          </reference>
        </references>
      </pivotArea>
    </format>
    <format dxfId="8422">
      <pivotArea field="0" dataOnly="0" labelOnly="1" grandRow="1" outline="0" axis="axisRow" fieldPosition="0">
        <references count="1">
          <reference field="4294967294" count="1" selected="0">
            <x v="4"/>
          </reference>
        </references>
      </pivotArea>
    </format>
    <format dxfId="8421">
      <pivotArea field="0" dataOnly="0" labelOnly="1" grandRow="1" outline="0" axis="axisRow" fieldPosition="0">
        <references count="1">
          <reference field="4294967294" count="1" selected="0">
            <x v="5"/>
          </reference>
        </references>
      </pivotArea>
    </format>
    <format dxfId="8420">
      <pivotArea field="0" dataOnly="0" labelOnly="1" grandRow="1" outline="0" axis="axisRow" fieldPosition="0">
        <references count="1">
          <reference field="4294967294" count="1" selected="0">
            <x v="6"/>
          </reference>
        </references>
      </pivotArea>
    </format>
    <format dxfId="8419">
      <pivotArea field="0" dataOnly="0" labelOnly="1" grandRow="1" outline="0" axis="axisRow" fieldPosition="0">
        <references count="1">
          <reference field="4294967294" count="1" selected="0">
            <x v="7"/>
          </reference>
        </references>
      </pivotArea>
    </format>
    <format dxfId="8418">
      <pivotArea field="0" dataOnly="0" labelOnly="1" grandRow="1" outline="0" axis="axisRow" fieldPosition="0">
        <references count="1">
          <reference field="4294967294" count="1" selected="0">
            <x v="8"/>
          </reference>
        </references>
      </pivotArea>
    </format>
    <format dxfId="8417">
      <pivotArea field="0" dataOnly="0" labelOnly="1" grandRow="1" outline="0" axis="axisRow" fieldPosition="0">
        <references count="1">
          <reference field="4294967294" count="1" selected="0">
            <x v="9"/>
          </reference>
        </references>
      </pivotArea>
    </format>
    <format dxfId="8416">
      <pivotArea field="0" dataOnly="0" labelOnly="1" grandRow="1" outline="0" axis="axisRow" fieldPosition="0">
        <references count="1">
          <reference field="4294967294" count="1" selected="0">
            <x v="10"/>
          </reference>
        </references>
      </pivotArea>
    </format>
    <format dxfId="8415">
      <pivotArea field="0" dataOnly="0" labelOnly="1" grandRow="1" outline="0" axis="axisRow" fieldPosition="0">
        <references count="1">
          <reference field="4294967294" count="1" selected="0">
            <x v="11"/>
          </reference>
        </references>
      </pivotArea>
    </format>
    <format dxfId="8414">
      <pivotArea field="0" dataOnly="0" labelOnly="1" grandRow="1" outline="0" axis="axisRow" fieldPosition="0">
        <references count="1">
          <reference field="4294967294" count="1" selected="0">
            <x v="12"/>
          </reference>
        </references>
      </pivotArea>
    </format>
    <format dxfId="8413">
      <pivotArea field="0" dataOnly="0" labelOnly="1" grandRow="1" outline="0" axis="axisRow" fieldPosition="0">
        <references count="1">
          <reference field="4294967294" count="1" selected="0">
            <x v="13"/>
          </reference>
        </references>
      </pivotArea>
    </format>
    <format dxfId="8412">
      <pivotArea field="0" dataOnly="0" labelOnly="1" grandRow="1" outline="0" axis="axisRow" fieldPosition="0">
        <references count="1">
          <reference field="4294967294" count="1" selected="0">
            <x v="14"/>
          </reference>
        </references>
      </pivotArea>
    </format>
    <format dxfId="8411">
      <pivotArea field="0" dataOnly="0" labelOnly="1" grandRow="1" outline="0" axis="axisRow" fieldPosition="0">
        <references count="1">
          <reference field="4294967294" count="1" selected="0">
            <x v="15"/>
          </reference>
        </references>
      </pivotArea>
    </format>
    <format dxfId="8410">
      <pivotArea field="0" dataOnly="0" labelOnly="1" grandRow="1" outline="0" axis="axisRow" fieldPosition="0">
        <references count="1">
          <reference field="4294967294" count="1" selected="0">
            <x v="16"/>
          </reference>
        </references>
      </pivotArea>
    </format>
    <format dxfId="8409">
      <pivotArea field="0" dataOnly="0" labelOnly="1" grandRow="1" outline="0" axis="axisRow" fieldPosition="0">
        <references count="1">
          <reference field="4294967294" count="1" selected="0">
            <x v="17"/>
          </reference>
        </references>
      </pivotArea>
    </format>
    <format dxfId="8408">
      <pivotArea field="0" dataOnly="0" labelOnly="1" grandRow="1" outline="0" axis="axisRow" fieldPosition="0">
        <references count="1">
          <reference field="4294967294" count="1" selected="0">
            <x v="18"/>
          </reference>
        </references>
      </pivotArea>
    </format>
    <format dxfId="8407">
      <pivotArea field="0" dataOnly="0" labelOnly="1" grandRow="1" outline="0" axis="axisRow" fieldPosition="0">
        <references count="1">
          <reference field="4294967294" count="1" selected="0">
            <x v="19"/>
          </reference>
        </references>
      </pivotArea>
    </format>
    <format dxfId="8406">
      <pivotArea field="0" dataOnly="0" labelOnly="1" grandRow="1" outline="0" axis="axisRow" fieldPosition="0">
        <references count="1">
          <reference field="4294967294" count="1" selected="0">
            <x v="20"/>
          </reference>
        </references>
      </pivotArea>
    </format>
    <format dxfId="8405">
      <pivotArea field="0" dataOnly="0" labelOnly="1" grandRow="1" outline="0" axis="axisRow" fieldPosition="0">
        <references count="1">
          <reference field="4294967294" count="1" selected="0">
            <x v="21"/>
          </reference>
        </references>
      </pivotArea>
    </format>
    <format dxfId="8404">
      <pivotArea field="0" dataOnly="0" labelOnly="1" grandRow="1" outline="0" axis="axisRow" fieldPosition="0">
        <references count="1">
          <reference field="4294967294" count="1" selected="0">
            <x v="22"/>
          </reference>
        </references>
      </pivotArea>
    </format>
    <format dxfId="8403">
      <pivotArea field="0" dataOnly="0" labelOnly="1" grandRow="1" outline="0" axis="axisRow" fieldPosition="0">
        <references count="1">
          <reference field="4294967294" count="1" selected="0">
            <x v="23"/>
          </reference>
        </references>
      </pivotArea>
    </format>
    <format dxfId="8402">
      <pivotArea field="0" dataOnly="0" labelOnly="1" grandRow="1" outline="0" axis="axisRow" fieldPosition="0">
        <references count="1">
          <reference field="4294967294" count="1" selected="0">
            <x v="24"/>
          </reference>
        </references>
      </pivotArea>
    </format>
    <format dxfId="8401">
      <pivotArea field="0" dataOnly="0" labelOnly="1" grandRow="1" outline="0" axis="axisRow" fieldPosition="0">
        <references count="1">
          <reference field="4294967294" count="1" selected="0">
            <x v="25"/>
          </reference>
        </references>
      </pivotArea>
    </format>
    <format dxfId="8400">
      <pivotArea field="0" dataOnly="0" labelOnly="1" grandRow="1" outline="0" axis="axisRow" fieldPosition="0">
        <references count="1">
          <reference field="4294967294" count="1" selected="0">
            <x v="26"/>
          </reference>
        </references>
      </pivotArea>
    </format>
    <format dxfId="8399">
      <pivotArea field="0" dataOnly="0" labelOnly="1" grandRow="1" outline="0" axis="axisRow" fieldPosition="0">
        <references count="1">
          <reference field="4294967294" count="1" selected="0">
            <x v="27"/>
          </reference>
        </references>
      </pivotArea>
    </format>
    <format dxfId="8398">
      <pivotArea field="0" dataOnly="0" labelOnly="1" grandRow="1" outline="0" axis="axisRow" fieldPosition="0">
        <references count="1">
          <reference field="4294967294" count="1" selected="0">
            <x v="28"/>
          </reference>
        </references>
      </pivotArea>
    </format>
    <format dxfId="8397">
      <pivotArea field="0" dataOnly="0" labelOnly="1" grandRow="1" outline="0" axis="axisRow" fieldPosition="0">
        <references count="1">
          <reference field="4294967294" count="1" selected="0">
            <x v="29"/>
          </reference>
        </references>
      </pivotArea>
    </format>
    <format dxfId="8396">
      <pivotArea field="0" dataOnly="0" labelOnly="1" grandRow="1" outline="0" axis="axisRow" fieldPosition="0">
        <references count="1">
          <reference field="4294967294" count="1" selected="0">
            <x v="30"/>
          </reference>
        </references>
      </pivotArea>
    </format>
    <format dxfId="8395">
      <pivotArea field="0" dataOnly="0" labelOnly="1" grandRow="1" outline="0" axis="axisRow" fieldPosition="0">
        <references count="1">
          <reference field="4294967294" count="1" selected="0">
            <x v="31"/>
          </reference>
        </references>
      </pivotArea>
    </format>
    <format dxfId="8394">
      <pivotArea field="0" dataOnly="0" labelOnly="1" grandRow="1" outline="0" axis="axisRow" fieldPosition="0">
        <references count="1">
          <reference field="4294967294" count="1" selected="0">
            <x v="32"/>
          </reference>
        </references>
      </pivotArea>
    </format>
    <format dxfId="8393">
      <pivotArea field="0" dataOnly="0" labelOnly="1" grandRow="1" outline="0" axis="axisRow" fieldPosition="0">
        <references count="1">
          <reference field="4294967294" count="1" selected="0">
            <x v="33"/>
          </reference>
        </references>
      </pivotArea>
    </format>
    <format dxfId="8392">
      <pivotArea field="0" dataOnly="0" labelOnly="1" grandRow="1" outline="0" axis="axisRow" fieldPosition="0">
        <references count="1">
          <reference field="4294967294" count="1" selected="0">
            <x v="34"/>
          </reference>
        </references>
      </pivotArea>
    </format>
    <format dxfId="8391">
      <pivotArea field="0" dataOnly="0" labelOnly="1" grandRow="1" outline="0" axis="axisRow" fieldPosition="0">
        <references count="1">
          <reference field="4294967294" count="1" selected="0">
            <x v="35"/>
          </reference>
        </references>
      </pivotArea>
    </format>
    <format dxfId="8390">
      <pivotArea field="0" dataOnly="0" labelOnly="1" grandRow="1" outline="0" axis="axisRow" fieldPosition="0">
        <references count="1">
          <reference field="4294967294" count="1" selected="0">
            <x v="0"/>
          </reference>
        </references>
      </pivotArea>
    </format>
    <format dxfId="8389">
      <pivotArea field="0" dataOnly="0" labelOnly="1" grandRow="1" outline="0" axis="axisRow" fieldPosition="0">
        <references count="1">
          <reference field="4294967294" count="1" selected="0">
            <x v="1"/>
          </reference>
        </references>
      </pivotArea>
    </format>
    <format dxfId="8388">
      <pivotArea field="0" dataOnly="0" labelOnly="1" grandRow="1" outline="0" axis="axisRow" fieldPosition="0">
        <references count="1">
          <reference field="4294967294" count="1" selected="0">
            <x v="2"/>
          </reference>
        </references>
      </pivotArea>
    </format>
    <format dxfId="8387">
      <pivotArea field="0" dataOnly="0" labelOnly="1" grandRow="1" outline="0" axis="axisRow" fieldPosition="0">
        <references count="1">
          <reference field="4294967294" count="1" selected="0">
            <x v="3"/>
          </reference>
        </references>
      </pivotArea>
    </format>
    <format dxfId="8386">
      <pivotArea field="0" dataOnly="0" labelOnly="1" grandRow="1" outline="0" axis="axisRow" fieldPosition="0">
        <references count="1">
          <reference field="4294967294" count="1" selected="0">
            <x v="4"/>
          </reference>
        </references>
      </pivotArea>
    </format>
    <format dxfId="8385">
      <pivotArea field="0" dataOnly="0" labelOnly="1" grandRow="1" outline="0" axis="axisRow" fieldPosition="0">
        <references count="1">
          <reference field="4294967294" count="1" selected="0">
            <x v="5"/>
          </reference>
        </references>
      </pivotArea>
    </format>
    <format dxfId="8384">
      <pivotArea field="0" dataOnly="0" labelOnly="1" grandRow="1" outline="0" axis="axisRow" fieldPosition="0">
        <references count="1">
          <reference field="4294967294" count="1" selected="0">
            <x v="6"/>
          </reference>
        </references>
      </pivotArea>
    </format>
    <format dxfId="8383">
      <pivotArea field="0" dataOnly="0" labelOnly="1" grandRow="1" outline="0" axis="axisRow" fieldPosition="0">
        <references count="1">
          <reference field="4294967294" count="1" selected="0">
            <x v="7"/>
          </reference>
        </references>
      </pivotArea>
    </format>
    <format dxfId="8382">
      <pivotArea field="0" dataOnly="0" labelOnly="1" grandRow="1" outline="0" axis="axisRow" fieldPosition="0">
        <references count="1">
          <reference field="4294967294" count="1" selected="0">
            <x v="8"/>
          </reference>
        </references>
      </pivotArea>
    </format>
    <format dxfId="8381">
      <pivotArea field="0" dataOnly="0" labelOnly="1" grandRow="1" outline="0" axis="axisRow" fieldPosition="0">
        <references count="1">
          <reference field="4294967294" count="1" selected="0">
            <x v="9"/>
          </reference>
        </references>
      </pivotArea>
    </format>
    <format dxfId="8380">
      <pivotArea field="0" dataOnly="0" labelOnly="1" grandRow="1" outline="0" axis="axisRow" fieldPosition="0">
        <references count="1">
          <reference field="4294967294" count="1" selected="0">
            <x v="10"/>
          </reference>
        </references>
      </pivotArea>
    </format>
    <format dxfId="8379">
      <pivotArea field="0" dataOnly="0" labelOnly="1" grandRow="1" outline="0" axis="axisRow" fieldPosition="0">
        <references count="1">
          <reference field="4294967294" count="1" selected="0">
            <x v="11"/>
          </reference>
        </references>
      </pivotArea>
    </format>
    <format dxfId="8378">
      <pivotArea field="0" dataOnly="0" labelOnly="1" grandRow="1" outline="0" axis="axisRow" fieldPosition="0">
        <references count="1">
          <reference field="4294967294" count="1" selected="0">
            <x v="12"/>
          </reference>
        </references>
      </pivotArea>
    </format>
    <format dxfId="8377">
      <pivotArea field="0" dataOnly="0" labelOnly="1" grandRow="1" outline="0" axis="axisRow" fieldPosition="0">
        <references count="1">
          <reference field="4294967294" count="1" selected="0">
            <x v="13"/>
          </reference>
        </references>
      </pivotArea>
    </format>
    <format dxfId="8376">
      <pivotArea field="0" dataOnly="0" labelOnly="1" grandRow="1" outline="0" axis="axisRow" fieldPosition="0">
        <references count="1">
          <reference field="4294967294" count="1" selected="0">
            <x v="14"/>
          </reference>
        </references>
      </pivotArea>
    </format>
    <format dxfId="8375">
      <pivotArea field="0" dataOnly="0" labelOnly="1" grandRow="1" outline="0" axis="axisRow" fieldPosition="0">
        <references count="1">
          <reference field="4294967294" count="1" selected="0">
            <x v="15"/>
          </reference>
        </references>
      </pivotArea>
    </format>
    <format dxfId="8374">
      <pivotArea field="0" dataOnly="0" labelOnly="1" grandRow="1" outline="0" axis="axisRow" fieldPosition="0">
        <references count="1">
          <reference field="4294967294" count="1" selected="0">
            <x v="16"/>
          </reference>
        </references>
      </pivotArea>
    </format>
    <format dxfId="8373">
      <pivotArea field="0" dataOnly="0" labelOnly="1" grandRow="1" outline="0" axis="axisRow" fieldPosition="0">
        <references count="1">
          <reference field="4294967294" count="1" selected="0">
            <x v="17"/>
          </reference>
        </references>
      </pivotArea>
    </format>
    <format dxfId="8372">
      <pivotArea field="0" dataOnly="0" labelOnly="1" grandRow="1" outline="0" axis="axisRow" fieldPosition="0">
        <references count="1">
          <reference field="4294967294" count="1" selected="0">
            <x v="18"/>
          </reference>
        </references>
      </pivotArea>
    </format>
    <format dxfId="8371">
      <pivotArea field="0" dataOnly="0" labelOnly="1" grandRow="1" outline="0" axis="axisRow" fieldPosition="0">
        <references count="1">
          <reference field="4294967294" count="1" selected="0">
            <x v="19"/>
          </reference>
        </references>
      </pivotArea>
    </format>
    <format dxfId="8370">
      <pivotArea field="0" dataOnly="0" labelOnly="1" grandRow="1" outline="0" axis="axisRow" fieldPosition="0">
        <references count="1">
          <reference field="4294967294" count="1" selected="0">
            <x v="20"/>
          </reference>
        </references>
      </pivotArea>
    </format>
    <format dxfId="8369">
      <pivotArea field="0" dataOnly="0" labelOnly="1" grandRow="1" outline="0" axis="axisRow" fieldPosition="0">
        <references count="1">
          <reference field="4294967294" count="1" selected="0">
            <x v="21"/>
          </reference>
        </references>
      </pivotArea>
    </format>
    <format dxfId="8368">
      <pivotArea field="0" dataOnly="0" labelOnly="1" grandRow="1" outline="0" axis="axisRow" fieldPosition="0">
        <references count="1">
          <reference field="4294967294" count="1" selected="0">
            <x v="22"/>
          </reference>
        </references>
      </pivotArea>
    </format>
    <format dxfId="8367">
      <pivotArea field="0" dataOnly="0" labelOnly="1" grandRow="1" outline="0" axis="axisRow" fieldPosition="0">
        <references count="1">
          <reference field="4294967294" count="1" selected="0">
            <x v="23"/>
          </reference>
        </references>
      </pivotArea>
    </format>
    <format dxfId="8366">
      <pivotArea field="0" dataOnly="0" labelOnly="1" grandRow="1" outline="0" axis="axisRow" fieldPosition="0">
        <references count="1">
          <reference field="4294967294" count="1" selected="0">
            <x v="24"/>
          </reference>
        </references>
      </pivotArea>
    </format>
    <format dxfId="8365">
      <pivotArea field="0" dataOnly="0" labelOnly="1" grandRow="1" outline="0" axis="axisRow" fieldPosition="0">
        <references count="1">
          <reference field="4294967294" count="1" selected="0">
            <x v="25"/>
          </reference>
        </references>
      </pivotArea>
    </format>
    <format dxfId="8364">
      <pivotArea field="0" dataOnly="0" labelOnly="1" grandRow="1" outline="0" axis="axisRow" fieldPosition="0">
        <references count="1">
          <reference field="4294967294" count="1" selected="0">
            <x v="26"/>
          </reference>
        </references>
      </pivotArea>
    </format>
    <format dxfId="8363">
      <pivotArea field="0" dataOnly="0" labelOnly="1" grandRow="1" outline="0" axis="axisRow" fieldPosition="0">
        <references count="1">
          <reference field="4294967294" count="1" selected="0">
            <x v="27"/>
          </reference>
        </references>
      </pivotArea>
    </format>
    <format dxfId="8362">
      <pivotArea field="0" dataOnly="0" labelOnly="1" grandRow="1" outline="0" axis="axisRow" fieldPosition="0">
        <references count="1">
          <reference field="4294967294" count="1" selected="0">
            <x v="28"/>
          </reference>
        </references>
      </pivotArea>
    </format>
    <format dxfId="8361">
      <pivotArea field="0" dataOnly="0" labelOnly="1" grandRow="1" outline="0" axis="axisRow" fieldPosition="0">
        <references count="1">
          <reference field="4294967294" count="1" selected="0">
            <x v="29"/>
          </reference>
        </references>
      </pivotArea>
    </format>
    <format dxfId="8360">
      <pivotArea field="0" dataOnly="0" labelOnly="1" grandRow="1" outline="0" axis="axisRow" fieldPosition="0">
        <references count="1">
          <reference field="4294967294" count="1" selected="0">
            <x v="30"/>
          </reference>
        </references>
      </pivotArea>
    </format>
    <format dxfId="8359">
      <pivotArea field="0" dataOnly="0" labelOnly="1" grandRow="1" outline="0" axis="axisRow" fieldPosition="0">
        <references count="1">
          <reference field="4294967294" count="1" selected="0">
            <x v="31"/>
          </reference>
        </references>
      </pivotArea>
    </format>
    <format dxfId="8358">
      <pivotArea field="0" dataOnly="0" labelOnly="1" grandRow="1" outline="0" axis="axisRow" fieldPosition="0">
        <references count="1">
          <reference field="4294967294" count="1" selected="0">
            <x v="32"/>
          </reference>
        </references>
      </pivotArea>
    </format>
    <format dxfId="8357">
      <pivotArea field="0" dataOnly="0" labelOnly="1" grandRow="1" outline="0" axis="axisRow" fieldPosition="0">
        <references count="1">
          <reference field="4294967294" count="1" selected="0">
            <x v="33"/>
          </reference>
        </references>
      </pivotArea>
    </format>
    <format dxfId="8356">
      <pivotArea field="0" dataOnly="0" labelOnly="1" grandRow="1" outline="0" axis="axisRow" fieldPosition="0">
        <references count="1">
          <reference field="4294967294" count="1" selected="0">
            <x v="34"/>
          </reference>
        </references>
      </pivotArea>
    </format>
    <format dxfId="8355">
      <pivotArea field="0" dataOnly="0" labelOnly="1" grandRow="1" outline="0" axis="axisRow" fieldPosition="0">
        <references count="1">
          <reference field="4294967294" count="1" selected="0">
            <x v="35"/>
          </reference>
        </references>
      </pivotArea>
    </format>
    <format dxfId="8354">
      <pivotArea field="0" dataOnly="0" labelOnly="1" grandRow="1" outline="0" axis="axisRow" fieldPosition="0">
        <references count="1">
          <reference field="4294967294" count="1" selected="0">
            <x v="0"/>
          </reference>
        </references>
      </pivotArea>
    </format>
    <format dxfId="8353">
      <pivotArea field="0" dataOnly="0" labelOnly="1" grandRow="1" outline="0" axis="axisRow" fieldPosition="0">
        <references count="1">
          <reference field="4294967294" count="1" selected="0">
            <x v="1"/>
          </reference>
        </references>
      </pivotArea>
    </format>
    <format dxfId="8352">
      <pivotArea field="0" dataOnly="0" labelOnly="1" grandRow="1" outline="0" axis="axisRow" fieldPosition="0">
        <references count="1">
          <reference field="4294967294" count="1" selected="0">
            <x v="2"/>
          </reference>
        </references>
      </pivotArea>
    </format>
    <format dxfId="8351">
      <pivotArea field="0" dataOnly="0" labelOnly="1" grandRow="1" outline="0" axis="axisRow" fieldPosition="0">
        <references count="1">
          <reference field="4294967294" count="1" selected="0">
            <x v="3"/>
          </reference>
        </references>
      </pivotArea>
    </format>
    <format dxfId="8350">
      <pivotArea field="0" dataOnly="0" labelOnly="1" grandRow="1" outline="0" axis="axisRow" fieldPosition="0">
        <references count="1">
          <reference field="4294967294" count="1" selected="0">
            <x v="4"/>
          </reference>
        </references>
      </pivotArea>
    </format>
    <format dxfId="8349">
      <pivotArea field="0" dataOnly="0" labelOnly="1" grandRow="1" outline="0" axis="axisRow" fieldPosition="0">
        <references count="1">
          <reference field="4294967294" count="1" selected="0">
            <x v="5"/>
          </reference>
        </references>
      </pivotArea>
    </format>
    <format dxfId="8348">
      <pivotArea field="0" dataOnly="0" labelOnly="1" grandRow="1" outline="0" axis="axisRow" fieldPosition="0">
        <references count="1">
          <reference field="4294967294" count="1" selected="0">
            <x v="6"/>
          </reference>
        </references>
      </pivotArea>
    </format>
    <format dxfId="8347">
      <pivotArea field="0" dataOnly="0" labelOnly="1" grandRow="1" outline="0" axis="axisRow" fieldPosition="0">
        <references count="1">
          <reference field="4294967294" count="1" selected="0">
            <x v="7"/>
          </reference>
        </references>
      </pivotArea>
    </format>
    <format dxfId="8346">
      <pivotArea field="0" dataOnly="0" labelOnly="1" grandRow="1" outline="0" axis="axisRow" fieldPosition="0">
        <references count="1">
          <reference field="4294967294" count="1" selected="0">
            <x v="8"/>
          </reference>
        </references>
      </pivotArea>
    </format>
    <format dxfId="8345">
      <pivotArea field="0" dataOnly="0" labelOnly="1" grandRow="1" outline="0" axis="axisRow" fieldPosition="0">
        <references count="1">
          <reference field="4294967294" count="1" selected="0">
            <x v="9"/>
          </reference>
        </references>
      </pivotArea>
    </format>
    <format dxfId="8344">
      <pivotArea field="0" dataOnly="0" labelOnly="1" grandRow="1" outline="0" axis="axisRow" fieldPosition="0">
        <references count="1">
          <reference field="4294967294" count="1" selected="0">
            <x v="10"/>
          </reference>
        </references>
      </pivotArea>
    </format>
    <format dxfId="8343">
      <pivotArea field="0" dataOnly="0" labelOnly="1" grandRow="1" outline="0" axis="axisRow" fieldPosition="0">
        <references count="1">
          <reference field="4294967294" count="1" selected="0">
            <x v="11"/>
          </reference>
        </references>
      </pivotArea>
    </format>
    <format dxfId="8342">
      <pivotArea field="0" dataOnly="0" labelOnly="1" grandRow="1" outline="0" axis="axisRow" fieldPosition="0">
        <references count="1">
          <reference field="4294967294" count="1" selected="0">
            <x v="12"/>
          </reference>
        </references>
      </pivotArea>
    </format>
    <format dxfId="8341">
      <pivotArea field="0" dataOnly="0" labelOnly="1" grandRow="1" outline="0" axis="axisRow" fieldPosition="0">
        <references count="1">
          <reference field="4294967294" count="1" selected="0">
            <x v="13"/>
          </reference>
        </references>
      </pivotArea>
    </format>
    <format dxfId="8340">
      <pivotArea field="0" dataOnly="0" labelOnly="1" grandRow="1" outline="0" axis="axisRow" fieldPosition="0">
        <references count="1">
          <reference field="4294967294" count="1" selected="0">
            <x v="14"/>
          </reference>
        </references>
      </pivotArea>
    </format>
    <format dxfId="8339">
      <pivotArea field="0" dataOnly="0" labelOnly="1" grandRow="1" outline="0" axis="axisRow" fieldPosition="0">
        <references count="1">
          <reference field="4294967294" count="1" selected="0">
            <x v="15"/>
          </reference>
        </references>
      </pivotArea>
    </format>
    <format dxfId="8338">
      <pivotArea field="0" dataOnly="0" labelOnly="1" grandRow="1" outline="0" axis="axisRow" fieldPosition="0">
        <references count="1">
          <reference field="4294967294" count="1" selected="0">
            <x v="16"/>
          </reference>
        </references>
      </pivotArea>
    </format>
    <format dxfId="8337">
      <pivotArea field="0" dataOnly="0" labelOnly="1" grandRow="1" outline="0" axis="axisRow" fieldPosition="0">
        <references count="1">
          <reference field="4294967294" count="1" selected="0">
            <x v="17"/>
          </reference>
        </references>
      </pivotArea>
    </format>
    <format dxfId="8336">
      <pivotArea field="0" dataOnly="0" labelOnly="1" grandRow="1" outline="0" axis="axisRow" fieldPosition="0">
        <references count="1">
          <reference field="4294967294" count="1" selected="0">
            <x v="18"/>
          </reference>
        </references>
      </pivotArea>
    </format>
    <format dxfId="8335">
      <pivotArea field="0" dataOnly="0" labelOnly="1" grandRow="1" outline="0" axis="axisRow" fieldPosition="0">
        <references count="1">
          <reference field="4294967294" count="1" selected="0">
            <x v="19"/>
          </reference>
        </references>
      </pivotArea>
    </format>
    <format dxfId="8334">
      <pivotArea field="0" dataOnly="0" labelOnly="1" grandRow="1" outline="0" axis="axisRow" fieldPosition="0">
        <references count="1">
          <reference field="4294967294" count="1" selected="0">
            <x v="20"/>
          </reference>
        </references>
      </pivotArea>
    </format>
    <format dxfId="8333">
      <pivotArea field="0" dataOnly="0" labelOnly="1" grandRow="1" outline="0" axis="axisRow" fieldPosition="0">
        <references count="1">
          <reference field="4294967294" count="1" selected="0">
            <x v="21"/>
          </reference>
        </references>
      </pivotArea>
    </format>
    <format dxfId="8332">
      <pivotArea field="0" dataOnly="0" labelOnly="1" grandRow="1" outline="0" axis="axisRow" fieldPosition="0">
        <references count="1">
          <reference field="4294967294" count="1" selected="0">
            <x v="22"/>
          </reference>
        </references>
      </pivotArea>
    </format>
    <format dxfId="8331">
      <pivotArea field="0" dataOnly="0" labelOnly="1" grandRow="1" outline="0" axis="axisRow" fieldPosition="0">
        <references count="1">
          <reference field="4294967294" count="1" selected="0">
            <x v="23"/>
          </reference>
        </references>
      </pivotArea>
    </format>
    <format dxfId="8330">
      <pivotArea field="0" dataOnly="0" labelOnly="1" grandRow="1" outline="0" axis="axisRow" fieldPosition="0">
        <references count="1">
          <reference field="4294967294" count="1" selected="0">
            <x v="24"/>
          </reference>
        </references>
      </pivotArea>
    </format>
    <format dxfId="8329">
      <pivotArea field="0" dataOnly="0" labelOnly="1" grandRow="1" outline="0" axis="axisRow" fieldPosition="0">
        <references count="1">
          <reference field="4294967294" count="1" selected="0">
            <x v="25"/>
          </reference>
        </references>
      </pivotArea>
    </format>
    <format dxfId="8328">
      <pivotArea field="0" dataOnly="0" labelOnly="1" grandRow="1" outline="0" axis="axisRow" fieldPosition="0">
        <references count="1">
          <reference field="4294967294" count="1" selected="0">
            <x v="26"/>
          </reference>
        </references>
      </pivotArea>
    </format>
    <format dxfId="8327">
      <pivotArea field="0" dataOnly="0" labelOnly="1" grandRow="1" outline="0" axis="axisRow" fieldPosition="0">
        <references count="1">
          <reference field="4294967294" count="1" selected="0">
            <x v="27"/>
          </reference>
        </references>
      </pivotArea>
    </format>
    <format dxfId="8326">
      <pivotArea field="0" dataOnly="0" labelOnly="1" grandRow="1" outline="0" axis="axisRow" fieldPosition="0">
        <references count="1">
          <reference field="4294967294" count="1" selected="0">
            <x v="28"/>
          </reference>
        </references>
      </pivotArea>
    </format>
    <format dxfId="8325">
      <pivotArea field="0" dataOnly="0" labelOnly="1" grandRow="1" outline="0" axis="axisRow" fieldPosition="0">
        <references count="1">
          <reference field="4294967294" count="1" selected="0">
            <x v="29"/>
          </reference>
        </references>
      </pivotArea>
    </format>
    <format dxfId="8324">
      <pivotArea field="0" dataOnly="0" labelOnly="1" grandRow="1" outline="0" axis="axisRow" fieldPosition="0">
        <references count="1">
          <reference field="4294967294" count="1" selected="0">
            <x v="30"/>
          </reference>
        </references>
      </pivotArea>
    </format>
    <format dxfId="8323">
      <pivotArea field="0" dataOnly="0" labelOnly="1" grandRow="1" outline="0" axis="axisRow" fieldPosition="0">
        <references count="1">
          <reference field="4294967294" count="1" selected="0">
            <x v="31"/>
          </reference>
        </references>
      </pivotArea>
    </format>
    <format dxfId="8322">
      <pivotArea field="0" dataOnly="0" labelOnly="1" grandRow="1" outline="0" axis="axisRow" fieldPosition="0">
        <references count="1">
          <reference field="4294967294" count="1" selected="0">
            <x v="32"/>
          </reference>
        </references>
      </pivotArea>
    </format>
    <format dxfId="8321">
      <pivotArea field="0" dataOnly="0" labelOnly="1" grandRow="1" outline="0" axis="axisRow" fieldPosition="0">
        <references count="1">
          <reference field="4294967294" count="1" selected="0">
            <x v="33"/>
          </reference>
        </references>
      </pivotArea>
    </format>
    <format dxfId="8320">
      <pivotArea field="0" dataOnly="0" labelOnly="1" grandRow="1" outline="0" axis="axisRow" fieldPosition="0">
        <references count="1">
          <reference field="4294967294" count="1" selected="0">
            <x v="34"/>
          </reference>
        </references>
      </pivotArea>
    </format>
    <format dxfId="8319">
      <pivotArea field="0" dataOnly="0" labelOnly="1" grandRow="1" outline="0" axis="axisRow" fieldPosition="0">
        <references count="1">
          <reference field="4294967294" count="1" selected="0">
            <x v="35"/>
          </reference>
        </references>
      </pivotArea>
    </format>
    <format dxfId="8318">
      <pivotArea field="0" dataOnly="0" labelOnly="1" grandRow="1" outline="0" axis="axisRow" fieldPosition="0">
        <references count="1">
          <reference field="4294967294" count="1" selected="0">
            <x v="0"/>
          </reference>
        </references>
      </pivotArea>
    </format>
    <format dxfId="8317">
      <pivotArea field="0" dataOnly="0" labelOnly="1" grandRow="1" outline="0" axis="axisRow" fieldPosition="0">
        <references count="1">
          <reference field="4294967294" count="1" selected="0">
            <x v="1"/>
          </reference>
        </references>
      </pivotArea>
    </format>
    <format dxfId="8316">
      <pivotArea field="0" dataOnly="0" labelOnly="1" grandRow="1" outline="0" axis="axisRow" fieldPosition="0">
        <references count="1">
          <reference field="4294967294" count="1" selected="0">
            <x v="2"/>
          </reference>
        </references>
      </pivotArea>
    </format>
    <format dxfId="8315">
      <pivotArea field="0" dataOnly="0" labelOnly="1" grandRow="1" outline="0" axis="axisRow" fieldPosition="0">
        <references count="1">
          <reference field="4294967294" count="1" selected="0">
            <x v="3"/>
          </reference>
        </references>
      </pivotArea>
    </format>
    <format dxfId="8314">
      <pivotArea field="0" dataOnly="0" labelOnly="1" grandRow="1" outline="0" axis="axisRow" fieldPosition="0">
        <references count="1">
          <reference field="4294967294" count="1" selected="0">
            <x v="4"/>
          </reference>
        </references>
      </pivotArea>
    </format>
    <format dxfId="8313">
      <pivotArea field="0" dataOnly="0" labelOnly="1" grandRow="1" outline="0" axis="axisRow" fieldPosition="0">
        <references count="1">
          <reference field="4294967294" count="1" selected="0">
            <x v="5"/>
          </reference>
        </references>
      </pivotArea>
    </format>
    <format dxfId="8312">
      <pivotArea field="0" dataOnly="0" labelOnly="1" grandRow="1" outline="0" axis="axisRow" fieldPosition="0">
        <references count="1">
          <reference field="4294967294" count="1" selected="0">
            <x v="6"/>
          </reference>
        </references>
      </pivotArea>
    </format>
    <format dxfId="8311">
      <pivotArea field="0" dataOnly="0" labelOnly="1" grandRow="1" outline="0" axis="axisRow" fieldPosition="0">
        <references count="1">
          <reference field="4294967294" count="1" selected="0">
            <x v="7"/>
          </reference>
        </references>
      </pivotArea>
    </format>
    <format dxfId="8310">
      <pivotArea field="0" dataOnly="0" labelOnly="1" grandRow="1" outline="0" axis="axisRow" fieldPosition="0">
        <references count="1">
          <reference field="4294967294" count="1" selected="0">
            <x v="8"/>
          </reference>
        </references>
      </pivotArea>
    </format>
    <format dxfId="8309">
      <pivotArea field="0" dataOnly="0" labelOnly="1" grandRow="1" outline="0" axis="axisRow" fieldPosition="0">
        <references count="1">
          <reference field="4294967294" count="1" selected="0">
            <x v="9"/>
          </reference>
        </references>
      </pivotArea>
    </format>
    <format dxfId="8308">
      <pivotArea field="0" dataOnly="0" labelOnly="1" grandRow="1" outline="0" axis="axisRow" fieldPosition="0">
        <references count="1">
          <reference field="4294967294" count="1" selected="0">
            <x v="10"/>
          </reference>
        </references>
      </pivotArea>
    </format>
    <format dxfId="8307">
      <pivotArea field="0" dataOnly="0" labelOnly="1" grandRow="1" outline="0" axis="axisRow" fieldPosition="0">
        <references count="1">
          <reference field="4294967294" count="1" selected="0">
            <x v="11"/>
          </reference>
        </references>
      </pivotArea>
    </format>
    <format dxfId="8306">
      <pivotArea field="0" dataOnly="0" labelOnly="1" grandRow="1" outline="0" axis="axisRow" fieldPosition="0">
        <references count="1">
          <reference field="4294967294" count="1" selected="0">
            <x v="12"/>
          </reference>
        </references>
      </pivotArea>
    </format>
    <format dxfId="8305">
      <pivotArea field="0" dataOnly="0" labelOnly="1" grandRow="1" outline="0" axis="axisRow" fieldPosition="0">
        <references count="1">
          <reference field="4294967294" count="1" selected="0">
            <x v="13"/>
          </reference>
        </references>
      </pivotArea>
    </format>
    <format dxfId="8304">
      <pivotArea field="0" dataOnly="0" labelOnly="1" grandRow="1" outline="0" axis="axisRow" fieldPosition="0">
        <references count="1">
          <reference field="4294967294" count="1" selected="0">
            <x v="14"/>
          </reference>
        </references>
      </pivotArea>
    </format>
    <format dxfId="8303">
      <pivotArea field="0" dataOnly="0" labelOnly="1" grandRow="1" outline="0" axis="axisRow" fieldPosition="0">
        <references count="1">
          <reference field="4294967294" count="1" selected="0">
            <x v="15"/>
          </reference>
        </references>
      </pivotArea>
    </format>
    <format dxfId="8302">
      <pivotArea field="0" dataOnly="0" labelOnly="1" grandRow="1" outline="0" axis="axisRow" fieldPosition="0">
        <references count="1">
          <reference field="4294967294" count="1" selected="0">
            <x v="16"/>
          </reference>
        </references>
      </pivotArea>
    </format>
    <format dxfId="8301">
      <pivotArea field="0" dataOnly="0" labelOnly="1" grandRow="1" outline="0" axis="axisRow" fieldPosition="0">
        <references count="1">
          <reference field="4294967294" count="1" selected="0">
            <x v="17"/>
          </reference>
        </references>
      </pivotArea>
    </format>
    <format dxfId="8300">
      <pivotArea field="0" dataOnly="0" labelOnly="1" grandRow="1" outline="0" axis="axisRow" fieldPosition="0">
        <references count="1">
          <reference field="4294967294" count="1" selected="0">
            <x v="18"/>
          </reference>
        </references>
      </pivotArea>
    </format>
    <format dxfId="8299">
      <pivotArea field="0" dataOnly="0" labelOnly="1" grandRow="1" outline="0" axis="axisRow" fieldPosition="0">
        <references count="1">
          <reference field="4294967294" count="1" selected="0">
            <x v="19"/>
          </reference>
        </references>
      </pivotArea>
    </format>
    <format dxfId="8298">
      <pivotArea field="0" dataOnly="0" labelOnly="1" grandRow="1" outline="0" axis="axisRow" fieldPosition="0">
        <references count="1">
          <reference field="4294967294" count="1" selected="0">
            <x v="20"/>
          </reference>
        </references>
      </pivotArea>
    </format>
    <format dxfId="8297">
      <pivotArea field="0" dataOnly="0" labelOnly="1" grandRow="1" outline="0" axis="axisRow" fieldPosition="0">
        <references count="1">
          <reference field="4294967294" count="1" selected="0">
            <x v="21"/>
          </reference>
        </references>
      </pivotArea>
    </format>
    <format dxfId="8296">
      <pivotArea field="0" dataOnly="0" labelOnly="1" grandRow="1" outline="0" axis="axisRow" fieldPosition="0">
        <references count="1">
          <reference field="4294967294" count="1" selected="0">
            <x v="22"/>
          </reference>
        </references>
      </pivotArea>
    </format>
    <format dxfId="8295">
      <pivotArea field="0" dataOnly="0" labelOnly="1" grandRow="1" outline="0" axis="axisRow" fieldPosition="0">
        <references count="1">
          <reference field="4294967294" count="1" selected="0">
            <x v="23"/>
          </reference>
        </references>
      </pivotArea>
    </format>
    <format dxfId="8294">
      <pivotArea field="0" dataOnly="0" labelOnly="1" grandRow="1" outline="0" axis="axisRow" fieldPosition="0">
        <references count="1">
          <reference field="4294967294" count="1" selected="0">
            <x v="24"/>
          </reference>
        </references>
      </pivotArea>
    </format>
    <format dxfId="8293">
      <pivotArea field="0" dataOnly="0" labelOnly="1" grandRow="1" outline="0" axis="axisRow" fieldPosition="0">
        <references count="1">
          <reference field="4294967294" count="1" selected="0">
            <x v="25"/>
          </reference>
        </references>
      </pivotArea>
    </format>
    <format dxfId="8292">
      <pivotArea field="0" dataOnly="0" labelOnly="1" grandRow="1" outline="0" axis="axisRow" fieldPosition="0">
        <references count="1">
          <reference field="4294967294" count="1" selected="0">
            <x v="26"/>
          </reference>
        </references>
      </pivotArea>
    </format>
    <format dxfId="8291">
      <pivotArea field="0" dataOnly="0" labelOnly="1" grandRow="1" outline="0" axis="axisRow" fieldPosition="0">
        <references count="1">
          <reference field="4294967294" count="1" selected="0">
            <x v="27"/>
          </reference>
        </references>
      </pivotArea>
    </format>
    <format dxfId="8290">
      <pivotArea field="0" dataOnly="0" labelOnly="1" grandRow="1" outline="0" axis="axisRow" fieldPosition="0">
        <references count="1">
          <reference field="4294967294" count="1" selected="0">
            <x v="28"/>
          </reference>
        </references>
      </pivotArea>
    </format>
    <format dxfId="8289">
      <pivotArea field="0" dataOnly="0" labelOnly="1" grandRow="1" outline="0" axis="axisRow" fieldPosition="0">
        <references count="1">
          <reference field="4294967294" count="1" selected="0">
            <x v="29"/>
          </reference>
        </references>
      </pivotArea>
    </format>
    <format dxfId="8288">
      <pivotArea field="0" dataOnly="0" labelOnly="1" grandRow="1" outline="0" axis="axisRow" fieldPosition="0">
        <references count="1">
          <reference field="4294967294" count="1" selected="0">
            <x v="30"/>
          </reference>
        </references>
      </pivotArea>
    </format>
    <format dxfId="8287">
      <pivotArea field="0" dataOnly="0" labelOnly="1" grandRow="1" outline="0" axis="axisRow" fieldPosition="0">
        <references count="1">
          <reference field="4294967294" count="1" selected="0">
            <x v="31"/>
          </reference>
        </references>
      </pivotArea>
    </format>
    <format dxfId="8286">
      <pivotArea field="0" dataOnly="0" labelOnly="1" grandRow="1" outline="0" axis="axisRow" fieldPosition="0">
        <references count="1">
          <reference field="4294967294" count="1" selected="0">
            <x v="32"/>
          </reference>
        </references>
      </pivotArea>
    </format>
    <format dxfId="8285">
      <pivotArea field="0" dataOnly="0" labelOnly="1" grandRow="1" outline="0" axis="axisRow" fieldPosition="0">
        <references count="1">
          <reference field="4294967294" count="1" selected="0">
            <x v="33"/>
          </reference>
        </references>
      </pivotArea>
    </format>
    <format dxfId="8284">
      <pivotArea field="0" dataOnly="0" labelOnly="1" grandRow="1" outline="0" axis="axisRow" fieldPosition="0">
        <references count="1">
          <reference field="4294967294" count="1" selected="0">
            <x v="34"/>
          </reference>
        </references>
      </pivotArea>
    </format>
    <format dxfId="8283">
      <pivotArea field="0" dataOnly="0" labelOnly="1" grandRow="1" outline="0" axis="axisRow" fieldPosition="0">
        <references count="1">
          <reference field="4294967294" count="1" selected="0">
            <x v="35"/>
          </reference>
        </references>
      </pivotArea>
    </format>
    <format dxfId="8282">
      <pivotArea field="0" dataOnly="0" labelOnly="1" grandRow="1" outline="0" axis="axisRow" fieldPosition="0">
        <references count="1">
          <reference field="4294967294" count="1" selected="0">
            <x v="0"/>
          </reference>
        </references>
      </pivotArea>
    </format>
    <format dxfId="8281">
      <pivotArea field="0" dataOnly="0" labelOnly="1" grandRow="1" outline="0" axis="axisRow" fieldPosition="0">
        <references count="1">
          <reference field="4294967294" count="1" selected="0">
            <x v="1"/>
          </reference>
        </references>
      </pivotArea>
    </format>
    <format dxfId="8280">
      <pivotArea field="0" dataOnly="0" labelOnly="1" grandRow="1" outline="0" axis="axisRow" fieldPosition="0">
        <references count="1">
          <reference field="4294967294" count="1" selected="0">
            <x v="2"/>
          </reference>
        </references>
      </pivotArea>
    </format>
    <format dxfId="8279">
      <pivotArea field="0" dataOnly="0" labelOnly="1" grandRow="1" outline="0" axis="axisRow" fieldPosition="0">
        <references count="1">
          <reference field="4294967294" count="1" selected="0">
            <x v="3"/>
          </reference>
        </references>
      </pivotArea>
    </format>
    <format dxfId="8278">
      <pivotArea field="0" dataOnly="0" labelOnly="1" grandRow="1" outline="0" axis="axisRow" fieldPosition="0">
        <references count="1">
          <reference field="4294967294" count="1" selected="0">
            <x v="4"/>
          </reference>
        </references>
      </pivotArea>
    </format>
    <format dxfId="8277">
      <pivotArea field="0" dataOnly="0" labelOnly="1" grandRow="1" outline="0" axis="axisRow" fieldPosition="0">
        <references count="1">
          <reference field="4294967294" count="1" selected="0">
            <x v="5"/>
          </reference>
        </references>
      </pivotArea>
    </format>
    <format dxfId="8276">
      <pivotArea field="0" dataOnly="0" labelOnly="1" grandRow="1" outline="0" axis="axisRow" fieldPosition="0">
        <references count="1">
          <reference field="4294967294" count="1" selected="0">
            <x v="6"/>
          </reference>
        </references>
      </pivotArea>
    </format>
    <format dxfId="8275">
      <pivotArea field="0" dataOnly="0" labelOnly="1" grandRow="1" outline="0" axis="axisRow" fieldPosition="0">
        <references count="1">
          <reference field="4294967294" count="1" selected="0">
            <x v="7"/>
          </reference>
        </references>
      </pivotArea>
    </format>
    <format dxfId="8274">
      <pivotArea field="0" dataOnly="0" labelOnly="1" grandRow="1" outline="0" axis="axisRow" fieldPosition="0">
        <references count="1">
          <reference field="4294967294" count="1" selected="0">
            <x v="8"/>
          </reference>
        </references>
      </pivotArea>
    </format>
    <format dxfId="8273">
      <pivotArea field="0" dataOnly="0" labelOnly="1" grandRow="1" outline="0" axis="axisRow" fieldPosition="0">
        <references count="1">
          <reference field="4294967294" count="1" selected="0">
            <x v="9"/>
          </reference>
        </references>
      </pivotArea>
    </format>
    <format dxfId="8272">
      <pivotArea field="0" dataOnly="0" labelOnly="1" grandRow="1" outline="0" axis="axisRow" fieldPosition="0">
        <references count="1">
          <reference field="4294967294" count="1" selected="0">
            <x v="10"/>
          </reference>
        </references>
      </pivotArea>
    </format>
    <format dxfId="8271">
      <pivotArea field="0" dataOnly="0" labelOnly="1" grandRow="1" outline="0" axis="axisRow" fieldPosition="0">
        <references count="1">
          <reference field="4294967294" count="1" selected="0">
            <x v="11"/>
          </reference>
        </references>
      </pivotArea>
    </format>
    <format dxfId="8270">
      <pivotArea field="0" dataOnly="0" labelOnly="1" grandRow="1" outline="0" axis="axisRow" fieldPosition="0">
        <references count="1">
          <reference field="4294967294" count="1" selected="0">
            <x v="12"/>
          </reference>
        </references>
      </pivotArea>
    </format>
    <format dxfId="8269">
      <pivotArea field="0" dataOnly="0" labelOnly="1" grandRow="1" outline="0" axis="axisRow" fieldPosition="0">
        <references count="1">
          <reference field="4294967294" count="1" selected="0">
            <x v="13"/>
          </reference>
        </references>
      </pivotArea>
    </format>
    <format dxfId="8268">
      <pivotArea field="0" dataOnly="0" labelOnly="1" grandRow="1" outline="0" axis="axisRow" fieldPosition="0">
        <references count="1">
          <reference field="4294967294" count="1" selected="0">
            <x v="14"/>
          </reference>
        </references>
      </pivotArea>
    </format>
    <format dxfId="8267">
      <pivotArea field="0" dataOnly="0" labelOnly="1" grandRow="1" outline="0" axis="axisRow" fieldPosition="0">
        <references count="1">
          <reference field="4294967294" count="1" selected="0">
            <x v="15"/>
          </reference>
        </references>
      </pivotArea>
    </format>
    <format dxfId="8266">
      <pivotArea field="0" dataOnly="0" labelOnly="1" grandRow="1" outline="0" axis="axisRow" fieldPosition="0">
        <references count="1">
          <reference field="4294967294" count="1" selected="0">
            <x v="16"/>
          </reference>
        </references>
      </pivotArea>
    </format>
    <format dxfId="8265">
      <pivotArea field="0" dataOnly="0" labelOnly="1" grandRow="1" outline="0" axis="axisRow" fieldPosition="0">
        <references count="1">
          <reference field="4294967294" count="1" selected="0">
            <x v="17"/>
          </reference>
        </references>
      </pivotArea>
    </format>
    <format dxfId="8264">
      <pivotArea field="0" dataOnly="0" labelOnly="1" grandRow="1" outline="0" axis="axisRow" fieldPosition="0">
        <references count="1">
          <reference field="4294967294" count="1" selected="0">
            <x v="18"/>
          </reference>
        </references>
      </pivotArea>
    </format>
    <format dxfId="8263">
      <pivotArea field="0" dataOnly="0" labelOnly="1" grandRow="1" outline="0" axis="axisRow" fieldPosition="0">
        <references count="1">
          <reference field="4294967294" count="1" selected="0">
            <x v="19"/>
          </reference>
        </references>
      </pivotArea>
    </format>
    <format dxfId="8262">
      <pivotArea field="0" dataOnly="0" labelOnly="1" grandRow="1" outline="0" axis="axisRow" fieldPosition="0">
        <references count="1">
          <reference field="4294967294" count="1" selected="0">
            <x v="20"/>
          </reference>
        </references>
      </pivotArea>
    </format>
    <format dxfId="8261">
      <pivotArea field="0" dataOnly="0" labelOnly="1" grandRow="1" outline="0" axis="axisRow" fieldPosition="0">
        <references count="1">
          <reference field="4294967294" count="1" selected="0">
            <x v="21"/>
          </reference>
        </references>
      </pivotArea>
    </format>
    <format dxfId="8260">
      <pivotArea field="0" dataOnly="0" labelOnly="1" grandRow="1" outline="0" axis="axisRow" fieldPosition="0">
        <references count="1">
          <reference field="4294967294" count="1" selected="0">
            <x v="22"/>
          </reference>
        </references>
      </pivotArea>
    </format>
    <format dxfId="8259">
      <pivotArea field="0" dataOnly="0" labelOnly="1" grandRow="1" outline="0" axis="axisRow" fieldPosition="0">
        <references count="1">
          <reference field="4294967294" count="1" selected="0">
            <x v="23"/>
          </reference>
        </references>
      </pivotArea>
    </format>
    <format dxfId="8258">
      <pivotArea field="0" dataOnly="0" labelOnly="1" grandRow="1" outline="0" axis="axisRow" fieldPosition="0">
        <references count="1">
          <reference field="4294967294" count="1" selected="0">
            <x v="24"/>
          </reference>
        </references>
      </pivotArea>
    </format>
    <format dxfId="8257">
      <pivotArea field="0" dataOnly="0" labelOnly="1" grandRow="1" outline="0" axis="axisRow" fieldPosition="0">
        <references count="1">
          <reference field="4294967294" count="1" selected="0">
            <x v="25"/>
          </reference>
        </references>
      </pivotArea>
    </format>
    <format dxfId="8256">
      <pivotArea field="0" dataOnly="0" labelOnly="1" grandRow="1" outline="0" axis="axisRow" fieldPosition="0">
        <references count="1">
          <reference field="4294967294" count="1" selected="0">
            <x v="26"/>
          </reference>
        </references>
      </pivotArea>
    </format>
    <format dxfId="8255">
      <pivotArea field="0" dataOnly="0" labelOnly="1" grandRow="1" outline="0" axis="axisRow" fieldPosition="0">
        <references count="1">
          <reference field="4294967294" count="1" selected="0">
            <x v="27"/>
          </reference>
        </references>
      </pivotArea>
    </format>
    <format dxfId="8254">
      <pivotArea field="0" dataOnly="0" labelOnly="1" grandRow="1" outline="0" axis="axisRow" fieldPosition="0">
        <references count="1">
          <reference field="4294967294" count="1" selected="0">
            <x v="28"/>
          </reference>
        </references>
      </pivotArea>
    </format>
    <format dxfId="8253">
      <pivotArea field="0" dataOnly="0" labelOnly="1" grandRow="1" outline="0" axis="axisRow" fieldPosition="0">
        <references count="1">
          <reference field="4294967294" count="1" selected="0">
            <x v="29"/>
          </reference>
        </references>
      </pivotArea>
    </format>
    <format dxfId="8252">
      <pivotArea field="0" dataOnly="0" labelOnly="1" grandRow="1" outline="0" axis="axisRow" fieldPosition="0">
        <references count="1">
          <reference field="4294967294" count="1" selected="0">
            <x v="30"/>
          </reference>
        </references>
      </pivotArea>
    </format>
    <format dxfId="8251">
      <pivotArea field="0" dataOnly="0" labelOnly="1" grandRow="1" outline="0" axis="axisRow" fieldPosition="0">
        <references count="1">
          <reference field="4294967294" count="1" selected="0">
            <x v="31"/>
          </reference>
        </references>
      </pivotArea>
    </format>
    <format dxfId="8250">
      <pivotArea field="0" dataOnly="0" labelOnly="1" grandRow="1" outline="0" axis="axisRow" fieldPosition="0">
        <references count="1">
          <reference field="4294967294" count="1" selected="0">
            <x v="32"/>
          </reference>
        </references>
      </pivotArea>
    </format>
    <format dxfId="8249">
      <pivotArea field="0" dataOnly="0" labelOnly="1" grandRow="1" outline="0" axis="axisRow" fieldPosition="0">
        <references count="1">
          <reference field="4294967294" count="1" selected="0">
            <x v="33"/>
          </reference>
        </references>
      </pivotArea>
    </format>
    <format dxfId="8248">
      <pivotArea field="0" dataOnly="0" labelOnly="1" grandRow="1" outline="0" axis="axisRow" fieldPosition="0">
        <references count="1">
          <reference field="4294967294" count="1" selected="0">
            <x v="34"/>
          </reference>
        </references>
      </pivotArea>
    </format>
    <format dxfId="8247">
      <pivotArea field="0" dataOnly="0" labelOnly="1" grandRow="1" outline="0" axis="axisRow" fieldPosition="0">
        <references count="1">
          <reference field="4294967294" count="1" selected="0">
            <x v="35"/>
          </reference>
        </references>
      </pivotArea>
    </format>
    <format dxfId="8246">
      <pivotArea field="0" dataOnly="0" labelOnly="1" grandRow="1" outline="0" axis="axisRow" fieldPosition="0">
        <references count="1">
          <reference field="4294967294" count="1" selected="0">
            <x v="0"/>
          </reference>
        </references>
      </pivotArea>
    </format>
    <format dxfId="8245">
      <pivotArea field="0" dataOnly="0" labelOnly="1" grandRow="1" outline="0" axis="axisRow" fieldPosition="0">
        <references count="1">
          <reference field="4294967294" count="1" selected="0">
            <x v="1"/>
          </reference>
        </references>
      </pivotArea>
    </format>
    <format dxfId="8244">
      <pivotArea field="0" dataOnly="0" labelOnly="1" grandRow="1" outline="0" axis="axisRow" fieldPosition="0">
        <references count="1">
          <reference field="4294967294" count="1" selected="0">
            <x v="2"/>
          </reference>
        </references>
      </pivotArea>
    </format>
    <format dxfId="8243">
      <pivotArea field="0" dataOnly="0" labelOnly="1" grandRow="1" outline="0" axis="axisRow" fieldPosition="0">
        <references count="1">
          <reference field="4294967294" count="1" selected="0">
            <x v="3"/>
          </reference>
        </references>
      </pivotArea>
    </format>
    <format dxfId="8242">
      <pivotArea field="0" dataOnly="0" labelOnly="1" grandRow="1" outline="0" axis="axisRow" fieldPosition="0">
        <references count="1">
          <reference field="4294967294" count="1" selected="0">
            <x v="4"/>
          </reference>
        </references>
      </pivotArea>
    </format>
    <format dxfId="8241">
      <pivotArea field="0" dataOnly="0" labelOnly="1" grandRow="1" outline="0" axis="axisRow" fieldPosition="0">
        <references count="1">
          <reference field="4294967294" count="1" selected="0">
            <x v="5"/>
          </reference>
        </references>
      </pivotArea>
    </format>
    <format dxfId="8240">
      <pivotArea field="0" dataOnly="0" labelOnly="1" grandRow="1" outline="0" axis="axisRow" fieldPosition="0">
        <references count="1">
          <reference field="4294967294" count="1" selected="0">
            <x v="6"/>
          </reference>
        </references>
      </pivotArea>
    </format>
    <format dxfId="8239">
      <pivotArea field="0" dataOnly="0" labelOnly="1" grandRow="1" outline="0" axis="axisRow" fieldPosition="0">
        <references count="1">
          <reference field="4294967294" count="1" selected="0">
            <x v="7"/>
          </reference>
        </references>
      </pivotArea>
    </format>
    <format dxfId="8238">
      <pivotArea field="0" dataOnly="0" labelOnly="1" grandRow="1" outline="0" axis="axisRow" fieldPosition="0">
        <references count="1">
          <reference field="4294967294" count="1" selected="0">
            <x v="8"/>
          </reference>
        </references>
      </pivotArea>
    </format>
    <format dxfId="8237">
      <pivotArea field="0" dataOnly="0" labelOnly="1" grandRow="1" outline="0" axis="axisRow" fieldPosition="0">
        <references count="1">
          <reference field="4294967294" count="1" selected="0">
            <x v="9"/>
          </reference>
        </references>
      </pivotArea>
    </format>
    <format dxfId="8236">
      <pivotArea field="0" dataOnly="0" labelOnly="1" grandRow="1" outline="0" axis="axisRow" fieldPosition="0">
        <references count="1">
          <reference field="4294967294" count="1" selected="0">
            <x v="10"/>
          </reference>
        </references>
      </pivotArea>
    </format>
    <format dxfId="8235">
      <pivotArea field="0" dataOnly="0" labelOnly="1" grandRow="1" outline="0" axis="axisRow" fieldPosition="0">
        <references count="1">
          <reference field="4294967294" count="1" selected="0">
            <x v="11"/>
          </reference>
        </references>
      </pivotArea>
    </format>
    <format dxfId="8234">
      <pivotArea field="0" dataOnly="0" labelOnly="1" grandRow="1" outline="0" axis="axisRow" fieldPosition="0">
        <references count="1">
          <reference field="4294967294" count="1" selected="0">
            <x v="12"/>
          </reference>
        </references>
      </pivotArea>
    </format>
    <format dxfId="8233">
      <pivotArea field="0" dataOnly="0" labelOnly="1" grandRow="1" outline="0" axis="axisRow" fieldPosition="0">
        <references count="1">
          <reference field="4294967294" count="1" selected="0">
            <x v="13"/>
          </reference>
        </references>
      </pivotArea>
    </format>
    <format dxfId="8232">
      <pivotArea field="0" dataOnly="0" labelOnly="1" grandRow="1" outline="0" axis="axisRow" fieldPosition="0">
        <references count="1">
          <reference field="4294967294" count="1" selected="0">
            <x v="14"/>
          </reference>
        </references>
      </pivotArea>
    </format>
    <format dxfId="8231">
      <pivotArea field="0" dataOnly="0" labelOnly="1" grandRow="1" outline="0" axis="axisRow" fieldPosition="0">
        <references count="1">
          <reference field="4294967294" count="1" selected="0">
            <x v="15"/>
          </reference>
        </references>
      </pivotArea>
    </format>
    <format dxfId="8230">
      <pivotArea field="0" dataOnly="0" labelOnly="1" grandRow="1" outline="0" axis="axisRow" fieldPosition="0">
        <references count="1">
          <reference field="4294967294" count="1" selected="0">
            <x v="16"/>
          </reference>
        </references>
      </pivotArea>
    </format>
    <format dxfId="8229">
      <pivotArea field="0" dataOnly="0" labelOnly="1" grandRow="1" outline="0" axis="axisRow" fieldPosition="0">
        <references count="1">
          <reference field="4294967294" count="1" selected="0">
            <x v="17"/>
          </reference>
        </references>
      </pivotArea>
    </format>
    <format dxfId="8228">
      <pivotArea field="0" dataOnly="0" labelOnly="1" grandRow="1" outline="0" axis="axisRow" fieldPosition="0">
        <references count="1">
          <reference field="4294967294" count="1" selected="0">
            <x v="18"/>
          </reference>
        </references>
      </pivotArea>
    </format>
    <format dxfId="8227">
      <pivotArea field="0" dataOnly="0" labelOnly="1" grandRow="1" outline="0" axis="axisRow" fieldPosition="0">
        <references count="1">
          <reference field="4294967294" count="1" selected="0">
            <x v="19"/>
          </reference>
        </references>
      </pivotArea>
    </format>
    <format dxfId="8226">
      <pivotArea field="0" dataOnly="0" labelOnly="1" grandRow="1" outline="0" axis="axisRow" fieldPosition="0">
        <references count="1">
          <reference field="4294967294" count="1" selected="0">
            <x v="20"/>
          </reference>
        </references>
      </pivotArea>
    </format>
    <format dxfId="8225">
      <pivotArea field="0" dataOnly="0" labelOnly="1" grandRow="1" outline="0" axis="axisRow" fieldPosition="0">
        <references count="1">
          <reference field="4294967294" count="1" selected="0">
            <x v="21"/>
          </reference>
        </references>
      </pivotArea>
    </format>
    <format dxfId="8224">
      <pivotArea field="0" dataOnly="0" labelOnly="1" grandRow="1" outline="0" axis="axisRow" fieldPosition="0">
        <references count="1">
          <reference field="4294967294" count="1" selected="0">
            <x v="22"/>
          </reference>
        </references>
      </pivotArea>
    </format>
    <format dxfId="8223">
      <pivotArea field="0" dataOnly="0" labelOnly="1" grandRow="1" outline="0" axis="axisRow" fieldPosition="0">
        <references count="1">
          <reference field="4294967294" count="1" selected="0">
            <x v="23"/>
          </reference>
        </references>
      </pivotArea>
    </format>
    <format dxfId="8222">
      <pivotArea field="0" dataOnly="0" labelOnly="1" grandRow="1" outline="0" axis="axisRow" fieldPosition="0">
        <references count="1">
          <reference field="4294967294" count="1" selected="0">
            <x v="24"/>
          </reference>
        </references>
      </pivotArea>
    </format>
    <format dxfId="8221">
      <pivotArea field="0" dataOnly="0" labelOnly="1" grandRow="1" outline="0" axis="axisRow" fieldPosition="0">
        <references count="1">
          <reference field="4294967294" count="1" selected="0">
            <x v="25"/>
          </reference>
        </references>
      </pivotArea>
    </format>
    <format dxfId="8220">
      <pivotArea field="0" dataOnly="0" labelOnly="1" grandRow="1" outline="0" axis="axisRow" fieldPosition="0">
        <references count="1">
          <reference field="4294967294" count="1" selected="0">
            <x v="26"/>
          </reference>
        </references>
      </pivotArea>
    </format>
    <format dxfId="8219">
      <pivotArea field="0" dataOnly="0" labelOnly="1" grandRow="1" outline="0" axis="axisRow" fieldPosition="0">
        <references count="1">
          <reference field="4294967294" count="1" selected="0">
            <x v="27"/>
          </reference>
        </references>
      </pivotArea>
    </format>
    <format dxfId="8218">
      <pivotArea field="0" dataOnly="0" labelOnly="1" grandRow="1" outline="0" axis="axisRow" fieldPosition="0">
        <references count="1">
          <reference field="4294967294" count="1" selected="0">
            <x v="28"/>
          </reference>
        </references>
      </pivotArea>
    </format>
    <format dxfId="8217">
      <pivotArea field="0" dataOnly="0" labelOnly="1" grandRow="1" outline="0" axis="axisRow" fieldPosition="0">
        <references count="1">
          <reference field="4294967294" count="1" selected="0">
            <x v="29"/>
          </reference>
        </references>
      </pivotArea>
    </format>
    <format dxfId="8216">
      <pivotArea field="0" dataOnly="0" labelOnly="1" grandRow="1" outline="0" axis="axisRow" fieldPosition="0">
        <references count="1">
          <reference field="4294967294" count="1" selected="0">
            <x v="30"/>
          </reference>
        </references>
      </pivotArea>
    </format>
    <format dxfId="8215">
      <pivotArea field="0" dataOnly="0" labelOnly="1" grandRow="1" outline="0" axis="axisRow" fieldPosition="0">
        <references count="1">
          <reference field="4294967294" count="1" selected="0">
            <x v="31"/>
          </reference>
        </references>
      </pivotArea>
    </format>
    <format dxfId="8214">
      <pivotArea field="0" dataOnly="0" labelOnly="1" grandRow="1" outline="0" axis="axisRow" fieldPosition="0">
        <references count="1">
          <reference field="4294967294" count="1" selected="0">
            <x v="32"/>
          </reference>
        </references>
      </pivotArea>
    </format>
    <format dxfId="8213">
      <pivotArea field="0" dataOnly="0" labelOnly="1" grandRow="1" outline="0" axis="axisRow" fieldPosition="0">
        <references count="1">
          <reference field="4294967294" count="1" selected="0">
            <x v="33"/>
          </reference>
        </references>
      </pivotArea>
    </format>
    <format dxfId="8212">
      <pivotArea field="0" dataOnly="0" labelOnly="1" grandRow="1" outline="0" axis="axisRow" fieldPosition="0">
        <references count="1">
          <reference field="4294967294" count="1" selected="0">
            <x v="34"/>
          </reference>
        </references>
      </pivotArea>
    </format>
    <format dxfId="8211">
      <pivotArea field="0" dataOnly="0" labelOnly="1" grandRow="1" outline="0" axis="axisRow" fieldPosition="0">
        <references count="1">
          <reference field="4294967294" count="1" selected="0">
            <x v="35"/>
          </reference>
        </references>
      </pivotArea>
    </format>
    <format dxfId="8210">
      <pivotArea field="0" dataOnly="0" labelOnly="1" grandRow="1" outline="0" axis="axisRow" fieldPosition="0">
        <references count="1">
          <reference field="4294967294" count="1" selected="0">
            <x v="0"/>
          </reference>
        </references>
      </pivotArea>
    </format>
    <format dxfId="8209">
      <pivotArea field="0" dataOnly="0" labelOnly="1" grandRow="1" outline="0" axis="axisRow" fieldPosition="0">
        <references count="1">
          <reference field="4294967294" count="1" selected="0">
            <x v="1"/>
          </reference>
        </references>
      </pivotArea>
    </format>
    <format dxfId="8208">
      <pivotArea field="0" dataOnly="0" labelOnly="1" grandRow="1" outline="0" axis="axisRow" fieldPosition="0">
        <references count="1">
          <reference field="4294967294" count="1" selected="0">
            <x v="2"/>
          </reference>
        </references>
      </pivotArea>
    </format>
    <format dxfId="8207">
      <pivotArea field="0" dataOnly="0" labelOnly="1" grandRow="1" outline="0" axis="axisRow" fieldPosition="0">
        <references count="1">
          <reference field="4294967294" count="1" selected="0">
            <x v="3"/>
          </reference>
        </references>
      </pivotArea>
    </format>
    <format dxfId="8206">
      <pivotArea field="0" dataOnly="0" labelOnly="1" grandRow="1" outline="0" axis="axisRow" fieldPosition="0">
        <references count="1">
          <reference field="4294967294" count="1" selected="0">
            <x v="4"/>
          </reference>
        </references>
      </pivotArea>
    </format>
    <format dxfId="8205">
      <pivotArea field="0" dataOnly="0" labelOnly="1" grandRow="1" outline="0" axis="axisRow" fieldPosition="0">
        <references count="1">
          <reference field="4294967294" count="1" selected="0">
            <x v="5"/>
          </reference>
        </references>
      </pivotArea>
    </format>
    <format dxfId="8204">
      <pivotArea field="0" dataOnly="0" labelOnly="1" grandRow="1" outline="0" axis="axisRow" fieldPosition="0">
        <references count="1">
          <reference field="4294967294" count="1" selected="0">
            <x v="6"/>
          </reference>
        </references>
      </pivotArea>
    </format>
    <format dxfId="8203">
      <pivotArea field="0" dataOnly="0" labelOnly="1" grandRow="1" outline="0" axis="axisRow" fieldPosition="0">
        <references count="1">
          <reference field="4294967294" count="1" selected="0">
            <x v="7"/>
          </reference>
        </references>
      </pivotArea>
    </format>
    <format dxfId="8202">
      <pivotArea field="0" dataOnly="0" labelOnly="1" grandRow="1" outline="0" axis="axisRow" fieldPosition="0">
        <references count="1">
          <reference field="4294967294" count="1" selected="0">
            <x v="8"/>
          </reference>
        </references>
      </pivotArea>
    </format>
    <format dxfId="8201">
      <pivotArea field="0" dataOnly="0" labelOnly="1" grandRow="1" outline="0" axis="axisRow" fieldPosition="0">
        <references count="1">
          <reference field="4294967294" count="1" selected="0">
            <x v="9"/>
          </reference>
        </references>
      </pivotArea>
    </format>
    <format dxfId="8200">
      <pivotArea field="0" dataOnly="0" labelOnly="1" grandRow="1" outline="0" axis="axisRow" fieldPosition="0">
        <references count="1">
          <reference field="4294967294" count="1" selected="0">
            <x v="10"/>
          </reference>
        </references>
      </pivotArea>
    </format>
    <format dxfId="8199">
      <pivotArea field="0" dataOnly="0" labelOnly="1" grandRow="1" outline="0" axis="axisRow" fieldPosition="0">
        <references count="1">
          <reference field="4294967294" count="1" selected="0">
            <x v="11"/>
          </reference>
        </references>
      </pivotArea>
    </format>
    <format dxfId="8198">
      <pivotArea field="0" dataOnly="0" labelOnly="1" grandRow="1" outline="0" axis="axisRow" fieldPosition="0">
        <references count="1">
          <reference field="4294967294" count="1" selected="0">
            <x v="12"/>
          </reference>
        </references>
      </pivotArea>
    </format>
    <format dxfId="8197">
      <pivotArea field="0" dataOnly="0" labelOnly="1" grandRow="1" outline="0" axis="axisRow" fieldPosition="0">
        <references count="1">
          <reference field="4294967294" count="1" selected="0">
            <x v="13"/>
          </reference>
        </references>
      </pivotArea>
    </format>
    <format dxfId="8196">
      <pivotArea field="0" dataOnly="0" labelOnly="1" grandRow="1" outline="0" axis="axisRow" fieldPosition="0">
        <references count="1">
          <reference field="4294967294" count="1" selected="0">
            <x v="14"/>
          </reference>
        </references>
      </pivotArea>
    </format>
    <format dxfId="8195">
      <pivotArea field="0" dataOnly="0" labelOnly="1" grandRow="1" outline="0" axis="axisRow" fieldPosition="0">
        <references count="1">
          <reference field="4294967294" count="1" selected="0">
            <x v="15"/>
          </reference>
        </references>
      </pivotArea>
    </format>
    <format dxfId="8194">
      <pivotArea field="0" dataOnly="0" labelOnly="1" grandRow="1" outline="0" axis="axisRow" fieldPosition="0">
        <references count="1">
          <reference field="4294967294" count="1" selected="0">
            <x v="16"/>
          </reference>
        </references>
      </pivotArea>
    </format>
    <format dxfId="8193">
      <pivotArea field="0" dataOnly="0" labelOnly="1" grandRow="1" outline="0" axis="axisRow" fieldPosition="0">
        <references count="1">
          <reference field="4294967294" count="1" selected="0">
            <x v="17"/>
          </reference>
        </references>
      </pivotArea>
    </format>
    <format dxfId="8192">
      <pivotArea field="0" dataOnly="0" labelOnly="1" grandRow="1" outline="0" axis="axisRow" fieldPosition="0">
        <references count="1">
          <reference field="4294967294" count="1" selected="0">
            <x v="18"/>
          </reference>
        </references>
      </pivotArea>
    </format>
    <format dxfId="8191">
      <pivotArea field="0" dataOnly="0" labelOnly="1" grandRow="1" outline="0" axis="axisRow" fieldPosition="0">
        <references count="1">
          <reference field="4294967294" count="1" selected="0">
            <x v="19"/>
          </reference>
        </references>
      </pivotArea>
    </format>
    <format dxfId="8190">
      <pivotArea field="0" dataOnly="0" labelOnly="1" grandRow="1" outline="0" axis="axisRow" fieldPosition="0">
        <references count="1">
          <reference field="4294967294" count="1" selected="0">
            <x v="20"/>
          </reference>
        </references>
      </pivotArea>
    </format>
    <format dxfId="8189">
      <pivotArea field="0" dataOnly="0" labelOnly="1" grandRow="1" outline="0" axis="axisRow" fieldPosition="0">
        <references count="1">
          <reference field="4294967294" count="1" selected="0">
            <x v="21"/>
          </reference>
        </references>
      </pivotArea>
    </format>
    <format dxfId="8188">
      <pivotArea field="0" dataOnly="0" labelOnly="1" grandRow="1" outline="0" axis="axisRow" fieldPosition="0">
        <references count="1">
          <reference field="4294967294" count="1" selected="0">
            <x v="22"/>
          </reference>
        </references>
      </pivotArea>
    </format>
    <format dxfId="8187">
      <pivotArea field="0" dataOnly="0" labelOnly="1" grandRow="1" outline="0" axis="axisRow" fieldPosition="0">
        <references count="1">
          <reference field="4294967294" count="1" selected="0">
            <x v="23"/>
          </reference>
        </references>
      </pivotArea>
    </format>
    <format dxfId="8186">
      <pivotArea field="0" dataOnly="0" labelOnly="1" grandRow="1" outline="0" axis="axisRow" fieldPosition="0">
        <references count="1">
          <reference field="4294967294" count="1" selected="0">
            <x v="24"/>
          </reference>
        </references>
      </pivotArea>
    </format>
    <format dxfId="8185">
      <pivotArea field="0" dataOnly="0" labelOnly="1" grandRow="1" outline="0" axis="axisRow" fieldPosition="0">
        <references count="1">
          <reference field="4294967294" count="1" selected="0">
            <x v="25"/>
          </reference>
        </references>
      </pivotArea>
    </format>
    <format dxfId="8184">
      <pivotArea field="0" dataOnly="0" labelOnly="1" grandRow="1" outline="0" axis="axisRow" fieldPosition="0">
        <references count="1">
          <reference field="4294967294" count="1" selected="0">
            <x v="26"/>
          </reference>
        </references>
      </pivotArea>
    </format>
    <format dxfId="8183">
      <pivotArea field="0" dataOnly="0" labelOnly="1" grandRow="1" outline="0" axis="axisRow" fieldPosition="0">
        <references count="1">
          <reference field="4294967294" count="1" selected="0">
            <x v="27"/>
          </reference>
        </references>
      </pivotArea>
    </format>
    <format dxfId="8182">
      <pivotArea field="0" dataOnly="0" labelOnly="1" grandRow="1" outline="0" axis="axisRow" fieldPosition="0">
        <references count="1">
          <reference field="4294967294" count="1" selected="0">
            <x v="28"/>
          </reference>
        </references>
      </pivotArea>
    </format>
    <format dxfId="8181">
      <pivotArea field="0" dataOnly="0" labelOnly="1" grandRow="1" outline="0" axis="axisRow" fieldPosition="0">
        <references count="1">
          <reference field="4294967294" count="1" selected="0">
            <x v="29"/>
          </reference>
        </references>
      </pivotArea>
    </format>
    <format dxfId="8180">
      <pivotArea field="0" dataOnly="0" labelOnly="1" grandRow="1" outline="0" axis="axisRow" fieldPosition="0">
        <references count="1">
          <reference field="4294967294" count="1" selected="0">
            <x v="30"/>
          </reference>
        </references>
      </pivotArea>
    </format>
    <format dxfId="8179">
      <pivotArea field="0" dataOnly="0" labelOnly="1" grandRow="1" outline="0" axis="axisRow" fieldPosition="0">
        <references count="1">
          <reference field="4294967294" count="1" selected="0">
            <x v="31"/>
          </reference>
        </references>
      </pivotArea>
    </format>
    <format dxfId="8178">
      <pivotArea field="0" dataOnly="0" labelOnly="1" grandRow="1" outline="0" axis="axisRow" fieldPosition="0">
        <references count="1">
          <reference field="4294967294" count="1" selected="0">
            <x v="32"/>
          </reference>
        </references>
      </pivotArea>
    </format>
    <format dxfId="8177">
      <pivotArea field="0" dataOnly="0" labelOnly="1" grandRow="1" outline="0" axis="axisRow" fieldPosition="0">
        <references count="1">
          <reference field="4294967294" count="1" selected="0">
            <x v="33"/>
          </reference>
        </references>
      </pivotArea>
    </format>
    <format dxfId="8176">
      <pivotArea field="0" dataOnly="0" labelOnly="1" grandRow="1" outline="0" axis="axisRow" fieldPosition="0">
        <references count="1">
          <reference field="4294967294" count="1" selected="0">
            <x v="34"/>
          </reference>
        </references>
      </pivotArea>
    </format>
    <format dxfId="8175">
      <pivotArea field="0" dataOnly="0" labelOnly="1" grandRow="1" outline="0" axis="axisRow" fieldPosition="0">
        <references count="1">
          <reference field="4294967294" count="1" selected="0">
            <x v="35"/>
          </reference>
        </references>
      </pivotArea>
    </format>
    <format dxfId="8174">
      <pivotArea field="0" dataOnly="0" labelOnly="1" grandRow="1" outline="0" axis="axisRow" fieldPosition="0">
        <references count="1">
          <reference field="4294967294" count="1" selected="0">
            <x v="0"/>
          </reference>
        </references>
      </pivotArea>
    </format>
    <format dxfId="8173">
      <pivotArea field="0" dataOnly="0" labelOnly="1" grandRow="1" outline="0" axis="axisRow" fieldPosition="0">
        <references count="1">
          <reference field="4294967294" count="1" selected="0">
            <x v="1"/>
          </reference>
        </references>
      </pivotArea>
    </format>
    <format dxfId="8172">
      <pivotArea field="0" dataOnly="0" labelOnly="1" grandRow="1" outline="0" axis="axisRow" fieldPosition="0">
        <references count="1">
          <reference field="4294967294" count="1" selected="0">
            <x v="2"/>
          </reference>
        </references>
      </pivotArea>
    </format>
    <format dxfId="8171">
      <pivotArea field="0" dataOnly="0" labelOnly="1" grandRow="1" outline="0" axis="axisRow" fieldPosition="0">
        <references count="1">
          <reference field="4294967294" count="1" selected="0">
            <x v="3"/>
          </reference>
        </references>
      </pivotArea>
    </format>
    <format dxfId="8170">
      <pivotArea field="0" dataOnly="0" labelOnly="1" grandRow="1" outline="0" axis="axisRow" fieldPosition="0">
        <references count="1">
          <reference field="4294967294" count="1" selected="0">
            <x v="4"/>
          </reference>
        </references>
      </pivotArea>
    </format>
    <format dxfId="8169">
      <pivotArea field="0" dataOnly="0" labelOnly="1" grandRow="1" outline="0" axis="axisRow" fieldPosition="0">
        <references count="1">
          <reference field="4294967294" count="1" selected="0">
            <x v="5"/>
          </reference>
        </references>
      </pivotArea>
    </format>
    <format dxfId="8168">
      <pivotArea field="0" dataOnly="0" labelOnly="1" grandRow="1" outline="0" axis="axisRow" fieldPosition="0">
        <references count="1">
          <reference field="4294967294" count="1" selected="0">
            <x v="6"/>
          </reference>
        </references>
      </pivotArea>
    </format>
    <format dxfId="8167">
      <pivotArea field="0" dataOnly="0" labelOnly="1" grandRow="1" outline="0" axis="axisRow" fieldPosition="0">
        <references count="1">
          <reference field="4294967294" count="1" selected="0">
            <x v="7"/>
          </reference>
        </references>
      </pivotArea>
    </format>
    <format dxfId="8166">
      <pivotArea field="0" dataOnly="0" labelOnly="1" grandRow="1" outline="0" axis="axisRow" fieldPosition="0">
        <references count="1">
          <reference field="4294967294" count="1" selected="0">
            <x v="8"/>
          </reference>
        </references>
      </pivotArea>
    </format>
    <format dxfId="8165">
      <pivotArea field="0" dataOnly="0" labelOnly="1" grandRow="1" outline="0" axis="axisRow" fieldPosition="0">
        <references count="1">
          <reference field="4294967294" count="1" selected="0">
            <x v="9"/>
          </reference>
        </references>
      </pivotArea>
    </format>
    <format dxfId="8164">
      <pivotArea field="0" dataOnly="0" labelOnly="1" grandRow="1" outline="0" axis="axisRow" fieldPosition="0">
        <references count="1">
          <reference field="4294967294" count="1" selected="0">
            <x v="10"/>
          </reference>
        </references>
      </pivotArea>
    </format>
    <format dxfId="8163">
      <pivotArea field="0" dataOnly="0" labelOnly="1" grandRow="1" outline="0" axis="axisRow" fieldPosition="0">
        <references count="1">
          <reference field="4294967294" count="1" selected="0">
            <x v="11"/>
          </reference>
        </references>
      </pivotArea>
    </format>
    <format dxfId="8162">
      <pivotArea field="0" dataOnly="0" labelOnly="1" grandRow="1" outline="0" axis="axisRow" fieldPosition="0">
        <references count="1">
          <reference field="4294967294" count="1" selected="0">
            <x v="12"/>
          </reference>
        </references>
      </pivotArea>
    </format>
    <format dxfId="8161">
      <pivotArea field="0" dataOnly="0" labelOnly="1" grandRow="1" outline="0" axis="axisRow" fieldPosition="0">
        <references count="1">
          <reference field="4294967294" count="1" selected="0">
            <x v="13"/>
          </reference>
        </references>
      </pivotArea>
    </format>
    <format dxfId="8160">
      <pivotArea field="0" dataOnly="0" labelOnly="1" grandRow="1" outline="0" axis="axisRow" fieldPosition="0">
        <references count="1">
          <reference field="4294967294" count="1" selected="0">
            <x v="14"/>
          </reference>
        </references>
      </pivotArea>
    </format>
    <format dxfId="8159">
      <pivotArea field="0" dataOnly="0" labelOnly="1" grandRow="1" outline="0" axis="axisRow" fieldPosition="0">
        <references count="1">
          <reference field="4294967294" count="1" selected="0">
            <x v="15"/>
          </reference>
        </references>
      </pivotArea>
    </format>
    <format dxfId="8158">
      <pivotArea field="0" dataOnly="0" labelOnly="1" grandRow="1" outline="0" axis="axisRow" fieldPosition="0">
        <references count="1">
          <reference field="4294967294" count="1" selected="0">
            <x v="16"/>
          </reference>
        </references>
      </pivotArea>
    </format>
    <format dxfId="8157">
      <pivotArea field="0" dataOnly="0" labelOnly="1" grandRow="1" outline="0" axis="axisRow" fieldPosition="0">
        <references count="1">
          <reference field="4294967294" count="1" selected="0">
            <x v="17"/>
          </reference>
        </references>
      </pivotArea>
    </format>
    <format dxfId="8156">
      <pivotArea field="0" dataOnly="0" labelOnly="1" grandRow="1" outline="0" axis="axisRow" fieldPosition="0">
        <references count="1">
          <reference field="4294967294" count="1" selected="0">
            <x v="18"/>
          </reference>
        </references>
      </pivotArea>
    </format>
    <format dxfId="8155">
      <pivotArea field="0" dataOnly="0" labelOnly="1" grandRow="1" outline="0" axis="axisRow" fieldPosition="0">
        <references count="1">
          <reference field="4294967294" count="1" selected="0">
            <x v="19"/>
          </reference>
        </references>
      </pivotArea>
    </format>
    <format dxfId="8154">
      <pivotArea field="0" dataOnly="0" labelOnly="1" grandRow="1" outline="0" axis="axisRow" fieldPosition="0">
        <references count="1">
          <reference field="4294967294" count="1" selected="0">
            <x v="20"/>
          </reference>
        </references>
      </pivotArea>
    </format>
    <format dxfId="8153">
      <pivotArea field="0" dataOnly="0" labelOnly="1" grandRow="1" outline="0" axis="axisRow" fieldPosition="0">
        <references count="1">
          <reference field="4294967294" count="1" selected="0">
            <x v="21"/>
          </reference>
        </references>
      </pivotArea>
    </format>
    <format dxfId="8152">
      <pivotArea field="0" dataOnly="0" labelOnly="1" grandRow="1" outline="0" axis="axisRow" fieldPosition="0">
        <references count="1">
          <reference field="4294967294" count="1" selected="0">
            <x v="22"/>
          </reference>
        </references>
      </pivotArea>
    </format>
    <format dxfId="8151">
      <pivotArea field="0" dataOnly="0" labelOnly="1" grandRow="1" outline="0" axis="axisRow" fieldPosition="0">
        <references count="1">
          <reference field="4294967294" count="1" selected="0">
            <x v="23"/>
          </reference>
        </references>
      </pivotArea>
    </format>
    <format dxfId="8150">
      <pivotArea field="0" dataOnly="0" labelOnly="1" grandRow="1" outline="0" axis="axisRow" fieldPosition="0">
        <references count="1">
          <reference field="4294967294" count="1" selected="0">
            <x v="24"/>
          </reference>
        </references>
      </pivotArea>
    </format>
    <format dxfId="8149">
      <pivotArea field="0" dataOnly="0" labelOnly="1" grandRow="1" outline="0" axis="axisRow" fieldPosition="0">
        <references count="1">
          <reference field="4294967294" count="1" selected="0">
            <x v="25"/>
          </reference>
        </references>
      </pivotArea>
    </format>
    <format dxfId="8148">
      <pivotArea field="0" dataOnly="0" labelOnly="1" grandRow="1" outline="0" axis="axisRow" fieldPosition="0">
        <references count="1">
          <reference field="4294967294" count="1" selected="0">
            <x v="26"/>
          </reference>
        </references>
      </pivotArea>
    </format>
    <format dxfId="8147">
      <pivotArea field="0" dataOnly="0" labelOnly="1" grandRow="1" outline="0" axis="axisRow" fieldPosition="0">
        <references count="1">
          <reference field="4294967294" count="1" selected="0">
            <x v="27"/>
          </reference>
        </references>
      </pivotArea>
    </format>
    <format dxfId="8146">
      <pivotArea field="0" dataOnly="0" labelOnly="1" grandRow="1" outline="0" axis="axisRow" fieldPosition="0">
        <references count="1">
          <reference field="4294967294" count="1" selected="0">
            <x v="28"/>
          </reference>
        </references>
      </pivotArea>
    </format>
    <format dxfId="8145">
      <pivotArea field="0" dataOnly="0" labelOnly="1" grandRow="1" outline="0" axis="axisRow" fieldPosition="0">
        <references count="1">
          <reference field="4294967294" count="1" selected="0">
            <x v="29"/>
          </reference>
        </references>
      </pivotArea>
    </format>
    <format dxfId="8144">
      <pivotArea field="0" dataOnly="0" labelOnly="1" grandRow="1" outline="0" axis="axisRow" fieldPosition="0">
        <references count="1">
          <reference field="4294967294" count="1" selected="0">
            <x v="30"/>
          </reference>
        </references>
      </pivotArea>
    </format>
    <format dxfId="8143">
      <pivotArea field="0" dataOnly="0" labelOnly="1" grandRow="1" outline="0" axis="axisRow" fieldPosition="0">
        <references count="1">
          <reference field="4294967294" count="1" selected="0">
            <x v="31"/>
          </reference>
        </references>
      </pivotArea>
    </format>
    <format dxfId="8142">
      <pivotArea field="0" dataOnly="0" labelOnly="1" grandRow="1" outline="0" axis="axisRow" fieldPosition="0">
        <references count="1">
          <reference field="4294967294" count="1" selected="0">
            <x v="32"/>
          </reference>
        </references>
      </pivotArea>
    </format>
    <format dxfId="8141">
      <pivotArea field="0" dataOnly="0" labelOnly="1" grandRow="1" outline="0" axis="axisRow" fieldPosition="0">
        <references count="1">
          <reference field="4294967294" count="1" selected="0">
            <x v="33"/>
          </reference>
        </references>
      </pivotArea>
    </format>
    <format dxfId="8140">
      <pivotArea field="0" dataOnly="0" labelOnly="1" grandRow="1" outline="0" axis="axisRow" fieldPosition="0">
        <references count="1">
          <reference field="4294967294" count="1" selected="0">
            <x v="34"/>
          </reference>
        </references>
      </pivotArea>
    </format>
    <format dxfId="8139">
      <pivotArea field="0" dataOnly="0" labelOnly="1" grandRow="1" outline="0" axis="axisRow" fieldPosition="0">
        <references count="1">
          <reference field="4294967294" count="1" selected="0">
            <x v="35"/>
          </reference>
        </references>
      </pivotArea>
    </format>
    <format dxfId="8138">
      <pivotArea field="0" dataOnly="0" labelOnly="1" grandRow="1" outline="0" axis="axisRow" fieldPosition="0">
        <references count="1">
          <reference field="4294967294" count="1" selected="0">
            <x v="0"/>
          </reference>
        </references>
      </pivotArea>
    </format>
    <format dxfId="8137">
      <pivotArea field="0" dataOnly="0" labelOnly="1" grandRow="1" outline="0" axis="axisRow" fieldPosition="0">
        <references count="1">
          <reference field="4294967294" count="1" selected="0">
            <x v="1"/>
          </reference>
        </references>
      </pivotArea>
    </format>
    <format dxfId="8136">
      <pivotArea field="0" dataOnly="0" labelOnly="1" grandRow="1" outline="0" axis="axisRow" fieldPosition="0">
        <references count="1">
          <reference field="4294967294" count="1" selected="0">
            <x v="2"/>
          </reference>
        </references>
      </pivotArea>
    </format>
    <format dxfId="8135">
      <pivotArea field="0" dataOnly="0" labelOnly="1" grandRow="1" outline="0" axis="axisRow" fieldPosition="0">
        <references count="1">
          <reference field="4294967294" count="1" selected="0">
            <x v="3"/>
          </reference>
        </references>
      </pivotArea>
    </format>
    <format dxfId="8134">
      <pivotArea field="0" dataOnly="0" labelOnly="1" grandRow="1" outline="0" axis="axisRow" fieldPosition="0">
        <references count="1">
          <reference field="4294967294" count="1" selected="0">
            <x v="4"/>
          </reference>
        </references>
      </pivotArea>
    </format>
    <format dxfId="8133">
      <pivotArea field="0" dataOnly="0" labelOnly="1" grandRow="1" outline="0" axis="axisRow" fieldPosition="0">
        <references count="1">
          <reference field="4294967294" count="1" selected="0">
            <x v="5"/>
          </reference>
        </references>
      </pivotArea>
    </format>
    <format dxfId="8132">
      <pivotArea field="0" dataOnly="0" labelOnly="1" grandRow="1" outline="0" axis="axisRow" fieldPosition="0">
        <references count="1">
          <reference field="4294967294" count="1" selected="0">
            <x v="6"/>
          </reference>
        </references>
      </pivotArea>
    </format>
    <format dxfId="8131">
      <pivotArea field="0" dataOnly="0" labelOnly="1" grandRow="1" outline="0" axis="axisRow" fieldPosition="0">
        <references count="1">
          <reference field="4294967294" count="1" selected="0">
            <x v="7"/>
          </reference>
        </references>
      </pivotArea>
    </format>
    <format dxfId="8130">
      <pivotArea field="0" dataOnly="0" labelOnly="1" grandRow="1" outline="0" axis="axisRow" fieldPosition="0">
        <references count="1">
          <reference field="4294967294" count="1" selected="0">
            <x v="8"/>
          </reference>
        </references>
      </pivotArea>
    </format>
    <format dxfId="8129">
      <pivotArea field="0" dataOnly="0" labelOnly="1" grandRow="1" outline="0" axis="axisRow" fieldPosition="0">
        <references count="1">
          <reference field="4294967294" count="1" selected="0">
            <x v="9"/>
          </reference>
        </references>
      </pivotArea>
    </format>
    <format dxfId="8128">
      <pivotArea field="0" dataOnly="0" labelOnly="1" grandRow="1" outline="0" axis="axisRow" fieldPosition="0">
        <references count="1">
          <reference field="4294967294" count="1" selected="0">
            <x v="10"/>
          </reference>
        </references>
      </pivotArea>
    </format>
    <format dxfId="8127">
      <pivotArea field="0" dataOnly="0" labelOnly="1" grandRow="1" outline="0" axis="axisRow" fieldPosition="0">
        <references count="1">
          <reference field="4294967294" count="1" selected="0">
            <x v="11"/>
          </reference>
        </references>
      </pivotArea>
    </format>
    <format dxfId="8126">
      <pivotArea field="0" dataOnly="0" labelOnly="1" grandRow="1" outline="0" axis="axisRow" fieldPosition="0">
        <references count="1">
          <reference field="4294967294" count="1" selected="0">
            <x v="12"/>
          </reference>
        </references>
      </pivotArea>
    </format>
    <format dxfId="8125">
      <pivotArea field="0" dataOnly="0" labelOnly="1" grandRow="1" outline="0" axis="axisRow" fieldPosition="0">
        <references count="1">
          <reference field="4294967294" count="1" selected="0">
            <x v="13"/>
          </reference>
        </references>
      </pivotArea>
    </format>
    <format dxfId="8124">
      <pivotArea field="0" dataOnly="0" labelOnly="1" grandRow="1" outline="0" axis="axisRow" fieldPosition="0">
        <references count="1">
          <reference field="4294967294" count="1" selected="0">
            <x v="14"/>
          </reference>
        </references>
      </pivotArea>
    </format>
    <format dxfId="8123">
      <pivotArea field="0" dataOnly="0" labelOnly="1" grandRow="1" outline="0" axis="axisRow" fieldPosition="0">
        <references count="1">
          <reference field="4294967294" count="1" selected="0">
            <x v="15"/>
          </reference>
        </references>
      </pivotArea>
    </format>
    <format dxfId="8122">
      <pivotArea field="0" dataOnly="0" labelOnly="1" grandRow="1" outline="0" axis="axisRow" fieldPosition="0">
        <references count="1">
          <reference field="4294967294" count="1" selected="0">
            <x v="16"/>
          </reference>
        </references>
      </pivotArea>
    </format>
    <format dxfId="8121">
      <pivotArea field="0" dataOnly="0" labelOnly="1" grandRow="1" outline="0" axis="axisRow" fieldPosition="0">
        <references count="1">
          <reference field="4294967294" count="1" selected="0">
            <x v="17"/>
          </reference>
        </references>
      </pivotArea>
    </format>
    <format dxfId="8120">
      <pivotArea field="0" dataOnly="0" labelOnly="1" grandRow="1" outline="0" axis="axisRow" fieldPosition="0">
        <references count="1">
          <reference field="4294967294" count="1" selected="0">
            <x v="18"/>
          </reference>
        </references>
      </pivotArea>
    </format>
    <format dxfId="8119">
      <pivotArea field="0" dataOnly="0" labelOnly="1" grandRow="1" outline="0" axis="axisRow" fieldPosition="0">
        <references count="1">
          <reference field="4294967294" count="1" selected="0">
            <x v="19"/>
          </reference>
        </references>
      </pivotArea>
    </format>
    <format dxfId="8118">
      <pivotArea field="0" dataOnly="0" labelOnly="1" grandRow="1" outline="0" axis="axisRow" fieldPosition="0">
        <references count="1">
          <reference field="4294967294" count="1" selected="0">
            <x v="20"/>
          </reference>
        </references>
      </pivotArea>
    </format>
    <format dxfId="8117">
      <pivotArea field="0" dataOnly="0" labelOnly="1" grandRow="1" outline="0" axis="axisRow" fieldPosition="0">
        <references count="1">
          <reference field="4294967294" count="1" selected="0">
            <x v="21"/>
          </reference>
        </references>
      </pivotArea>
    </format>
    <format dxfId="8116">
      <pivotArea field="0" dataOnly="0" labelOnly="1" grandRow="1" outline="0" axis="axisRow" fieldPosition="0">
        <references count="1">
          <reference field="4294967294" count="1" selected="0">
            <x v="22"/>
          </reference>
        </references>
      </pivotArea>
    </format>
    <format dxfId="8115">
      <pivotArea field="0" dataOnly="0" labelOnly="1" grandRow="1" outline="0" axis="axisRow" fieldPosition="0">
        <references count="1">
          <reference field="4294967294" count="1" selected="0">
            <x v="23"/>
          </reference>
        </references>
      </pivotArea>
    </format>
    <format dxfId="8114">
      <pivotArea field="0" dataOnly="0" labelOnly="1" grandRow="1" outline="0" axis="axisRow" fieldPosition="0">
        <references count="1">
          <reference field="4294967294" count="1" selected="0">
            <x v="24"/>
          </reference>
        </references>
      </pivotArea>
    </format>
    <format dxfId="8113">
      <pivotArea field="0" dataOnly="0" labelOnly="1" grandRow="1" outline="0" axis="axisRow" fieldPosition="0">
        <references count="1">
          <reference field="4294967294" count="1" selected="0">
            <x v="25"/>
          </reference>
        </references>
      </pivotArea>
    </format>
    <format dxfId="8112">
      <pivotArea field="0" dataOnly="0" labelOnly="1" grandRow="1" outline="0" axis="axisRow" fieldPosition="0">
        <references count="1">
          <reference field="4294967294" count="1" selected="0">
            <x v="26"/>
          </reference>
        </references>
      </pivotArea>
    </format>
    <format dxfId="8111">
      <pivotArea field="0" dataOnly="0" labelOnly="1" grandRow="1" outline="0" axis="axisRow" fieldPosition="0">
        <references count="1">
          <reference field="4294967294" count="1" selected="0">
            <x v="27"/>
          </reference>
        </references>
      </pivotArea>
    </format>
    <format dxfId="8110">
      <pivotArea field="0" dataOnly="0" labelOnly="1" grandRow="1" outline="0" axis="axisRow" fieldPosition="0">
        <references count="1">
          <reference field="4294967294" count="1" selected="0">
            <x v="28"/>
          </reference>
        </references>
      </pivotArea>
    </format>
    <format dxfId="8109">
      <pivotArea field="0" dataOnly="0" labelOnly="1" grandRow="1" outline="0" axis="axisRow" fieldPosition="0">
        <references count="1">
          <reference field="4294967294" count="1" selected="0">
            <x v="29"/>
          </reference>
        </references>
      </pivotArea>
    </format>
    <format dxfId="8108">
      <pivotArea field="0" dataOnly="0" labelOnly="1" grandRow="1" outline="0" axis="axisRow" fieldPosition="0">
        <references count="1">
          <reference field="4294967294" count="1" selected="0">
            <x v="30"/>
          </reference>
        </references>
      </pivotArea>
    </format>
    <format dxfId="8107">
      <pivotArea field="0" dataOnly="0" labelOnly="1" grandRow="1" outline="0" axis="axisRow" fieldPosition="0">
        <references count="1">
          <reference field="4294967294" count="1" selected="0">
            <x v="31"/>
          </reference>
        </references>
      </pivotArea>
    </format>
    <format dxfId="8106">
      <pivotArea field="0" dataOnly="0" labelOnly="1" grandRow="1" outline="0" axis="axisRow" fieldPosition="0">
        <references count="1">
          <reference field="4294967294" count="1" selected="0">
            <x v="32"/>
          </reference>
        </references>
      </pivotArea>
    </format>
    <format dxfId="8105">
      <pivotArea field="0" dataOnly="0" labelOnly="1" grandRow="1" outline="0" axis="axisRow" fieldPosition="0">
        <references count="1">
          <reference field="4294967294" count="1" selected="0">
            <x v="33"/>
          </reference>
        </references>
      </pivotArea>
    </format>
    <format dxfId="8104">
      <pivotArea field="0" dataOnly="0" labelOnly="1" grandRow="1" outline="0" axis="axisRow" fieldPosition="0">
        <references count="1">
          <reference field="4294967294" count="1" selected="0">
            <x v="34"/>
          </reference>
        </references>
      </pivotArea>
    </format>
    <format dxfId="8103">
      <pivotArea field="0" dataOnly="0" labelOnly="1" grandRow="1" outline="0" axis="axisRow" fieldPosition="0">
        <references count="1">
          <reference field="4294967294" count="1" selected="0">
            <x v="35"/>
          </reference>
        </references>
      </pivotArea>
    </format>
    <format dxfId="8102">
      <pivotArea field="0" dataOnly="0" labelOnly="1" grandRow="1" outline="0" axis="axisRow" fieldPosition="0">
        <references count="1">
          <reference field="4294967294" count="1" selected="0">
            <x v="0"/>
          </reference>
        </references>
      </pivotArea>
    </format>
    <format dxfId="8101">
      <pivotArea field="0" dataOnly="0" labelOnly="1" grandRow="1" outline="0" axis="axisRow" fieldPosition="0">
        <references count="1">
          <reference field="4294967294" count="1" selected="0">
            <x v="1"/>
          </reference>
        </references>
      </pivotArea>
    </format>
    <format dxfId="8100">
      <pivotArea field="0" dataOnly="0" labelOnly="1" grandRow="1" outline="0" axis="axisRow" fieldPosition="0">
        <references count="1">
          <reference field="4294967294" count="1" selected="0">
            <x v="2"/>
          </reference>
        </references>
      </pivotArea>
    </format>
    <format dxfId="8099">
      <pivotArea field="0" dataOnly="0" labelOnly="1" grandRow="1" outline="0" axis="axisRow" fieldPosition="0">
        <references count="1">
          <reference field="4294967294" count="1" selected="0">
            <x v="3"/>
          </reference>
        </references>
      </pivotArea>
    </format>
    <format dxfId="8098">
      <pivotArea field="0" dataOnly="0" labelOnly="1" grandRow="1" outline="0" axis="axisRow" fieldPosition="0">
        <references count="1">
          <reference field="4294967294" count="1" selected="0">
            <x v="4"/>
          </reference>
        </references>
      </pivotArea>
    </format>
    <format dxfId="8097">
      <pivotArea field="0" dataOnly="0" labelOnly="1" grandRow="1" outline="0" axis="axisRow" fieldPosition="0">
        <references count="1">
          <reference field="4294967294" count="1" selected="0">
            <x v="5"/>
          </reference>
        </references>
      </pivotArea>
    </format>
    <format dxfId="8096">
      <pivotArea field="0" dataOnly="0" labelOnly="1" grandRow="1" outline="0" axis="axisRow" fieldPosition="0">
        <references count="1">
          <reference field="4294967294" count="1" selected="0">
            <x v="6"/>
          </reference>
        </references>
      </pivotArea>
    </format>
    <format dxfId="8095">
      <pivotArea field="0" dataOnly="0" labelOnly="1" grandRow="1" outline="0" axis="axisRow" fieldPosition="0">
        <references count="1">
          <reference field="4294967294" count="1" selected="0">
            <x v="7"/>
          </reference>
        </references>
      </pivotArea>
    </format>
    <format dxfId="8094">
      <pivotArea field="0" dataOnly="0" labelOnly="1" grandRow="1" outline="0" axis="axisRow" fieldPosition="0">
        <references count="1">
          <reference field="4294967294" count="1" selected="0">
            <x v="8"/>
          </reference>
        </references>
      </pivotArea>
    </format>
    <format dxfId="8093">
      <pivotArea field="0" dataOnly="0" labelOnly="1" grandRow="1" outline="0" axis="axisRow" fieldPosition="0">
        <references count="1">
          <reference field="4294967294" count="1" selected="0">
            <x v="9"/>
          </reference>
        </references>
      </pivotArea>
    </format>
    <format dxfId="8092">
      <pivotArea field="0" dataOnly="0" labelOnly="1" grandRow="1" outline="0" axis="axisRow" fieldPosition="0">
        <references count="1">
          <reference field="4294967294" count="1" selected="0">
            <x v="10"/>
          </reference>
        </references>
      </pivotArea>
    </format>
    <format dxfId="8091">
      <pivotArea field="0" dataOnly="0" labelOnly="1" grandRow="1" outline="0" axis="axisRow" fieldPosition="0">
        <references count="1">
          <reference field="4294967294" count="1" selected="0">
            <x v="11"/>
          </reference>
        </references>
      </pivotArea>
    </format>
    <format dxfId="8090">
      <pivotArea field="0" dataOnly="0" labelOnly="1" grandRow="1" outline="0" axis="axisRow" fieldPosition="0">
        <references count="1">
          <reference field="4294967294" count="1" selected="0">
            <x v="12"/>
          </reference>
        </references>
      </pivotArea>
    </format>
    <format dxfId="8089">
      <pivotArea field="0" dataOnly="0" labelOnly="1" grandRow="1" outline="0" axis="axisRow" fieldPosition="0">
        <references count="1">
          <reference field="4294967294" count="1" selected="0">
            <x v="13"/>
          </reference>
        </references>
      </pivotArea>
    </format>
    <format dxfId="8088">
      <pivotArea field="0" dataOnly="0" labelOnly="1" grandRow="1" outline="0" axis="axisRow" fieldPosition="0">
        <references count="1">
          <reference field="4294967294" count="1" selected="0">
            <x v="14"/>
          </reference>
        </references>
      </pivotArea>
    </format>
    <format dxfId="8087">
      <pivotArea field="0" dataOnly="0" labelOnly="1" grandRow="1" outline="0" axis="axisRow" fieldPosition="0">
        <references count="1">
          <reference field="4294967294" count="1" selected="0">
            <x v="15"/>
          </reference>
        </references>
      </pivotArea>
    </format>
    <format dxfId="8086">
      <pivotArea field="0" dataOnly="0" labelOnly="1" grandRow="1" outline="0" axis="axisRow" fieldPosition="0">
        <references count="1">
          <reference field="4294967294" count="1" selected="0">
            <x v="16"/>
          </reference>
        </references>
      </pivotArea>
    </format>
    <format dxfId="8085">
      <pivotArea field="0" dataOnly="0" labelOnly="1" grandRow="1" outline="0" axis="axisRow" fieldPosition="0">
        <references count="1">
          <reference field="4294967294" count="1" selected="0">
            <x v="17"/>
          </reference>
        </references>
      </pivotArea>
    </format>
    <format dxfId="8084">
      <pivotArea field="0" dataOnly="0" labelOnly="1" grandRow="1" outline="0" axis="axisRow" fieldPosition="0">
        <references count="1">
          <reference field="4294967294" count="1" selected="0">
            <x v="18"/>
          </reference>
        </references>
      </pivotArea>
    </format>
    <format dxfId="8083">
      <pivotArea field="0" dataOnly="0" labelOnly="1" grandRow="1" outline="0" axis="axisRow" fieldPosition="0">
        <references count="1">
          <reference field="4294967294" count="1" selected="0">
            <x v="19"/>
          </reference>
        </references>
      </pivotArea>
    </format>
    <format dxfId="8082">
      <pivotArea field="0" dataOnly="0" labelOnly="1" grandRow="1" outline="0" axis="axisRow" fieldPosition="0">
        <references count="1">
          <reference field="4294967294" count="1" selected="0">
            <x v="20"/>
          </reference>
        </references>
      </pivotArea>
    </format>
    <format dxfId="8081">
      <pivotArea field="0" dataOnly="0" labelOnly="1" grandRow="1" outline="0" axis="axisRow" fieldPosition="0">
        <references count="1">
          <reference field="4294967294" count="1" selected="0">
            <x v="21"/>
          </reference>
        </references>
      </pivotArea>
    </format>
    <format dxfId="8080">
      <pivotArea field="0" dataOnly="0" labelOnly="1" grandRow="1" outline="0" axis="axisRow" fieldPosition="0">
        <references count="1">
          <reference field="4294967294" count="1" selected="0">
            <x v="22"/>
          </reference>
        </references>
      </pivotArea>
    </format>
    <format dxfId="8079">
      <pivotArea field="0" dataOnly="0" labelOnly="1" grandRow="1" outline="0" axis="axisRow" fieldPosition="0">
        <references count="1">
          <reference field="4294967294" count="1" selected="0">
            <x v="23"/>
          </reference>
        </references>
      </pivotArea>
    </format>
    <format dxfId="8078">
      <pivotArea field="0" dataOnly="0" labelOnly="1" grandRow="1" outline="0" axis="axisRow" fieldPosition="0">
        <references count="1">
          <reference field="4294967294" count="1" selected="0">
            <x v="24"/>
          </reference>
        </references>
      </pivotArea>
    </format>
    <format dxfId="8077">
      <pivotArea field="0" dataOnly="0" labelOnly="1" grandRow="1" outline="0" axis="axisRow" fieldPosition="0">
        <references count="1">
          <reference field="4294967294" count="1" selected="0">
            <x v="25"/>
          </reference>
        </references>
      </pivotArea>
    </format>
    <format dxfId="8076">
      <pivotArea field="0" dataOnly="0" labelOnly="1" grandRow="1" outline="0" axis="axisRow" fieldPosition="0">
        <references count="1">
          <reference field="4294967294" count="1" selected="0">
            <x v="26"/>
          </reference>
        </references>
      </pivotArea>
    </format>
    <format dxfId="8075">
      <pivotArea field="0" dataOnly="0" labelOnly="1" grandRow="1" outline="0" axis="axisRow" fieldPosition="0">
        <references count="1">
          <reference field="4294967294" count="1" selected="0">
            <x v="27"/>
          </reference>
        </references>
      </pivotArea>
    </format>
    <format dxfId="8074">
      <pivotArea field="0" dataOnly="0" labelOnly="1" grandRow="1" outline="0" axis="axisRow" fieldPosition="0">
        <references count="1">
          <reference field="4294967294" count="1" selected="0">
            <x v="28"/>
          </reference>
        </references>
      </pivotArea>
    </format>
    <format dxfId="8073">
      <pivotArea field="0" dataOnly="0" labelOnly="1" grandRow="1" outline="0" axis="axisRow" fieldPosition="0">
        <references count="1">
          <reference field="4294967294" count="1" selected="0">
            <x v="29"/>
          </reference>
        </references>
      </pivotArea>
    </format>
    <format dxfId="8072">
      <pivotArea field="0" dataOnly="0" labelOnly="1" grandRow="1" outline="0" axis="axisRow" fieldPosition="0">
        <references count="1">
          <reference field="4294967294" count="1" selected="0">
            <x v="30"/>
          </reference>
        </references>
      </pivotArea>
    </format>
    <format dxfId="8071">
      <pivotArea field="0" dataOnly="0" labelOnly="1" grandRow="1" outline="0" axis="axisRow" fieldPosition="0">
        <references count="1">
          <reference field="4294967294" count="1" selected="0">
            <x v="31"/>
          </reference>
        </references>
      </pivotArea>
    </format>
    <format dxfId="8070">
      <pivotArea field="0" dataOnly="0" labelOnly="1" grandRow="1" outline="0" axis="axisRow" fieldPosition="0">
        <references count="1">
          <reference field="4294967294" count="1" selected="0">
            <x v="32"/>
          </reference>
        </references>
      </pivotArea>
    </format>
    <format dxfId="8069">
      <pivotArea field="0" dataOnly="0" labelOnly="1" grandRow="1" outline="0" axis="axisRow" fieldPosition="0">
        <references count="1">
          <reference field="4294967294" count="1" selected="0">
            <x v="33"/>
          </reference>
        </references>
      </pivotArea>
    </format>
    <format dxfId="8068">
      <pivotArea field="0" dataOnly="0" labelOnly="1" grandRow="1" outline="0" axis="axisRow" fieldPosition="0">
        <references count="1">
          <reference field="4294967294" count="1" selected="0">
            <x v="34"/>
          </reference>
        </references>
      </pivotArea>
    </format>
    <format dxfId="8067">
      <pivotArea field="0" dataOnly="0" labelOnly="1" grandRow="1" outline="0" axis="axisRow" fieldPosition="0">
        <references count="1">
          <reference field="4294967294" count="1" selected="0">
            <x v="35"/>
          </reference>
        </references>
      </pivotArea>
    </format>
    <format dxfId="8066">
      <pivotArea field="0" dataOnly="0" labelOnly="1" grandRow="1" outline="0" axis="axisRow" fieldPosition="0">
        <references count="1">
          <reference field="4294967294" count="1" selected="0">
            <x v="0"/>
          </reference>
        </references>
      </pivotArea>
    </format>
    <format dxfId="8065">
      <pivotArea field="0" dataOnly="0" labelOnly="1" grandRow="1" outline="0" axis="axisRow" fieldPosition="0">
        <references count="1">
          <reference field="4294967294" count="1" selected="0">
            <x v="1"/>
          </reference>
        </references>
      </pivotArea>
    </format>
    <format dxfId="8064">
      <pivotArea field="0" dataOnly="0" labelOnly="1" grandRow="1" outline="0" axis="axisRow" fieldPosition="0">
        <references count="1">
          <reference field="4294967294" count="1" selected="0">
            <x v="2"/>
          </reference>
        </references>
      </pivotArea>
    </format>
    <format dxfId="8063">
      <pivotArea field="0" dataOnly="0" labelOnly="1" grandRow="1" outline="0" axis="axisRow" fieldPosition="0">
        <references count="1">
          <reference field="4294967294" count="1" selected="0">
            <x v="3"/>
          </reference>
        </references>
      </pivotArea>
    </format>
    <format dxfId="8062">
      <pivotArea field="0" dataOnly="0" labelOnly="1" grandRow="1" outline="0" axis="axisRow" fieldPosition="0">
        <references count="1">
          <reference field="4294967294" count="1" selected="0">
            <x v="4"/>
          </reference>
        </references>
      </pivotArea>
    </format>
    <format dxfId="8061">
      <pivotArea field="0" dataOnly="0" labelOnly="1" grandRow="1" outline="0" axis="axisRow" fieldPosition="0">
        <references count="1">
          <reference field="4294967294" count="1" selected="0">
            <x v="5"/>
          </reference>
        </references>
      </pivotArea>
    </format>
    <format dxfId="8060">
      <pivotArea field="0" dataOnly="0" labelOnly="1" grandRow="1" outline="0" axis="axisRow" fieldPosition="0">
        <references count="1">
          <reference field="4294967294" count="1" selected="0">
            <x v="6"/>
          </reference>
        </references>
      </pivotArea>
    </format>
    <format dxfId="8059">
      <pivotArea field="0" dataOnly="0" labelOnly="1" grandRow="1" outline="0" axis="axisRow" fieldPosition="0">
        <references count="1">
          <reference field="4294967294" count="1" selected="0">
            <x v="7"/>
          </reference>
        </references>
      </pivotArea>
    </format>
    <format dxfId="8058">
      <pivotArea field="0" dataOnly="0" labelOnly="1" grandRow="1" outline="0" axis="axisRow" fieldPosition="0">
        <references count="1">
          <reference field="4294967294" count="1" selected="0">
            <x v="8"/>
          </reference>
        </references>
      </pivotArea>
    </format>
    <format dxfId="8057">
      <pivotArea field="0" dataOnly="0" labelOnly="1" grandRow="1" outline="0" axis="axisRow" fieldPosition="0">
        <references count="1">
          <reference field="4294967294" count="1" selected="0">
            <x v="9"/>
          </reference>
        </references>
      </pivotArea>
    </format>
    <format dxfId="8056">
      <pivotArea field="0" dataOnly="0" labelOnly="1" grandRow="1" outline="0" axis="axisRow" fieldPosition="0">
        <references count="1">
          <reference field="4294967294" count="1" selected="0">
            <x v="10"/>
          </reference>
        </references>
      </pivotArea>
    </format>
    <format dxfId="8055">
      <pivotArea field="0" dataOnly="0" labelOnly="1" grandRow="1" outline="0" axis="axisRow" fieldPosition="0">
        <references count="1">
          <reference field="4294967294" count="1" selected="0">
            <x v="11"/>
          </reference>
        </references>
      </pivotArea>
    </format>
    <format dxfId="8054">
      <pivotArea field="0" dataOnly="0" labelOnly="1" grandRow="1" outline="0" axis="axisRow" fieldPosition="0">
        <references count="1">
          <reference field="4294967294" count="1" selected="0">
            <x v="12"/>
          </reference>
        </references>
      </pivotArea>
    </format>
    <format dxfId="8053">
      <pivotArea field="0" dataOnly="0" labelOnly="1" grandRow="1" outline="0" axis="axisRow" fieldPosition="0">
        <references count="1">
          <reference field="4294967294" count="1" selected="0">
            <x v="13"/>
          </reference>
        </references>
      </pivotArea>
    </format>
    <format dxfId="8052">
      <pivotArea field="0" dataOnly="0" labelOnly="1" grandRow="1" outline="0" axis="axisRow" fieldPosition="0">
        <references count="1">
          <reference field="4294967294" count="1" selected="0">
            <x v="14"/>
          </reference>
        </references>
      </pivotArea>
    </format>
    <format dxfId="8051">
      <pivotArea field="0" dataOnly="0" labelOnly="1" grandRow="1" outline="0" axis="axisRow" fieldPosition="0">
        <references count="1">
          <reference field="4294967294" count="1" selected="0">
            <x v="15"/>
          </reference>
        </references>
      </pivotArea>
    </format>
    <format dxfId="8050">
      <pivotArea field="0" dataOnly="0" labelOnly="1" grandRow="1" outline="0" axis="axisRow" fieldPosition="0">
        <references count="1">
          <reference field="4294967294" count="1" selected="0">
            <x v="16"/>
          </reference>
        </references>
      </pivotArea>
    </format>
    <format dxfId="8049">
      <pivotArea field="0" dataOnly="0" labelOnly="1" grandRow="1" outline="0" axis="axisRow" fieldPosition="0">
        <references count="1">
          <reference field="4294967294" count="1" selected="0">
            <x v="17"/>
          </reference>
        </references>
      </pivotArea>
    </format>
    <format dxfId="8048">
      <pivotArea field="0" dataOnly="0" labelOnly="1" grandRow="1" outline="0" axis="axisRow" fieldPosition="0">
        <references count="1">
          <reference field="4294967294" count="1" selected="0">
            <x v="18"/>
          </reference>
        </references>
      </pivotArea>
    </format>
    <format dxfId="8047">
      <pivotArea field="0" dataOnly="0" labelOnly="1" grandRow="1" outline="0" axis="axisRow" fieldPosition="0">
        <references count="1">
          <reference field="4294967294" count="1" selected="0">
            <x v="19"/>
          </reference>
        </references>
      </pivotArea>
    </format>
    <format dxfId="8046">
      <pivotArea field="0" dataOnly="0" labelOnly="1" grandRow="1" outline="0" axis="axisRow" fieldPosition="0">
        <references count="1">
          <reference field="4294967294" count="1" selected="0">
            <x v="20"/>
          </reference>
        </references>
      </pivotArea>
    </format>
    <format dxfId="8045">
      <pivotArea field="0" dataOnly="0" labelOnly="1" grandRow="1" outline="0" axis="axisRow" fieldPosition="0">
        <references count="1">
          <reference field="4294967294" count="1" selected="0">
            <x v="21"/>
          </reference>
        </references>
      </pivotArea>
    </format>
    <format dxfId="8044">
      <pivotArea field="0" dataOnly="0" labelOnly="1" grandRow="1" outline="0" axis="axisRow" fieldPosition="0">
        <references count="1">
          <reference field="4294967294" count="1" selected="0">
            <x v="22"/>
          </reference>
        </references>
      </pivotArea>
    </format>
    <format dxfId="8043">
      <pivotArea field="0" dataOnly="0" labelOnly="1" grandRow="1" outline="0" axis="axisRow" fieldPosition="0">
        <references count="1">
          <reference field="4294967294" count="1" selected="0">
            <x v="23"/>
          </reference>
        </references>
      </pivotArea>
    </format>
    <format dxfId="8042">
      <pivotArea field="0" dataOnly="0" labelOnly="1" grandRow="1" outline="0" axis="axisRow" fieldPosition="0">
        <references count="1">
          <reference field="4294967294" count="1" selected="0">
            <x v="24"/>
          </reference>
        </references>
      </pivotArea>
    </format>
    <format dxfId="8041">
      <pivotArea field="0" dataOnly="0" labelOnly="1" grandRow="1" outline="0" axis="axisRow" fieldPosition="0">
        <references count="1">
          <reference field="4294967294" count="1" selected="0">
            <x v="25"/>
          </reference>
        </references>
      </pivotArea>
    </format>
    <format dxfId="8040">
      <pivotArea field="0" dataOnly="0" labelOnly="1" grandRow="1" outline="0" axis="axisRow" fieldPosition="0">
        <references count="1">
          <reference field="4294967294" count="1" selected="0">
            <x v="26"/>
          </reference>
        </references>
      </pivotArea>
    </format>
    <format dxfId="8039">
      <pivotArea field="0" dataOnly="0" labelOnly="1" grandRow="1" outline="0" axis="axisRow" fieldPosition="0">
        <references count="1">
          <reference field="4294967294" count="1" selected="0">
            <x v="27"/>
          </reference>
        </references>
      </pivotArea>
    </format>
    <format dxfId="8038">
      <pivotArea field="0" dataOnly="0" labelOnly="1" grandRow="1" outline="0" axis="axisRow" fieldPosition="0">
        <references count="1">
          <reference field="4294967294" count="1" selected="0">
            <x v="28"/>
          </reference>
        </references>
      </pivotArea>
    </format>
    <format dxfId="8037">
      <pivotArea field="0" dataOnly="0" labelOnly="1" grandRow="1" outline="0" axis="axisRow" fieldPosition="0">
        <references count="1">
          <reference field="4294967294" count="1" selected="0">
            <x v="29"/>
          </reference>
        </references>
      </pivotArea>
    </format>
    <format dxfId="8036">
      <pivotArea field="0" dataOnly="0" labelOnly="1" grandRow="1" outline="0" axis="axisRow" fieldPosition="0">
        <references count="1">
          <reference field="4294967294" count="1" selected="0">
            <x v="30"/>
          </reference>
        </references>
      </pivotArea>
    </format>
    <format dxfId="8035">
      <pivotArea field="0" dataOnly="0" labelOnly="1" grandRow="1" outline="0" axis="axisRow" fieldPosition="0">
        <references count="1">
          <reference field="4294967294" count="1" selected="0">
            <x v="31"/>
          </reference>
        </references>
      </pivotArea>
    </format>
    <format dxfId="8034">
      <pivotArea field="0" dataOnly="0" labelOnly="1" grandRow="1" outline="0" axis="axisRow" fieldPosition="0">
        <references count="1">
          <reference field="4294967294" count="1" selected="0">
            <x v="32"/>
          </reference>
        </references>
      </pivotArea>
    </format>
    <format dxfId="8033">
      <pivotArea field="0" dataOnly="0" labelOnly="1" grandRow="1" outline="0" axis="axisRow" fieldPosition="0">
        <references count="1">
          <reference field="4294967294" count="1" selected="0">
            <x v="33"/>
          </reference>
        </references>
      </pivotArea>
    </format>
    <format dxfId="8032">
      <pivotArea field="0" dataOnly="0" labelOnly="1" grandRow="1" outline="0" axis="axisRow" fieldPosition="0">
        <references count="1">
          <reference field="4294967294" count="1" selected="0">
            <x v="34"/>
          </reference>
        </references>
      </pivotArea>
    </format>
    <format dxfId="8031">
      <pivotArea field="0" dataOnly="0" labelOnly="1" grandRow="1" outline="0" axis="axisRow" fieldPosition="0">
        <references count="1">
          <reference field="4294967294" count="1" selected="0">
            <x v="35"/>
          </reference>
        </references>
      </pivotArea>
    </format>
    <format dxfId="8030">
      <pivotArea field="0" dataOnly="0" labelOnly="1" grandRow="1" outline="0" axis="axisRow" fieldPosition="0">
        <references count="1">
          <reference field="4294967294" count="1" selected="0">
            <x v="0"/>
          </reference>
        </references>
      </pivotArea>
    </format>
    <format dxfId="8029">
      <pivotArea field="0" dataOnly="0" labelOnly="1" grandRow="1" outline="0" axis="axisRow" fieldPosition="0">
        <references count="1">
          <reference field="4294967294" count="1" selected="0">
            <x v="1"/>
          </reference>
        </references>
      </pivotArea>
    </format>
    <format dxfId="8028">
      <pivotArea field="0" dataOnly="0" labelOnly="1" grandRow="1" outline="0" axis="axisRow" fieldPosition="0">
        <references count="1">
          <reference field="4294967294" count="1" selected="0">
            <x v="2"/>
          </reference>
        </references>
      </pivotArea>
    </format>
    <format dxfId="8027">
      <pivotArea field="0" dataOnly="0" labelOnly="1" grandRow="1" outline="0" axis="axisRow" fieldPosition="0">
        <references count="1">
          <reference field="4294967294" count="1" selected="0">
            <x v="3"/>
          </reference>
        </references>
      </pivotArea>
    </format>
    <format dxfId="8026">
      <pivotArea field="0" dataOnly="0" labelOnly="1" grandRow="1" outline="0" axis="axisRow" fieldPosition="0">
        <references count="1">
          <reference field="4294967294" count="1" selected="0">
            <x v="4"/>
          </reference>
        </references>
      </pivotArea>
    </format>
    <format dxfId="8025">
      <pivotArea field="0" dataOnly="0" labelOnly="1" grandRow="1" outline="0" axis="axisRow" fieldPosition="0">
        <references count="1">
          <reference field="4294967294" count="1" selected="0">
            <x v="5"/>
          </reference>
        </references>
      </pivotArea>
    </format>
    <format dxfId="8024">
      <pivotArea field="0" dataOnly="0" labelOnly="1" grandRow="1" outline="0" axis="axisRow" fieldPosition="0">
        <references count="1">
          <reference field="4294967294" count="1" selected="0">
            <x v="6"/>
          </reference>
        </references>
      </pivotArea>
    </format>
    <format dxfId="8023">
      <pivotArea field="0" dataOnly="0" labelOnly="1" grandRow="1" outline="0" axis="axisRow" fieldPosition="0">
        <references count="1">
          <reference field="4294967294" count="1" selected="0">
            <x v="7"/>
          </reference>
        </references>
      </pivotArea>
    </format>
    <format dxfId="8022">
      <pivotArea field="0" dataOnly="0" labelOnly="1" grandRow="1" outline="0" axis="axisRow" fieldPosition="0">
        <references count="1">
          <reference field="4294967294" count="1" selected="0">
            <x v="8"/>
          </reference>
        </references>
      </pivotArea>
    </format>
    <format dxfId="8021">
      <pivotArea field="0" dataOnly="0" labelOnly="1" grandRow="1" outline="0" axis="axisRow" fieldPosition="0">
        <references count="1">
          <reference field="4294967294" count="1" selected="0">
            <x v="9"/>
          </reference>
        </references>
      </pivotArea>
    </format>
    <format dxfId="8020">
      <pivotArea field="0" dataOnly="0" labelOnly="1" grandRow="1" outline="0" axis="axisRow" fieldPosition="0">
        <references count="1">
          <reference field="4294967294" count="1" selected="0">
            <x v="10"/>
          </reference>
        </references>
      </pivotArea>
    </format>
    <format dxfId="8019">
      <pivotArea field="0" dataOnly="0" labelOnly="1" grandRow="1" outline="0" axis="axisRow" fieldPosition="0">
        <references count="1">
          <reference field="4294967294" count="1" selected="0">
            <x v="11"/>
          </reference>
        </references>
      </pivotArea>
    </format>
    <format dxfId="8018">
      <pivotArea field="0" dataOnly="0" labelOnly="1" grandRow="1" outline="0" axis="axisRow" fieldPosition="0">
        <references count="1">
          <reference field="4294967294" count="1" selected="0">
            <x v="12"/>
          </reference>
        </references>
      </pivotArea>
    </format>
    <format dxfId="8017">
      <pivotArea field="0" dataOnly="0" labelOnly="1" grandRow="1" outline="0" axis="axisRow" fieldPosition="0">
        <references count="1">
          <reference field="4294967294" count="1" selected="0">
            <x v="13"/>
          </reference>
        </references>
      </pivotArea>
    </format>
    <format dxfId="8016">
      <pivotArea field="0" dataOnly="0" labelOnly="1" grandRow="1" outline="0" axis="axisRow" fieldPosition="0">
        <references count="1">
          <reference field="4294967294" count="1" selected="0">
            <x v="14"/>
          </reference>
        </references>
      </pivotArea>
    </format>
    <format dxfId="8015">
      <pivotArea field="0" dataOnly="0" labelOnly="1" grandRow="1" outline="0" axis="axisRow" fieldPosition="0">
        <references count="1">
          <reference field="4294967294" count="1" selected="0">
            <x v="15"/>
          </reference>
        </references>
      </pivotArea>
    </format>
    <format dxfId="8014">
      <pivotArea field="0" dataOnly="0" labelOnly="1" grandRow="1" outline="0" axis="axisRow" fieldPosition="0">
        <references count="1">
          <reference field="4294967294" count="1" selected="0">
            <x v="16"/>
          </reference>
        </references>
      </pivotArea>
    </format>
    <format dxfId="8013">
      <pivotArea field="0" dataOnly="0" labelOnly="1" grandRow="1" outline="0" axis="axisRow" fieldPosition="0">
        <references count="1">
          <reference field="4294967294" count="1" selected="0">
            <x v="17"/>
          </reference>
        </references>
      </pivotArea>
    </format>
    <format dxfId="8012">
      <pivotArea field="0" dataOnly="0" labelOnly="1" grandRow="1" outline="0" axis="axisRow" fieldPosition="0">
        <references count="1">
          <reference field="4294967294" count="1" selected="0">
            <x v="18"/>
          </reference>
        </references>
      </pivotArea>
    </format>
    <format dxfId="8011">
      <pivotArea field="0" dataOnly="0" labelOnly="1" grandRow="1" outline="0" axis="axisRow" fieldPosition="0">
        <references count="1">
          <reference field="4294967294" count="1" selected="0">
            <x v="19"/>
          </reference>
        </references>
      </pivotArea>
    </format>
    <format dxfId="8010">
      <pivotArea field="0" dataOnly="0" labelOnly="1" grandRow="1" outline="0" axis="axisRow" fieldPosition="0">
        <references count="1">
          <reference field="4294967294" count="1" selected="0">
            <x v="20"/>
          </reference>
        </references>
      </pivotArea>
    </format>
    <format dxfId="8009">
      <pivotArea field="0" dataOnly="0" labelOnly="1" grandRow="1" outline="0" axis="axisRow" fieldPosition="0">
        <references count="1">
          <reference field="4294967294" count="1" selected="0">
            <x v="21"/>
          </reference>
        </references>
      </pivotArea>
    </format>
    <format dxfId="8008">
      <pivotArea field="0" dataOnly="0" labelOnly="1" grandRow="1" outline="0" axis="axisRow" fieldPosition="0">
        <references count="1">
          <reference field="4294967294" count="1" selected="0">
            <x v="22"/>
          </reference>
        </references>
      </pivotArea>
    </format>
    <format dxfId="8007">
      <pivotArea field="0" dataOnly="0" labelOnly="1" grandRow="1" outline="0" axis="axisRow" fieldPosition="0">
        <references count="1">
          <reference field="4294967294" count="1" selected="0">
            <x v="23"/>
          </reference>
        </references>
      </pivotArea>
    </format>
    <format dxfId="8006">
      <pivotArea field="0" dataOnly="0" labelOnly="1" grandRow="1" outline="0" axis="axisRow" fieldPosition="0">
        <references count="1">
          <reference field="4294967294" count="1" selected="0">
            <x v="24"/>
          </reference>
        </references>
      </pivotArea>
    </format>
    <format dxfId="8005">
      <pivotArea field="0" dataOnly="0" labelOnly="1" grandRow="1" outline="0" axis="axisRow" fieldPosition="0">
        <references count="1">
          <reference field="4294967294" count="1" selected="0">
            <x v="25"/>
          </reference>
        </references>
      </pivotArea>
    </format>
    <format dxfId="8004">
      <pivotArea field="0" dataOnly="0" labelOnly="1" grandRow="1" outline="0" axis="axisRow" fieldPosition="0">
        <references count="1">
          <reference field="4294967294" count="1" selected="0">
            <x v="26"/>
          </reference>
        </references>
      </pivotArea>
    </format>
    <format dxfId="8003">
      <pivotArea field="0" dataOnly="0" labelOnly="1" grandRow="1" outline="0" axis="axisRow" fieldPosition="0">
        <references count="1">
          <reference field="4294967294" count="1" selected="0">
            <x v="27"/>
          </reference>
        </references>
      </pivotArea>
    </format>
    <format dxfId="8002">
      <pivotArea field="0" dataOnly="0" labelOnly="1" grandRow="1" outline="0" axis="axisRow" fieldPosition="0">
        <references count="1">
          <reference field="4294967294" count="1" selected="0">
            <x v="28"/>
          </reference>
        </references>
      </pivotArea>
    </format>
    <format dxfId="8001">
      <pivotArea field="0" dataOnly="0" labelOnly="1" grandRow="1" outline="0" axis="axisRow" fieldPosition="0">
        <references count="1">
          <reference field="4294967294" count="1" selected="0">
            <x v="29"/>
          </reference>
        </references>
      </pivotArea>
    </format>
    <format dxfId="8000">
      <pivotArea field="0" dataOnly="0" labelOnly="1" grandRow="1" outline="0" axis="axisRow" fieldPosition="0">
        <references count="1">
          <reference field="4294967294" count="1" selected="0">
            <x v="30"/>
          </reference>
        </references>
      </pivotArea>
    </format>
    <format dxfId="7999">
      <pivotArea field="0" dataOnly="0" labelOnly="1" grandRow="1" outline="0" axis="axisRow" fieldPosition="0">
        <references count="1">
          <reference field="4294967294" count="1" selected="0">
            <x v="31"/>
          </reference>
        </references>
      </pivotArea>
    </format>
    <format dxfId="7998">
      <pivotArea field="0" dataOnly="0" labelOnly="1" grandRow="1" outline="0" axis="axisRow" fieldPosition="0">
        <references count="1">
          <reference field="4294967294" count="1" selected="0">
            <x v="32"/>
          </reference>
        </references>
      </pivotArea>
    </format>
    <format dxfId="7997">
      <pivotArea field="0" dataOnly="0" labelOnly="1" grandRow="1" outline="0" axis="axisRow" fieldPosition="0">
        <references count="1">
          <reference field="4294967294" count="1" selected="0">
            <x v="33"/>
          </reference>
        </references>
      </pivotArea>
    </format>
    <format dxfId="7996">
      <pivotArea field="0" dataOnly="0" labelOnly="1" grandRow="1" outline="0" axis="axisRow" fieldPosition="0">
        <references count="1">
          <reference field="4294967294" count="1" selected="0">
            <x v="34"/>
          </reference>
        </references>
      </pivotArea>
    </format>
    <format dxfId="7995">
      <pivotArea field="0" dataOnly="0" labelOnly="1" grandRow="1" outline="0" axis="axisRow" fieldPosition="0">
        <references count="1">
          <reference field="4294967294" count="1" selected="0">
            <x v="35"/>
          </reference>
        </references>
      </pivotArea>
    </format>
    <format dxfId="7994">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0"/>
          </reference>
        </references>
      </pivotArea>
    </format>
    <format dxfId="7993">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
          </reference>
        </references>
      </pivotArea>
    </format>
    <format dxfId="7992">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2"/>
          </reference>
        </references>
      </pivotArea>
    </format>
    <format dxfId="799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3"/>
          </reference>
        </references>
      </pivotArea>
    </format>
    <format dxfId="7990">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4"/>
          </reference>
        </references>
      </pivotArea>
    </format>
    <format dxfId="7989">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5"/>
          </reference>
        </references>
      </pivotArea>
    </format>
    <format dxfId="7988">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6"/>
          </reference>
        </references>
      </pivotArea>
    </format>
    <format dxfId="7987">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7"/>
          </reference>
        </references>
      </pivotArea>
    </format>
    <format dxfId="7986">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8"/>
          </reference>
        </references>
      </pivotArea>
    </format>
    <format dxfId="7985">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9"/>
          </reference>
        </references>
      </pivotArea>
    </format>
    <format dxfId="7984">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0"/>
          </reference>
        </references>
      </pivotArea>
    </format>
    <format dxfId="7983">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1"/>
          </reference>
        </references>
      </pivotArea>
    </format>
    <format dxfId="7982">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2"/>
          </reference>
        </references>
      </pivotArea>
    </format>
    <format dxfId="798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3"/>
          </reference>
        </references>
      </pivotArea>
    </format>
    <format dxfId="7980">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4"/>
          </reference>
        </references>
      </pivotArea>
    </format>
    <format dxfId="7979">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5"/>
          </reference>
        </references>
      </pivotArea>
    </format>
    <format dxfId="7978">
      <pivotArea dataOnly="0" labelOnly="1" outline="0" fieldPosition="0">
        <references count="1">
          <reference field="70" count="0"/>
        </references>
      </pivotArea>
    </format>
    <format dxfId="7977">
      <pivotArea dataOnly="0" labelOnly="1" outline="0" fieldPosition="0">
        <references count="1">
          <reference field="70" count="0" defaultSubtotal="1"/>
        </references>
      </pivotArea>
    </format>
    <format dxfId="7976">
      <pivotArea dataOnly="0" labelOnly="1" grandCol="1" outline="0" fieldPosition="0"/>
    </format>
    <format dxfId="7975">
      <pivotArea dataOnly="0" labelOnly="1" outline="0" fieldPosition="0">
        <references count="2">
          <reference field="4" count="7">
            <x v="0"/>
            <x v="1"/>
            <x v="2"/>
            <x v="3"/>
            <x v="4"/>
            <x v="5"/>
            <x v="6"/>
          </reference>
          <reference field="70" count="1" selected="0">
            <x v="0"/>
          </reference>
        </references>
      </pivotArea>
    </format>
    <format dxfId="7974">
      <pivotArea dataOnly="0" labelOnly="1" outline="0" fieldPosition="0">
        <references count="2">
          <reference field="4" count="4">
            <x v="7"/>
            <x v="8"/>
            <x v="9"/>
            <x v="10"/>
          </reference>
          <reference field="70" count="1" selected="0">
            <x v="1"/>
          </reference>
        </references>
      </pivotArea>
    </format>
    <format dxfId="7973">
      <pivotArea dataOnly="0" labelOnly="1" outline="0" fieldPosition="0">
        <references count="2">
          <reference field="4" count="2">
            <x v="11"/>
            <x v="12"/>
          </reference>
          <reference field="70" count="1" selected="0">
            <x v="2"/>
          </reference>
        </references>
      </pivotArea>
    </format>
    <format dxfId="7972">
      <pivotArea outline="0" fieldPosition="0">
        <references count="4">
          <reference field="4294967294" count="1" selected="0">
            <x v="2"/>
          </reference>
          <reference field="0" count="1" selected="0">
            <x v="0"/>
          </reference>
          <reference field="4" count="1" selected="0">
            <x v="5"/>
          </reference>
          <reference field="70" count="1" selected="0">
            <x v="0"/>
          </reference>
        </references>
      </pivotArea>
    </format>
    <format dxfId="7971">
      <pivotArea outline="0" fieldPosition="0">
        <references count="4">
          <reference field="4294967294" count="1" selected="0">
            <x v="8"/>
          </reference>
          <reference field="0" count="1" selected="0">
            <x v="0"/>
          </reference>
          <reference field="4" count="1" selected="0">
            <x v="5"/>
          </reference>
          <reference field="70" count="1" selected="0">
            <x v="0"/>
          </reference>
        </references>
      </pivotArea>
    </format>
    <format dxfId="7970">
      <pivotArea outline="0" fieldPosition="0">
        <references count="4">
          <reference field="4294967294" count="1" selected="0">
            <x v="20"/>
          </reference>
          <reference field="0" count="1" selected="0">
            <x v="0"/>
          </reference>
          <reference field="4" count="1" selected="0">
            <x v="1"/>
          </reference>
          <reference field="70" count="1" selected="0">
            <x v="0"/>
          </reference>
        </references>
      </pivotArea>
    </format>
    <format dxfId="7969">
      <pivotArea outline="0" fieldPosition="0">
        <references count="4">
          <reference field="4294967294" count="1" selected="0">
            <x v="26"/>
          </reference>
          <reference field="0" count="1" selected="0">
            <x v="0"/>
          </reference>
          <reference field="4" count="1" selected="0">
            <x v="1"/>
          </reference>
          <reference field="70" count="1" selected="0">
            <x v="0"/>
          </reference>
        </references>
      </pivotArea>
    </format>
    <format dxfId="7968">
      <pivotArea outline="0" fieldPosition="0">
        <references count="4">
          <reference field="4294967294" count="1" selected="0">
            <x v="26"/>
          </reference>
          <reference field="0" count="1" selected="0">
            <x v="0"/>
          </reference>
          <reference field="4" count="1" selected="0">
            <x v="3"/>
          </reference>
          <reference field="70" count="1" selected="0">
            <x v="0"/>
          </reference>
        </references>
      </pivotArea>
    </format>
    <format dxfId="7967">
      <pivotArea outline="0" fieldPosition="0">
        <references count="4">
          <reference field="4294967294" count="1" selected="0">
            <x v="14"/>
          </reference>
          <reference field="0" count="1" selected="0">
            <x v="0"/>
          </reference>
          <reference field="4" count="1" selected="0">
            <x v="10"/>
          </reference>
          <reference field="70" count="1" selected="0">
            <x v="1"/>
          </reference>
        </references>
      </pivotArea>
    </format>
    <format dxfId="7966">
      <pivotArea outline="0" fieldPosition="0">
        <references count="4">
          <reference field="4294967294" count="1" selected="0">
            <x v="2"/>
          </reference>
          <reference field="0" count="1" selected="0">
            <x v="0"/>
          </reference>
          <reference field="4" count="1" selected="0">
            <x v="11"/>
          </reference>
          <reference field="70" count="1" selected="0">
            <x v="2"/>
          </reference>
        </references>
      </pivotArea>
    </format>
    <format dxfId="7965">
      <pivotArea outline="0" fieldPosition="0">
        <references count="4">
          <reference field="4294967294" count="1" selected="0">
            <x v="5"/>
          </reference>
          <reference field="0" count="1" selected="0">
            <x v="0"/>
          </reference>
          <reference field="4" count="1" selected="0">
            <x v="11"/>
          </reference>
          <reference field="70" count="1" selected="0">
            <x v="2"/>
          </reference>
        </references>
      </pivotArea>
    </format>
    <format dxfId="7964">
      <pivotArea outline="0" fieldPosition="0">
        <references count="4">
          <reference field="4294967294" count="1" selected="0">
            <x v="20"/>
          </reference>
          <reference field="0" count="1" selected="0">
            <x v="1"/>
          </reference>
          <reference field="4" count="1" selected="0">
            <x v="4"/>
          </reference>
          <reference field="70" count="1" selected="0">
            <x v="0"/>
          </reference>
        </references>
      </pivotArea>
    </format>
    <format dxfId="7963">
      <pivotArea outline="0" fieldPosition="0">
        <references count="4">
          <reference field="4294967294" count="1" selected="0">
            <x v="20"/>
          </reference>
          <reference field="0" count="1" selected="0">
            <x v="1"/>
          </reference>
          <reference field="4" count="1" selected="0">
            <x v="3"/>
          </reference>
          <reference field="70" count="1" selected="0">
            <x v="0"/>
          </reference>
        </references>
      </pivotArea>
    </format>
    <format dxfId="7962">
      <pivotArea outline="0" fieldPosition="0">
        <references count="4">
          <reference field="4294967294" count="1" selected="0">
            <x v="26"/>
          </reference>
          <reference field="0" count="1" selected="0">
            <x v="1"/>
          </reference>
          <reference field="4" count="1" selected="0">
            <x v="4"/>
          </reference>
          <reference field="70" count="1" selected="0">
            <x v="0"/>
          </reference>
        </references>
      </pivotArea>
    </format>
    <format dxfId="7961">
      <pivotArea outline="0" fieldPosition="0">
        <references count="4">
          <reference field="4294967294" count="1" selected="0">
            <x v="20"/>
          </reference>
          <reference field="0" count="1" selected="0">
            <x v="1"/>
          </reference>
          <reference field="4" count="1" selected="0">
            <x v="5"/>
          </reference>
          <reference field="70" count="1" selected="0">
            <x v="0"/>
          </reference>
        </references>
      </pivotArea>
    </format>
    <format dxfId="7960">
      <pivotArea outline="0" fieldPosition="0">
        <references count="4">
          <reference field="4294967294" count="1" selected="0">
            <x v="26"/>
          </reference>
          <reference field="0" count="1" selected="0">
            <x v="1"/>
          </reference>
          <reference field="4" count="1" selected="0">
            <x v="5"/>
          </reference>
          <reference field="70" count="1" selected="0">
            <x v="0"/>
          </reference>
        </references>
      </pivotArea>
    </format>
    <format dxfId="7959">
      <pivotArea outline="0" fieldPosition="0">
        <references count="4">
          <reference field="4294967294" count="1" selected="0">
            <x v="2"/>
          </reference>
          <reference field="0" count="1" selected="0">
            <x v="2"/>
          </reference>
          <reference field="4" count="1" selected="0">
            <x v="2"/>
          </reference>
          <reference field="70" count="1" selected="0">
            <x v="0"/>
          </reference>
        </references>
      </pivotArea>
    </format>
    <format dxfId="7958">
      <pivotArea outline="0" fieldPosition="0">
        <references count="4">
          <reference field="4294967294" count="1" selected="0">
            <x v="8"/>
          </reference>
          <reference field="0" count="1" selected="0">
            <x v="2"/>
          </reference>
          <reference field="4" count="1" selected="0">
            <x v="2"/>
          </reference>
          <reference field="70" count="1" selected="0">
            <x v="0"/>
          </reference>
        </references>
      </pivotArea>
    </format>
    <format dxfId="7957">
      <pivotArea outline="0" fieldPosition="0">
        <references count="4">
          <reference field="4294967294" count="1" selected="0">
            <x v="20"/>
          </reference>
          <reference field="0" count="1" selected="0">
            <x v="2"/>
          </reference>
          <reference field="4" count="1" selected="0">
            <x v="2"/>
          </reference>
          <reference field="70" count="1" selected="0">
            <x v="0"/>
          </reference>
        </references>
      </pivotArea>
    </format>
    <format dxfId="7956">
      <pivotArea outline="0" fieldPosition="0">
        <references count="4">
          <reference field="4294967294" count="1" selected="0">
            <x v="26"/>
          </reference>
          <reference field="0" count="1" selected="0">
            <x v="2"/>
          </reference>
          <reference field="4" count="1" selected="0">
            <x v="2"/>
          </reference>
          <reference field="70" count="1" selected="0">
            <x v="0"/>
          </reference>
        </references>
      </pivotArea>
    </format>
    <format dxfId="7955">
      <pivotArea outline="0" fieldPosition="0">
        <references count="4">
          <reference field="4294967294" count="1" selected="0">
            <x v="2"/>
          </reference>
          <reference field="0" count="1" selected="0">
            <x v="3"/>
          </reference>
          <reference field="4" count="1" selected="0">
            <x v="0"/>
          </reference>
          <reference field="70" count="1" selected="0">
            <x v="0"/>
          </reference>
        </references>
      </pivotArea>
    </format>
    <format dxfId="7954">
      <pivotArea outline="0" fieldPosition="0">
        <references count="4">
          <reference field="4294967294" count="1" selected="0">
            <x v="8"/>
          </reference>
          <reference field="0" count="1" selected="0">
            <x v="3"/>
          </reference>
          <reference field="4" count="1" selected="0">
            <x v="0"/>
          </reference>
          <reference field="70" count="1" selected="0">
            <x v="0"/>
          </reference>
        </references>
      </pivotArea>
    </format>
    <format dxfId="7953">
      <pivotArea outline="0" fieldPosition="0">
        <references count="4">
          <reference field="4294967294" count="1" selected="0">
            <x v="20"/>
          </reference>
          <reference field="0" count="1" selected="0">
            <x v="3"/>
          </reference>
          <reference field="4" count="1" selected="0">
            <x v="0"/>
          </reference>
          <reference field="70" count="1" selected="0">
            <x v="0"/>
          </reference>
        </references>
      </pivotArea>
    </format>
    <format dxfId="7952">
      <pivotArea outline="0" fieldPosition="0">
        <references count="4">
          <reference field="4294967294" count="1" selected="0">
            <x v="26"/>
          </reference>
          <reference field="0" count="1" selected="0">
            <x v="3"/>
          </reference>
          <reference field="4" count="1" selected="0">
            <x v="0"/>
          </reference>
          <reference field="70" count="1" selected="0">
            <x v="0"/>
          </reference>
        </references>
      </pivotArea>
    </format>
    <format dxfId="7951">
      <pivotArea outline="0" fieldPosition="0">
        <references count="4">
          <reference field="4294967294" count="1" selected="0">
            <x v="20"/>
          </reference>
          <reference field="0" count="1" selected="0">
            <x v="3"/>
          </reference>
          <reference field="4" count="1" selected="0">
            <x v="3"/>
          </reference>
          <reference field="70" count="1" selected="0">
            <x v="0"/>
          </reference>
        </references>
      </pivotArea>
    </format>
    <format dxfId="7950">
      <pivotArea outline="0" fieldPosition="0">
        <references count="4">
          <reference field="4294967294" count="1" selected="0">
            <x v="10"/>
          </reference>
          <reference field="0" count="1" selected="0">
            <x v="3"/>
          </reference>
          <reference field="4" count="1" selected="0">
            <x v="10"/>
          </reference>
          <reference field="70" count="1" selected="0">
            <x v="1"/>
          </reference>
        </references>
      </pivotArea>
    </format>
    <format dxfId="7949">
      <pivotArea outline="0" fieldPosition="0">
        <references count="4">
          <reference field="4294967294" count="1" selected="0">
            <x v="13"/>
          </reference>
          <reference field="0" count="1" selected="0">
            <x v="3"/>
          </reference>
          <reference field="4" count="1" selected="0">
            <x v="8"/>
          </reference>
          <reference field="70" count="1" selected="0">
            <x v="1"/>
          </reference>
        </references>
      </pivotArea>
    </format>
    <format dxfId="7948">
      <pivotArea outline="0" fieldPosition="0">
        <references count="4">
          <reference field="4294967294" count="1" selected="0">
            <x v="13"/>
          </reference>
          <reference field="0" count="1" selected="0">
            <x v="3"/>
          </reference>
          <reference field="4" count="1" selected="0">
            <x v="8"/>
          </reference>
          <reference field="70" count="1" selected="0">
            <x v="1"/>
          </reference>
        </references>
      </pivotArea>
    </format>
    <format dxfId="7947">
      <pivotArea outline="0" fieldPosition="0">
        <references count="4">
          <reference field="4294967294" count="1" selected="0">
            <x v="8"/>
          </reference>
          <reference field="0" count="1" selected="0">
            <x v="5"/>
          </reference>
          <reference field="4" count="1" selected="0">
            <x v="3"/>
          </reference>
          <reference field="70" count="1" selected="0">
            <x v="0"/>
          </reference>
        </references>
      </pivotArea>
    </format>
    <format dxfId="7946">
      <pivotArea outline="0" fieldPosition="0">
        <references count="4">
          <reference field="4294967294" count="1" selected="0">
            <x v="11"/>
          </reference>
          <reference field="0" count="1" selected="0">
            <x v="5"/>
          </reference>
          <reference field="4" count="1" selected="0">
            <x v="3"/>
          </reference>
          <reference field="70" count="1" selected="0">
            <x v="0"/>
          </reference>
        </references>
      </pivotArea>
    </format>
    <format dxfId="7945">
      <pivotArea outline="0" fieldPosition="0">
        <references count="4">
          <reference field="4294967294" count="1" selected="0">
            <x v="2"/>
          </reference>
          <reference field="0" count="1" selected="0">
            <x v="5"/>
          </reference>
          <reference field="4" count="1" selected="0">
            <x v="3"/>
          </reference>
          <reference field="70" count="1" selected="0">
            <x v="0"/>
          </reference>
        </references>
      </pivotArea>
    </format>
    <format dxfId="7944">
      <pivotArea outline="0" fieldPosition="0">
        <references count="4">
          <reference field="4294967294" count="1" selected="0">
            <x v="26"/>
          </reference>
          <reference field="0" count="1" selected="0">
            <x v="5"/>
          </reference>
          <reference field="4" count="1" selected="0">
            <x v="3"/>
          </reference>
          <reference field="70" count="1" selected="0">
            <x v="0"/>
          </reference>
        </references>
      </pivotArea>
    </format>
    <format dxfId="7943">
      <pivotArea outline="0" fieldPosition="0">
        <references count="4">
          <reference field="4294967294" count="1" selected="0">
            <x v="20"/>
          </reference>
          <reference field="0" count="1" selected="0">
            <x v="5"/>
          </reference>
          <reference field="4" count="1" selected="0">
            <x v="3"/>
          </reference>
          <reference field="70" count="1" selected="0">
            <x v="0"/>
          </reference>
        </references>
      </pivotArea>
    </format>
    <format dxfId="7942">
      <pivotArea outline="0" fieldPosition="0">
        <references count="4">
          <reference field="4294967294" count="1" selected="0">
            <x v="2"/>
          </reference>
          <reference field="0" count="1" selected="0">
            <x v="5"/>
          </reference>
          <reference field="4" count="1" selected="0">
            <x v="8"/>
          </reference>
          <reference field="70" count="1" selected="0">
            <x v="1"/>
          </reference>
        </references>
      </pivotArea>
    </format>
    <format dxfId="7941">
      <pivotArea outline="0" fieldPosition="0">
        <references count="4">
          <reference field="4294967294" count="1" selected="0">
            <x v="8"/>
          </reference>
          <reference field="0" count="1" selected="0">
            <x v="5"/>
          </reference>
          <reference field="4" count="1" selected="0">
            <x v="10"/>
          </reference>
          <reference field="70" count="1" selected="0">
            <x v="1"/>
          </reference>
        </references>
      </pivotArea>
    </format>
    <format dxfId="7940">
      <pivotArea outline="0" fieldPosition="0">
        <references count="4">
          <reference field="4294967294" count="1" selected="0">
            <x v="5"/>
          </reference>
          <reference field="0" count="1" selected="0">
            <x v="5"/>
          </reference>
          <reference field="4" count="1" selected="0">
            <x v="11"/>
          </reference>
          <reference field="70" count="1" selected="0">
            <x v="2"/>
          </reference>
        </references>
      </pivotArea>
    </format>
    <format dxfId="7939">
      <pivotArea outline="0" fieldPosition="0">
        <references count="4">
          <reference field="4294967294" count="1" selected="0">
            <x v="20"/>
          </reference>
          <reference field="0" count="1" selected="0">
            <x v="7"/>
          </reference>
          <reference field="4" count="1" selected="0">
            <x v="4"/>
          </reference>
          <reference field="70" count="1" selected="0">
            <x v="0"/>
          </reference>
        </references>
      </pivotArea>
    </format>
    <format dxfId="7938">
      <pivotArea outline="0" fieldPosition="0">
        <references count="4">
          <reference field="4294967294" count="1" selected="0">
            <x v="23"/>
          </reference>
          <reference field="0" count="1" selected="0">
            <x v="7"/>
          </reference>
          <reference field="4" count="1" selected="0">
            <x v="4"/>
          </reference>
          <reference field="70" count="1" selected="0">
            <x v="0"/>
          </reference>
        </references>
      </pivotArea>
    </format>
    <format dxfId="7937">
      <pivotArea outline="0" fieldPosition="0">
        <references count="4">
          <reference field="4294967294" count="1" selected="0">
            <x v="20"/>
          </reference>
          <reference field="0" count="1" selected="0">
            <x v="8"/>
          </reference>
          <reference field="4" count="1" selected="0">
            <x v="3"/>
          </reference>
          <reference field="70" count="1" selected="0">
            <x v="0"/>
          </reference>
        </references>
      </pivotArea>
    </format>
    <format dxfId="7936">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7935">
      <pivotArea outline="0" fieldPosition="0">
        <references count="4">
          <reference field="4294967294" count="1" selected="0">
            <x v="4"/>
          </reference>
          <reference field="0" count="1" selected="0">
            <x v="8"/>
          </reference>
          <reference field="4" count="1" selected="0">
            <x v="4"/>
          </reference>
          <reference field="70" count="1" selected="0">
            <x v="0"/>
          </reference>
        </references>
      </pivotArea>
    </format>
    <format dxfId="7934">
      <pivotArea outline="0" fieldPosition="0">
        <references count="4">
          <reference field="4294967294" count="1" selected="0">
            <x v="16"/>
          </reference>
          <reference field="0" count="1" selected="0">
            <x v="8"/>
          </reference>
          <reference field="4" count="1" selected="0">
            <x v="3"/>
          </reference>
          <reference field="70" count="1" selected="0">
            <x v="0"/>
          </reference>
        </references>
      </pivotArea>
    </format>
    <format dxfId="7933">
      <pivotArea outline="0" fieldPosition="0">
        <references count="4">
          <reference field="4294967294" count="1" selected="0">
            <x v="34"/>
          </reference>
          <reference field="0" count="1" selected="0">
            <x v="8"/>
          </reference>
          <reference field="4" count="1" selected="0">
            <x v="3"/>
          </reference>
          <reference field="70" count="1" selected="0">
            <x v="0"/>
          </reference>
        </references>
      </pivotArea>
    </format>
    <format dxfId="7932">
      <pivotArea outline="0" fieldPosition="0">
        <references count="4">
          <reference field="4294967294" count="1" selected="0">
            <x v="10"/>
          </reference>
          <reference field="0" count="1" selected="0">
            <x v="9"/>
          </reference>
          <reference field="4" count="1" selected="0">
            <x v="3"/>
          </reference>
          <reference field="70" count="1" selected="0">
            <x v="0"/>
          </reference>
        </references>
      </pivotArea>
    </format>
    <format dxfId="7931">
      <pivotArea outline="0" fieldPosition="0">
        <references count="4">
          <reference field="4294967294" count="1" selected="0">
            <x v="20"/>
          </reference>
          <reference field="0" count="1" selected="0">
            <x v="9"/>
          </reference>
          <reference field="4" count="1" selected="0">
            <x v="5"/>
          </reference>
          <reference field="70" count="1" selected="0">
            <x v="0"/>
          </reference>
        </references>
      </pivotArea>
    </format>
    <format dxfId="7930">
      <pivotArea outline="0" fieldPosition="0">
        <references count="4">
          <reference field="4294967294" count="1" selected="0">
            <x v="23"/>
          </reference>
          <reference field="0" count="1" selected="0">
            <x v="9"/>
          </reference>
          <reference field="4" count="1" selected="0">
            <x v="5"/>
          </reference>
          <reference field="70" count="1" selected="0">
            <x v="0"/>
          </reference>
        </references>
      </pivotArea>
    </format>
    <format dxfId="7929">
      <pivotArea outline="0" fieldPosition="0">
        <references count="4">
          <reference field="4294967294" count="1" selected="0">
            <x v="26"/>
          </reference>
          <reference field="0" count="1" selected="0">
            <x v="9"/>
          </reference>
          <reference field="4" count="1" selected="0">
            <x v="5"/>
          </reference>
          <reference field="70" count="1" selected="0">
            <x v="0"/>
          </reference>
        </references>
      </pivotArea>
    </format>
    <format dxfId="7928">
      <pivotArea outline="0" fieldPosition="0">
        <references count="4">
          <reference field="4294967294" count="1" selected="0">
            <x v="26"/>
          </reference>
          <reference field="0" count="1" selected="0">
            <x v="9"/>
          </reference>
          <reference field="4" count="1" selected="0">
            <x v="3"/>
          </reference>
          <reference field="70" count="1" selected="0">
            <x v="0"/>
          </reference>
        </references>
      </pivotArea>
    </format>
    <format dxfId="7927">
      <pivotArea outline="0" fieldPosition="0">
        <references count="4">
          <reference field="4294967294" count="1" selected="0">
            <x v="23"/>
          </reference>
          <reference field="0" count="1" selected="0">
            <x v="9"/>
          </reference>
          <reference field="4" count="1" selected="0">
            <x v="3"/>
          </reference>
          <reference field="70" count="1" selected="0">
            <x v="0"/>
          </reference>
        </references>
      </pivotArea>
    </format>
    <format dxfId="7926">
      <pivotArea outline="0" fieldPosition="0">
        <references count="4">
          <reference field="4294967294" count="1" selected="0">
            <x v="22"/>
          </reference>
          <reference field="0" count="1" selected="0">
            <x v="9"/>
          </reference>
          <reference field="4" count="1" selected="0">
            <x v="5"/>
          </reference>
          <reference field="70" count="1" selected="0">
            <x v="0"/>
          </reference>
        </references>
      </pivotArea>
    </format>
    <format dxfId="7925">
      <pivotArea outline="0" fieldPosition="0">
        <references count="4">
          <reference field="4294967294" count="1" selected="0">
            <x v="13"/>
          </reference>
          <reference field="0" count="1" selected="0">
            <x v="10"/>
          </reference>
          <reference field="4" count="1" selected="0">
            <x v="3"/>
          </reference>
          <reference field="70" count="1" selected="0">
            <x v="0"/>
          </reference>
        </references>
      </pivotArea>
    </format>
    <format dxfId="7924">
      <pivotArea outline="0" fieldPosition="0">
        <references count="4">
          <reference field="4294967294" count="1" selected="0">
            <x v="20"/>
          </reference>
          <reference field="0" count="1" selected="0">
            <x v="10"/>
          </reference>
          <reference field="4" count="1" selected="0">
            <x v="0"/>
          </reference>
          <reference field="70" count="1" selected="0">
            <x v="0"/>
          </reference>
        </references>
      </pivotArea>
    </format>
    <format dxfId="7923">
      <pivotArea outline="0" fieldPosition="0">
        <references count="4">
          <reference field="4294967294" count="1" selected="0">
            <x v="26"/>
          </reference>
          <reference field="0" count="1" selected="0">
            <x v="10"/>
          </reference>
          <reference field="4" count="1" selected="0">
            <x v="0"/>
          </reference>
          <reference field="70" count="1" selected="0">
            <x v="0"/>
          </reference>
        </references>
      </pivotArea>
    </format>
    <format dxfId="7922">
      <pivotArea outline="0" fieldPosition="0">
        <references count="4">
          <reference field="4294967294" count="1" selected="0">
            <x v="23"/>
          </reference>
          <reference field="0" count="1" selected="0">
            <x v="10"/>
          </reference>
          <reference field="4" count="1" selected="0">
            <x v="0"/>
          </reference>
          <reference field="70" count="1" selected="0">
            <x v="0"/>
          </reference>
        </references>
      </pivotArea>
    </format>
    <format dxfId="7921">
      <pivotArea outline="0" fieldPosition="0">
        <references count="4">
          <reference field="4294967294" count="1" selected="0">
            <x v="29"/>
          </reference>
          <reference field="0" count="1" selected="0">
            <x v="10"/>
          </reference>
          <reference field="4" count="1" selected="0">
            <x v="0"/>
          </reference>
          <reference field="70" count="1" selected="0">
            <x v="0"/>
          </reference>
        </references>
      </pivotArea>
    </format>
    <format dxfId="7920">
      <pivotArea outline="0" fieldPosition="0">
        <references count="4">
          <reference field="4294967294" count="1" selected="0">
            <x v="26"/>
          </reference>
          <reference field="0" count="1" selected="0">
            <x v="10"/>
          </reference>
          <reference field="4" count="1" selected="0">
            <x v="4"/>
          </reference>
          <reference field="70" count="1" selected="0">
            <x v="0"/>
          </reference>
        </references>
      </pivotArea>
    </format>
    <format dxfId="7919">
      <pivotArea outline="0" fieldPosition="0">
        <references count="4">
          <reference field="4294967294" count="1" selected="0">
            <x v="2"/>
          </reference>
          <reference field="0" count="1" selected="0">
            <x v="11"/>
          </reference>
          <reference field="4" count="1" selected="0">
            <x v="0"/>
          </reference>
          <reference field="70" count="1" selected="0">
            <x v="0"/>
          </reference>
        </references>
      </pivotArea>
    </format>
    <format dxfId="7918">
      <pivotArea outline="0" fieldPosition="0">
        <references count="4">
          <reference field="4294967294" count="1" selected="0">
            <x v="2"/>
          </reference>
          <reference field="0" count="1" selected="0">
            <x v="11"/>
          </reference>
          <reference field="4" count="1" selected="0">
            <x v="8"/>
          </reference>
          <reference field="70" count="1" selected="0">
            <x v="1"/>
          </reference>
        </references>
      </pivotArea>
    </format>
    <format dxfId="7917">
      <pivotArea outline="0" fieldPosition="0">
        <references count="4">
          <reference field="4294967294" count="1" selected="0">
            <x v="2"/>
          </reference>
          <reference field="0" count="1" selected="0">
            <x v="11"/>
          </reference>
          <reference field="4" count="2" selected="0">
            <x v="9"/>
            <x v="10"/>
          </reference>
          <reference field="70" count="1" selected="0">
            <x v="1"/>
          </reference>
        </references>
      </pivotArea>
    </format>
    <format dxfId="7916">
      <pivotArea outline="0" fieldPosition="0">
        <references count="4">
          <reference field="4294967294" count="1" selected="0">
            <x v="8"/>
          </reference>
          <reference field="0" count="1" selected="0">
            <x v="11"/>
          </reference>
          <reference field="4" count="1" selected="0">
            <x v="8"/>
          </reference>
          <reference field="70" count="1" selected="0">
            <x v="1"/>
          </reference>
        </references>
      </pivotArea>
    </format>
    <format dxfId="7915">
      <pivotArea outline="0" fieldPosition="0">
        <references count="4">
          <reference field="4294967294" count="1" selected="0">
            <x v="20"/>
          </reference>
          <reference field="0" count="1" selected="0">
            <x v="11"/>
          </reference>
          <reference field="4" count="1" selected="0">
            <x v="2"/>
          </reference>
          <reference field="70" count="1" selected="0">
            <x v="0"/>
          </reference>
        </references>
      </pivotArea>
    </format>
    <format dxfId="7914">
      <pivotArea outline="0" fieldPosition="0">
        <references count="4">
          <reference field="4294967294" count="1" selected="0">
            <x v="23"/>
          </reference>
          <reference field="0" count="1" selected="0">
            <x v="11"/>
          </reference>
          <reference field="4" count="1" selected="0">
            <x v="2"/>
          </reference>
          <reference field="70" count="1" selected="0">
            <x v="0"/>
          </reference>
        </references>
      </pivotArea>
    </format>
    <format dxfId="7913">
      <pivotArea outline="0" fieldPosition="0">
        <references count="4">
          <reference field="4294967294" count="1" selected="0">
            <x v="23"/>
          </reference>
          <reference field="0" count="1" selected="0">
            <x v="11"/>
          </reference>
          <reference field="4" count="1" selected="0">
            <x v="4"/>
          </reference>
          <reference field="70" count="1" selected="0">
            <x v="0"/>
          </reference>
        </references>
      </pivotArea>
    </format>
    <format dxfId="7912">
      <pivotArea outline="0" fieldPosition="0">
        <references count="4">
          <reference field="4294967294" count="1" selected="0">
            <x v="20"/>
          </reference>
          <reference field="0" count="1" selected="0">
            <x v="11"/>
          </reference>
          <reference field="4" count="1" selected="0">
            <x v="5"/>
          </reference>
          <reference field="70" count="1" selected="0">
            <x v="0"/>
          </reference>
        </references>
      </pivotArea>
    </format>
    <format dxfId="7911">
      <pivotArea outline="0" fieldPosition="0">
        <references count="4">
          <reference field="4294967294" count="1" selected="0">
            <x v="23"/>
          </reference>
          <reference field="0" count="1" selected="0">
            <x v="11"/>
          </reference>
          <reference field="4" count="1" selected="0">
            <x v="5"/>
          </reference>
          <reference field="70" count="1" selected="0">
            <x v="0"/>
          </reference>
        </references>
      </pivotArea>
    </format>
    <format dxfId="7910">
      <pivotArea outline="0" fieldPosition="0">
        <references count="4">
          <reference field="4294967294" count="1" selected="0">
            <x v="26"/>
          </reference>
          <reference field="0" count="1" selected="0">
            <x v="11"/>
          </reference>
          <reference field="4" count="1" selected="0">
            <x v="5"/>
          </reference>
          <reference field="70" count="1" selected="0">
            <x v="0"/>
          </reference>
        </references>
      </pivotArea>
    </format>
    <format dxfId="7909">
      <pivotArea outline="0" fieldPosition="0">
        <references count="4">
          <reference field="4294967294" count="1" selected="0">
            <x v="20"/>
          </reference>
          <reference field="0" count="1" selected="0">
            <x v="12"/>
          </reference>
          <reference field="4" count="1" selected="0">
            <x v="4"/>
          </reference>
          <reference field="70" count="1" selected="0">
            <x v="0"/>
          </reference>
        </references>
      </pivotArea>
    </format>
    <format dxfId="7908">
      <pivotArea outline="0" fieldPosition="0">
        <references count="4">
          <reference field="4294967294" count="1" selected="0">
            <x v="26"/>
          </reference>
          <reference field="0" count="1" selected="0">
            <x v="12"/>
          </reference>
          <reference field="4" count="1" selected="0">
            <x v="4"/>
          </reference>
          <reference field="70" count="1" selected="0">
            <x v="0"/>
          </reference>
        </references>
      </pivotArea>
    </format>
    <format dxfId="7907">
      <pivotArea outline="0" fieldPosition="0">
        <references count="4">
          <reference field="4294967294" count="1" selected="0">
            <x v="2"/>
          </reference>
          <reference field="0" count="1" selected="0">
            <x v="13"/>
          </reference>
          <reference field="4" count="1" selected="0">
            <x v="3"/>
          </reference>
          <reference field="70" count="1" selected="0">
            <x v="0"/>
          </reference>
        </references>
      </pivotArea>
    </format>
    <format dxfId="7906">
      <pivotArea outline="0" fieldPosition="0">
        <references count="4">
          <reference field="4294967294" count="1" selected="0">
            <x v="20"/>
          </reference>
          <reference field="0" count="1" selected="0">
            <x v="13"/>
          </reference>
          <reference field="4" count="1" selected="0">
            <x v="4"/>
          </reference>
          <reference field="70" count="1" selected="0">
            <x v="0"/>
          </reference>
        </references>
      </pivotArea>
    </format>
    <format dxfId="7905">
      <pivotArea outline="0" fieldPosition="0">
        <references count="4">
          <reference field="4294967294" count="1" selected="0">
            <x v="26"/>
          </reference>
          <reference field="0" count="1" selected="0">
            <x v="13"/>
          </reference>
          <reference field="4" count="1" selected="0">
            <x v="4"/>
          </reference>
          <reference field="70" count="1" selected="0">
            <x v="0"/>
          </reference>
        </references>
      </pivotArea>
    </format>
    <format dxfId="7904">
      <pivotArea outline="0" fieldPosition="0">
        <references count="4">
          <reference field="4294967294" count="1" selected="0">
            <x v="28"/>
          </reference>
          <reference field="0" count="1" selected="0">
            <x v="13"/>
          </reference>
          <reference field="4" count="1" selected="0">
            <x v="5"/>
          </reference>
          <reference field="70" count="1" selected="0">
            <x v="0"/>
          </reference>
        </references>
      </pivotArea>
    </format>
    <format dxfId="7903">
      <pivotArea outline="0" fieldPosition="0">
        <references count="4">
          <reference field="4294967294" count="1" selected="0">
            <x v="31"/>
          </reference>
          <reference field="0" count="1" selected="0">
            <x v="13"/>
          </reference>
          <reference field="4" count="1" selected="0">
            <x v="4"/>
          </reference>
          <reference field="70" count="1" selected="0">
            <x v="0"/>
          </reference>
        </references>
      </pivotArea>
    </format>
    <format dxfId="7902">
      <pivotArea outline="0" fieldPosition="0">
        <references count="4">
          <reference field="4294967294" count="1" selected="0">
            <x v="2"/>
          </reference>
          <reference field="0" count="1" selected="0">
            <x v="14"/>
          </reference>
          <reference field="4" count="1" selected="0">
            <x v="5"/>
          </reference>
          <reference field="70" count="1" selected="0">
            <x v="0"/>
          </reference>
        </references>
      </pivotArea>
    </format>
    <format dxfId="7901">
      <pivotArea outline="0" fieldPosition="0">
        <references count="4">
          <reference field="4294967294" count="1" selected="0">
            <x v="8"/>
          </reference>
          <reference field="0" count="1" selected="0">
            <x v="14"/>
          </reference>
          <reference field="4" count="1" selected="0">
            <x v="5"/>
          </reference>
          <reference field="70" count="1" selected="0">
            <x v="0"/>
          </reference>
        </references>
      </pivotArea>
    </format>
    <format dxfId="7900">
      <pivotArea outline="0" fieldPosition="0">
        <references count="4">
          <reference field="4294967294" count="1" selected="0">
            <x v="20"/>
          </reference>
          <reference field="0" count="1" selected="0">
            <x v="14"/>
          </reference>
          <reference field="4" count="1" selected="0">
            <x v="2"/>
          </reference>
          <reference field="70" count="1" selected="0">
            <x v="0"/>
          </reference>
        </references>
      </pivotArea>
    </format>
    <format dxfId="7899">
      <pivotArea outline="0" fieldPosition="0">
        <references count="4">
          <reference field="4294967294" count="1" selected="0">
            <x v="26"/>
          </reference>
          <reference field="0" count="1" selected="0">
            <x v="14"/>
          </reference>
          <reference field="4" count="1" selected="0">
            <x v="2"/>
          </reference>
          <reference field="70" count="1" selected="0">
            <x v="0"/>
          </reference>
        </references>
      </pivotArea>
    </format>
    <format dxfId="7898">
      <pivotArea outline="0" fieldPosition="0">
        <references count="4">
          <reference field="4294967294" count="1" selected="0">
            <x v="20"/>
          </reference>
          <reference field="0" count="1" selected="0">
            <x v="14"/>
          </reference>
          <reference field="4" count="1" selected="0">
            <x v="2"/>
          </reference>
          <reference field="70" count="1" selected="0">
            <x v="0"/>
          </reference>
        </references>
      </pivotArea>
    </format>
    <format dxfId="7897">
      <pivotArea outline="0" fieldPosition="0">
        <references count="4">
          <reference field="4294967294" count="1" selected="0">
            <x v="2"/>
          </reference>
          <reference field="0" count="1" selected="0">
            <x v="15"/>
          </reference>
          <reference field="4" count="1" selected="0">
            <x v="7"/>
          </reference>
          <reference field="70" count="1" selected="0">
            <x v="1"/>
          </reference>
        </references>
      </pivotArea>
    </format>
    <format dxfId="7896">
      <pivotArea outline="0" fieldPosition="0">
        <references count="4">
          <reference field="4294967294" count="1" selected="0">
            <x v="8"/>
          </reference>
          <reference field="0" count="1" selected="0">
            <x v="15"/>
          </reference>
          <reference field="4" count="1" selected="0">
            <x v="7"/>
          </reference>
          <reference field="70" count="1" selected="0">
            <x v="1"/>
          </reference>
        </references>
      </pivotArea>
    </format>
    <format dxfId="7895">
      <pivotArea outline="0" fieldPosition="0">
        <references count="4">
          <reference field="4294967294" count="1" selected="0">
            <x v="23"/>
          </reference>
          <reference field="0" count="1" selected="0">
            <x v="15"/>
          </reference>
          <reference field="4" count="1" selected="0">
            <x v="2"/>
          </reference>
          <reference field="70" count="1" selected="0">
            <x v="0"/>
          </reference>
        </references>
      </pivotArea>
    </format>
    <format dxfId="7894">
      <pivotArea outline="0" fieldPosition="0">
        <references count="4">
          <reference field="4294967294" count="1" selected="0">
            <x v="20"/>
          </reference>
          <reference field="0" count="1" selected="0">
            <x v="15"/>
          </reference>
          <reference field="4" count="1" selected="0">
            <x v="5"/>
          </reference>
          <reference field="70" count="1" selected="0">
            <x v="0"/>
          </reference>
        </references>
      </pivotArea>
    </format>
    <format dxfId="7893">
      <pivotArea outline="0" fieldPosition="0">
        <references count="4">
          <reference field="4294967294" count="1" selected="0">
            <x v="20"/>
          </reference>
          <reference field="0" count="1" selected="0">
            <x v="15"/>
          </reference>
          <reference field="4" count="1" selected="0">
            <x v="4"/>
          </reference>
          <reference field="70" count="1" selected="0">
            <x v="0"/>
          </reference>
        </references>
      </pivotArea>
    </format>
    <format dxfId="7892">
      <pivotArea outline="0" fieldPosition="0">
        <references count="4">
          <reference field="4294967294" count="1" selected="0">
            <x v="26"/>
          </reference>
          <reference field="0" count="1" selected="0">
            <x v="15"/>
          </reference>
          <reference field="4" count="1" selected="0">
            <x v="4"/>
          </reference>
          <reference field="70" count="1" selected="0">
            <x v="0"/>
          </reference>
        </references>
      </pivotArea>
    </format>
    <format dxfId="7891">
      <pivotArea outline="0" fieldPosition="0">
        <references count="4">
          <reference field="4294967294" count="1" selected="0">
            <x v="20"/>
          </reference>
          <reference field="0" count="1" selected="0">
            <x v="15"/>
          </reference>
          <reference field="4" count="1" selected="0">
            <x v="2"/>
          </reference>
          <reference field="70" count="1" selected="0">
            <x v="0"/>
          </reference>
        </references>
      </pivotArea>
    </format>
    <format dxfId="7890">
      <pivotArea outline="0" fieldPosition="0">
        <references count="4">
          <reference field="4294967294" count="1" selected="0">
            <x v="2"/>
          </reference>
          <reference field="0" count="1" selected="0">
            <x v="2"/>
          </reference>
          <reference field="4" count="1" selected="0">
            <x v="2"/>
          </reference>
          <reference field="70" count="1" selected="0">
            <x v="0"/>
          </reference>
        </references>
      </pivotArea>
    </format>
    <format dxfId="7889">
      <pivotArea outline="0" fieldPosition="0">
        <references count="4">
          <reference field="4294967294" count="1" selected="0">
            <x v="8"/>
          </reference>
          <reference field="0" count="1" selected="0">
            <x v="2"/>
          </reference>
          <reference field="4" count="1" selected="0">
            <x v="2"/>
          </reference>
          <reference field="70" count="1" selected="0">
            <x v="0"/>
          </reference>
        </references>
      </pivotArea>
    </format>
    <format dxfId="7888">
      <pivotArea outline="0" fieldPosition="0">
        <references count="4">
          <reference field="4294967294" count="7" selected="0">
            <x v="20"/>
            <x v="21"/>
            <x v="22"/>
            <x v="23"/>
            <x v="24"/>
            <x v="25"/>
            <x v="26"/>
          </reference>
          <reference field="0" count="1" selected="0">
            <x v="2"/>
          </reference>
          <reference field="4" count="1" selected="0">
            <x v="2"/>
          </reference>
          <reference field="70" count="1" selected="0">
            <x v="0"/>
          </reference>
        </references>
      </pivotArea>
    </format>
    <format dxfId="7887">
      <pivotArea outline="0" fieldPosition="0">
        <references count="4">
          <reference field="4294967294" count="1" selected="0">
            <x v="16"/>
          </reference>
          <reference field="0" count="1" selected="0">
            <x v="8"/>
          </reference>
          <reference field="4" count="1" selected="0">
            <x v="3"/>
          </reference>
          <reference field="70" count="1" selected="0">
            <x v="0"/>
          </reference>
        </references>
      </pivotArea>
    </format>
    <format dxfId="7886">
      <pivotArea outline="0" fieldPosition="0">
        <references count="4">
          <reference field="4294967294" count="1" selected="0">
            <x v="34"/>
          </reference>
          <reference field="0" count="1" selected="0">
            <x v="8"/>
          </reference>
          <reference field="4" count="1" selected="0">
            <x v="3"/>
          </reference>
          <reference field="70" count="1" selected="0">
            <x v="0"/>
          </reference>
        </references>
      </pivotArea>
    </format>
    <format dxfId="7885">
      <pivotArea outline="0" fieldPosition="0">
        <references count="4">
          <reference field="4294967294" count="1" selected="0">
            <x v="2"/>
          </reference>
          <reference field="0" count="1" selected="0">
            <x v="0"/>
          </reference>
          <reference field="4" count="1" selected="0">
            <x v="12"/>
          </reference>
          <reference field="70" count="1" selected="0">
            <x v="2"/>
          </reference>
        </references>
      </pivotArea>
    </format>
    <format dxfId="7884">
      <pivotArea outline="0" fieldPosition="0">
        <references count="4">
          <reference field="4294967294" count="2" selected="0">
            <x v="7"/>
            <x v="8"/>
          </reference>
          <reference field="0" count="1" selected="0">
            <x v="0"/>
          </reference>
          <reference field="4" count="1" selected="0">
            <x v="12"/>
          </reference>
          <reference field="70" count="1" selected="0">
            <x v="2"/>
          </reference>
        </references>
      </pivotArea>
    </format>
    <format dxfId="7883">
      <pivotArea outline="0" fieldPosition="0">
        <references count="4">
          <reference field="4294967294" count="1" selected="0">
            <x v="10"/>
          </reference>
          <reference field="0" count="1" selected="0">
            <x v="0"/>
          </reference>
          <reference field="4" count="1" selected="0">
            <x v="0"/>
          </reference>
          <reference field="70" count="1" selected="0">
            <x v="0"/>
          </reference>
        </references>
      </pivotArea>
    </format>
    <format dxfId="7882">
      <pivotArea outline="0" fieldPosition="0">
        <references count="4">
          <reference field="4294967294" count="1" selected="0">
            <x v="13"/>
          </reference>
          <reference field="0" count="1" selected="0">
            <x v="0"/>
          </reference>
          <reference field="4" count="1" selected="0">
            <x v="10"/>
          </reference>
          <reference field="70" count="1" selected="0">
            <x v="1"/>
          </reference>
        </references>
      </pivotArea>
    </format>
    <format dxfId="7881">
      <pivotArea outline="0" fieldPosition="0">
        <references count="4">
          <reference field="4294967294" count="2" selected="0">
            <x v="22"/>
            <x v="23"/>
          </reference>
          <reference field="0" count="1" selected="0">
            <x v="0"/>
          </reference>
          <reference field="4" count="1" selected="0">
            <x v="3"/>
          </reference>
          <reference field="70" count="1" selected="0">
            <x v="0"/>
          </reference>
        </references>
      </pivotArea>
    </format>
    <format dxfId="7880">
      <pivotArea outline="0" fieldPosition="0">
        <references count="4">
          <reference field="4294967294" count="2" selected="0">
            <x v="22"/>
            <x v="23"/>
          </reference>
          <reference field="0" count="1" selected="0">
            <x v="0"/>
          </reference>
          <reference field="4" count="1" selected="0">
            <x v="4"/>
          </reference>
          <reference field="70" count="1" selected="0">
            <x v="0"/>
          </reference>
        </references>
      </pivotArea>
    </format>
    <format dxfId="7879">
      <pivotArea outline="0" fieldPosition="0">
        <references count="4">
          <reference field="4294967294" count="1" selected="0">
            <x v="2"/>
          </reference>
          <reference field="0" count="1" selected="0">
            <x v="1"/>
          </reference>
          <reference field="4" count="1" selected="0">
            <x v="9"/>
          </reference>
          <reference field="70" count="1" selected="0">
            <x v="1"/>
          </reference>
        </references>
      </pivotArea>
    </format>
    <format dxfId="7878">
      <pivotArea outline="0" fieldPosition="0">
        <references count="4">
          <reference field="4294967294" count="2" selected="0">
            <x v="10"/>
            <x v="11"/>
          </reference>
          <reference field="0" count="1" selected="0">
            <x v="1"/>
          </reference>
          <reference field="4" count="1" selected="0">
            <x v="4"/>
          </reference>
          <reference field="70" count="1" selected="0">
            <x v="0"/>
          </reference>
        </references>
      </pivotArea>
    </format>
    <format dxfId="7877">
      <pivotArea outline="0" fieldPosition="0">
        <references count="4">
          <reference field="4294967294" count="2" selected="0">
            <x v="10"/>
            <x v="11"/>
          </reference>
          <reference field="0" count="1" selected="0">
            <x v="1"/>
          </reference>
          <reference field="4" count="1" selected="0">
            <x v="5"/>
          </reference>
          <reference field="70" count="1" selected="0">
            <x v="0"/>
          </reference>
        </references>
      </pivotArea>
    </format>
    <format dxfId="7876">
      <pivotArea outline="0" fieldPosition="0">
        <references count="4">
          <reference field="4294967294" count="1" selected="0">
            <x v="23"/>
          </reference>
          <reference field="0" count="1" selected="0">
            <x v="1"/>
          </reference>
          <reference field="4" count="1" selected="0">
            <x v="3"/>
          </reference>
          <reference field="70" count="1" selected="0">
            <x v="0"/>
          </reference>
        </references>
      </pivotArea>
    </format>
    <format dxfId="7875">
      <pivotArea outline="0" fieldPosition="0">
        <references count="4">
          <reference field="4294967294" count="1" selected="0">
            <x v="26"/>
          </reference>
          <reference field="0" count="1" selected="0">
            <x v="1"/>
          </reference>
          <reference field="4" count="1" selected="0">
            <x v="3"/>
          </reference>
          <reference field="70" count="1" selected="0">
            <x v="0"/>
          </reference>
        </references>
      </pivotArea>
    </format>
    <format dxfId="7874">
      <pivotArea outline="0" fieldPosition="0">
        <references count="4">
          <reference field="4294967294" count="1" selected="0">
            <x v="28"/>
          </reference>
          <reference field="0" count="1" selected="0">
            <x v="1"/>
          </reference>
          <reference field="4" count="1" selected="0">
            <x v="3"/>
          </reference>
          <reference field="70" count="1" selected="0">
            <x v="0"/>
          </reference>
        </references>
      </pivotArea>
    </format>
    <format dxfId="7873">
      <pivotArea outline="0" fieldPosition="0">
        <references count="4">
          <reference field="4294967294" count="2" selected="0">
            <x v="4"/>
            <x v="5"/>
          </reference>
          <reference field="0" count="1" selected="0">
            <x v="3"/>
          </reference>
          <reference field="4" count="1" selected="0">
            <x v="3"/>
          </reference>
          <reference field="70" count="1" selected="0">
            <x v="0"/>
          </reference>
        </references>
      </pivotArea>
    </format>
    <format dxfId="7872">
      <pivotArea outline="0" fieldPosition="0">
        <references count="4">
          <reference field="4294967294" count="1" selected="0">
            <x v="8"/>
          </reference>
          <reference field="0" count="1" selected="0">
            <x v="3"/>
          </reference>
          <reference field="4" count="1" selected="0">
            <x v="3"/>
          </reference>
          <reference field="70" count="1" selected="0">
            <x v="0"/>
          </reference>
        </references>
      </pivotArea>
    </format>
    <format dxfId="7871">
      <pivotArea outline="0" fieldPosition="0">
        <references count="4">
          <reference field="4294967294" count="2" selected="0">
            <x v="10"/>
            <x v="11"/>
          </reference>
          <reference field="0" count="1" selected="0">
            <x v="3"/>
          </reference>
          <reference field="4" count="1" selected="0">
            <x v="2"/>
          </reference>
          <reference field="70" count="1" selected="0">
            <x v="0"/>
          </reference>
        </references>
      </pivotArea>
    </format>
    <format dxfId="7870">
      <pivotArea outline="0" fieldPosition="0">
        <references count="4">
          <reference field="4294967294" count="1" selected="0">
            <x v="20"/>
          </reference>
          <reference field="0" count="1" selected="0">
            <x v="3"/>
          </reference>
          <reference field="4" count="1" selected="0">
            <x v="3"/>
          </reference>
          <reference field="70" count="1" selected="0">
            <x v="0"/>
          </reference>
        </references>
      </pivotArea>
    </format>
    <format dxfId="7869">
      <pivotArea outline="0" fieldPosition="0">
        <references count="4">
          <reference field="4294967294" count="1" selected="0">
            <x v="26"/>
          </reference>
          <reference field="0" count="1" selected="0">
            <x v="3"/>
          </reference>
          <reference field="4" count="1" selected="0">
            <x v="2"/>
          </reference>
          <reference field="70" count="1" selected="0">
            <x v="0"/>
          </reference>
        </references>
      </pivotArea>
    </format>
    <format dxfId="7868">
      <pivotArea outline="0" fieldPosition="0">
        <references count="4">
          <reference field="4294967294" count="1" selected="0">
            <x v="26"/>
          </reference>
          <reference field="0" count="1" selected="0">
            <x v="3"/>
          </reference>
          <reference field="4" count="1" selected="0">
            <x v="3"/>
          </reference>
          <reference field="70" count="1" selected="0">
            <x v="0"/>
          </reference>
        </references>
      </pivotArea>
    </format>
    <format dxfId="7867">
      <pivotArea outline="0" fieldPosition="0">
        <references count="4">
          <reference field="4294967294" count="2" selected="0">
            <x v="28"/>
            <x v="29"/>
          </reference>
          <reference field="0" count="1" selected="0">
            <x v="3"/>
          </reference>
          <reference field="4" count="1" selected="0">
            <x v="2"/>
          </reference>
          <reference field="70" count="1" selected="0">
            <x v="0"/>
          </reference>
        </references>
      </pivotArea>
    </format>
    <format dxfId="7866">
      <pivotArea outline="0" fieldPosition="0">
        <references count="4">
          <reference field="4294967294" count="1" selected="0">
            <x v="10"/>
          </reference>
          <reference field="0" count="1" selected="0">
            <x v="4"/>
          </reference>
          <reference field="4" count="1" selected="0">
            <x v="5"/>
          </reference>
          <reference field="70" count="1" selected="0">
            <x v="0"/>
          </reference>
        </references>
      </pivotArea>
    </format>
    <format dxfId="7865">
      <pivotArea outline="0" fieldPosition="0">
        <references count="4">
          <reference field="4294967294" count="1" selected="0">
            <x v="8"/>
          </reference>
          <reference field="0" count="1" selected="0">
            <x v="4"/>
          </reference>
          <reference field="4" count="2" selected="0">
            <x v="7"/>
            <x v="8"/>
          </reference>
          <reference field="70" count="1" selected="0">
            <x v="1"/>
          </reference>
        </references>
      </pivotArea>
    </format>
    <format dxfId="7864">
      <pivotArea outline="0" fieldPosition="0">
        <references count="4">
          <reference field="4294967294" count="2" selected="0">
            <x v="13"/>
            <x v="14"/>
          </reference>
          <reference field="0" count="1" selected="0">
            <x v="4"/>
          </reference>
          <reference field="4" count="1" selected="0">
            <x v="8"/>
          </reference>
          <reference field="70" count="1" selected="0">
            <x v="1"/>
          </reference>
        </references>
      </pivotArea>
    </format>
    <format dxfId="7863">
      <pivotArea outline="0" fieldPosition="0">
        <references count="4">
          <reference field="4294967294" count="2" selected="0">
            <x v="10"/>
            <x v="11"/>
          </reference>
          <reference field="0" count="1" selected="0">
            <x v="4"/>
          </reference>
          <reference field="4" count="1" selected="0">
            <x v="9"/>
          </reference>
          <reference field="70" count="1" selected="0">
            <x v="1"/>
          </reference>
        </references>
      </pivotArea>
    </format>
    <format dxfId="7862">
      <pivotArea outline="0" fieldPosition="0">
        <references count="4">
          <reference field="4294967294" count="1" selected="0">
            <x v="20"/>
          </reference>
          <reference field="0" count="1" selected="0">
            <x v="4"/>
          </reference>
          <reference field="4" count="1" selected="0">
            <x v="1"/>
          </reference>
          <reference field="70" count="1" selected="0">
            <x v="0"/>
          </reference>
        </references>
      </pivotArea>
    </format>
    <format dxfId="7861">
      <pivotArea outline="0" fieldPosition="0">
        <references count="4">
          <reference field="4294967294" count="1" selected="0">
            <x v="26"/>
          </reference>
          <reference field="0" count="1" selected="0">
            <x v="4"/>
          </reference>
          <reference field="4" count="1" selected="0">
            <x v="1"/>
          </reference>
          <reference field="70" count="1" selected="0">
            <x v="0"/>
          </reference>
        </references>
      </pivotArea>
    </format>
    <format dxfId="7860">
      <pivotArea outline="0" fieldPosition="0">
        <references count="4">
          <reference field="4294967294" count="1" selected="0">
            <x v="23"/>
          </reference>
          <reference field="0" count="1" selected="0">
            <x v="4"/>
          </reference>
          <reference field="4" count="1" selected="0">
            <x v="4"/>
          </reference>
          <reference field="70" count="1" selected="0">
            <x v="0"/>
          </reference>
        </references>
      </pivotArea>
    </format>
    <format dxfId="7859">
      <pivotArea outline="0" fieldPosition="0">
        <references count="4">
          <reference field="4294967294" count="1" selected="0">
            <x v="26"/>
          </reference>
          <reference field="0" count="1" selected="0">
            <x v="4"/>
          </reference>
          <reference field="4" count="1" selected="0">
            <x v="4"/>
          </reference>
          <reference field="70" count="1" selected="0">
            <x v="0"/>
          </reference>
        </references>
      </pivotArea>
    </format>
    <format dxfId="7858">
      <pivotArea outline="0" fieldPosition="0">
        <references count="4">
          <reference field="4294967294" count="1" selected="0">
            <x v="2"/>
          </reference>
          <reference field="0" count="1" selected="0">
            <x v="5"/>
          </reference>
          <reference field="4" count="3" selected="0">
            <x v="8"/>
            <x v="9"/>
            <x v="10"/>
          </reference>
          <reference field="70" count="1" selected="0">
            <x v="1"/>
          </reference>
        </references>
      </pivotArea>
    </format>
    <format dxfId="7857">
      <pivotArea outline="0" fieldPosition="0">
        <references count="4">
          <reference field="4294967294" count="1" selected="0">
            <x v="5"/>
          </reference>
          <reference field="0" count="1" selected="0">
            <x v="5"/>
          </reference>
          <reference field="4" count="3" selected="0">
            <x v="8"/>
            <x v="9"/>
            <x v="10"/>
          </reference>
          <reference field="70" count="1" selected="0">
            <x v="1"/>
          </reference>
        </references>
      </pivotArea>
    </format>
    <format dxfId="7856">
      <pivotArea outline="0" fieldPosition="0">
        <references count="4">
          <reference field="4294967294" count="1" selected="0">
            <x v="8"/>
          </reference>
          <reference field="0" count="1" selected="0">
            <x v="5"/>
          </reference>
          <reference field="4" count="3" selected="0">
            <x v="8"/>
            <x v="9"/>
            <x v="10"/>
          </reference>
          <reference field="70" count="1" selected="0">
            <x v="1"/>
          </reference>
        </references>
      </pivotArea>
    </format>
    <format dxfId="7855">
      <pivotArea outline="0" fieldPosition="0">
        <references count="4">
          <reference field="4294967294" count="1" selected="0">
            <x v="2"/>
          </reference>
          <reference field="0" count="1" selected="0">
            <x v="5"/>
          </reference>
          <reference field="4" count="1" selected="0">
            <x v="11"/>
          </reference>
          <reference field="70" count="1" selected="0">
            <x v="2"/>
          </reference>
        </references>
      </pivotArea>
    </format>
    <format dxfId="7854">
      <pivotArea outline="0" fieldPosition="0">
        <references count="4">
          <reference field="4294967294" count="1" selected="0">
            <x v="5"/>
          </reference>
          <reference field="0" count="1" selected="0">
            <x v="5"/>
          </reference>
          <reference field="4" count="1" selected="0">
            <x v="11"/>
          </reference>
          <reference field="70" count="1" selected="0">
            <x v="2"/>
          </reference>
        </references>
      </pivotArea>
    </format>
    <format dxfId="7853">
      <pivotArea outline="0" fieldPosition="0">
        <references count="4">
          <reference field="4294967294" count="1" selected="0">
            <x v="8"/>
          </reference>
          <reference field="0" count="1" selected="0">
            <x v="5"/>
          </reference>
          <reference field="4" count="1" selected="0">
            <x v="11"/>
          </reference>
          <reference field="70" count="1" selected="0">
            <x v="2"/>
          </reference>
        </references>
      </pivotArea>
    </format>
    <format dxfId="7852">
      <pivotArea outline="0" fieldPosition="0">
        <references count="4">
          <reference field="4294967294" count="1" selected="0">
            <x v="20"/>
          </reference>
          <reference field="0" count="1" selected="0">
            <x v="5"/>
          </reference>
          <reference field="4" count="1" selected="0">
            <x v="0"/>
          </reference>
          <reference field="70" count="1" selected="0">
            <x v="0"/>
          </reference>
        </references>
      </pivotArea>
    </format>
    <format dxfId="7851">
      <pivotArea outline="0" fieldPosition="0">
        <references count="4">
          <reference field="4294967294" count="1" selected="0">
            <x v="20"/>
          </reference>
          <reference field="0" count="1" selected="0">
            <x v="5"/>
          </reference>
          <reference field="4" count="1" selected="0">
            <x v="3"/>
          </reference>
          <reference field="70" count="1" selected="0">
            <x v="0"/>
          </reference>
        </references>
      </pivotArea>
    </format>
    <format dxfId="7850">
      <pivotArea outline="0" fieldPosition="0">
        <references count="4">
          <reference field="4294967294" count="1" selected="0">
            <x v="26"/>
          </reference>
          <reference field="0" count="1" selected="0">
            <x v="5"/>
          </reference>
          <reference field="4" count="1" selected="0">
            <x v="3"/>
          </reference>
          <reference field="70" count="1" selected="0">
            <x v="0"/>
          </reference>
        </references>
      </pivotArea>
    </format>
    <format dxfId="7849">
      <pivotArea outline="0" fieldPosition="0">
        <references count="4">
          <reference field="4294967294" count="1" selected="0">
            <x v="26"/>
          </reference>
          <reference field="0" count="1" selected="0">
            <x v="7"/>
          </reference>
          <reference field="4" count="1" selected="0">
            <x v="2"/>
          </reference>
          <reference field="70" count="1" selected="0">
            <x v="0"/>
          </reference>
        </references>
      </pivotArea>
    </format>
    <format dxfId="7848">
      <pivotArea outline="0" fieldPosition="0">
        <references count="4">
          <reference field="4294967294" count="1" selected="0">
            <x v="20"/>
          </reference>
          <reference field="0" count="1" selected="0">
            <x v="8"/>
          </reference>
          <reference field="4" count="2" selected="0">
            <x v="3"/>
            <x v="4"/>
          </reference>
          <reference field="70" count="1" selected="0">
            <x v="0"/>
          </reference>
        </references>
      </pivotArea>
    </format>
    <format dxfId="7847">
      <pivotArea outline="0" fieldPosition="0">
        <references count="4">
          <reference field="4294967294" count="1" selected="0">
            <x v="26"/>
          </reference>
          <reference field="0" count="1" selected="0">
            <x v="8"/>
          </reference>
          <reference field="4" count="1" selected="0">
            <x v="3"/>
          </reference>
          <reference field="70" count="1" selected="0">
            <x v="0"/>
          </reference>
        </references>
      </pivotArea>
    </format>
    <format dxfId="7846">
      <pivotArea outline="0" fieldPosition="0">
        <references count="4">
          <reference field="4294967294" count="1" selected="0">
            <x v="34"/>
          </reference>
          <reference field="0" count="1" selected="0">
            <x v="8"/>
          </reference>
          <reference field="4" count="1" selected="0">
            <x v="0"/>
          </reference>
          <reference field="70" count="1" selected="0">
            <x v="0"/>
          </reference>
        </references>
      </pivotArea>
    </format>
    <format dxfId="7845">
      <pivotArea outline="0" fieldPosition="0">
        <references count="4">
          <reference field="4294967294" count="1" selected="0">
            <x v="2"/>
          </reference>
          <reference field="0" count="1" selected="0">
            <x v="9"/>
          </reference>
          <reference field="4" count="1" selected="0">
            <x v="3"/>
          </reference>
          <reference field="70" count="1" selected="0">
            <x v="0"/>
          </reference>
        </references>
      </pivotArea>
    </format>
    <format dxfId="7844">
      <pivotArea outline="0" fieldPosition="0">
        <references count="4">
          <reference field="4294967294" count="1" selected="0">
            <x v="8"/>
          </reference>
          <reference field="0" count="1" selected="0">
            <x v="9"/>
          </reference>
          <reference field="4" count="1" selected="0">
            <x v="3"/>
          </reference>
          <reference field="70" count="1" selected="0">
            <x v="0"/>
          </reference>
        </references>
      </pivotArea>
    </format>
    <format dxfId="7843">
      <pivotArea outline="0" fieldPosition="0">
        <references count="4">
          <reference field="4294967294" count="1" selected="0">
            <x v="2"/>
          </reference>
          <reference field="0" count="1" selected="0">
            <x v="9"/>
          </reference>
          <reference field="4" count="1" selected="0">
            <x v="8"/>
          </reference>
          <reference field="70" count="1" selected="0">
            <x v="1"/>
          </reference>
        </references>
      </pivotArea>
    </format>
    <format dxfId="7842">
      <pivotArea outline="0" fieldPosition="0">
        <references count="4">
          <reference field="4294967294" count="1" selected="0">
            <x v="8"/>
          </reference>
          <reference field="0" count="1" selected="0">
            <x v="9"/>
          </reference>
          <reference field="4" count="1" selected="0">
            <x v="8"/>
          </reference>
          <reference field="70" count="1" selected="0">
            <x v="1"/>
          </reference>
        </references>
      </pivotArea>
    </format>
    <format dxfId="7841">
      <pivotArea outline="0" fieldPosition="0">
        <references count="4">
          <reference field="4294967294" count="1" selected="0">
            <x v="23"/>
          </reference>
          <reference field="0" count="1" selected="0">
            <x v="9"/>
          </reference>
          <reference field="4" count="1" selected="0">
            <x v="3"/>
          </reference>
          <reference field="70" count="1" selected="0">
            <x v="0"/>
          </reference>
        </references>
      </pivotArea>
    </format>
    <format dxfId="7840">
      <pivotArea outline="0" fieldPosition="0">
        <references count="4">
          <reference field="4294967294" count="1" selected="0">
            <x v="26"/>
          </reference>
          <reference field="0" count="1" selected="0">
            <x v="9"/>
          </reference>
          <reference field="4" count="1" selected="0">
            <x v="3"/>
          </reference>
          <reference field="70" count="1" selected="0">
            <x v="0"/>
          </reference>
        </references>
      </pivotArea>
    </format>
    <format dxfId="7839">
      <pivotArea outline="0" fieldPosition="0">
        <references count="4">
          <reference field="4294967294" count="1" selected="0">
            <x v="2"/>
          </reference>
          <reference field="0" count="1" selected="0">
            <x v="10"/>
          </reference>
          <reference field="4" count="1" selected="0">
            <x v="2"/>
          </reference>
          <reference field="70" count="1" selected="0">
            <x v="0"/>
          </reference>
        </references>
      </pivotArea>
    </format>
    <format dxfId="7838">
      <pivotArea outline="0" fieldPosition="0">
        <references count="4">
          <reference field="4294967294" count="1" selected="0">
            <x v="5"/>
          </reference>
          <reference field="0" count="1" selected="0">
            <x v="10"/>
          </reference>
          <reference field="4" count="1" selected="0">
            <x v="2"/>
          </reference>
          <reference field="70" count="1" selected="0">
            <x v="0"/>
          </reference>
        </references>
      </pivotArea>
    </format>
    <format dxfId="7837">
      <pivotArea outline="0" fieldPosition="0">
        <references count="4">
          <reference field="4294967294" count="1" selected="0">
            <x v="20"/>
          </reference>
          <reference field="0" count="1" selected="0">
            <x v="10"/>
          </reference>
          <reference field="4" count="1" selected="0">
            <x v="0"/>
          </reference>
          <reference field="70" count="1" selected="0">
            <x v="0"/>
          </reference>
        </references>
      </pivotArea>
    </format>
    <format dxfId="7836">
      <pivotArea outline="0" fieldPosition="0">
        <references count="4">
          <reference field="4294967294" count="1" selected="0">
            <x v="20"/>
          </reference>
          <reference field="0" count="1" selected="0">
            <x v="10"/>
          </reference>
          <reference field="4" count="1" selected="0">
            <x v="2"/>
          </reference>
          <reference field="70" count="1" selected="0">
            <x v="0"/>
          </reference>
        </references>
      </pivotArea>
    </format>
    <format dxfId="7835">
      <pivotArea outline="0" fieldPosition="0">
        <references count="4">
          <reference field="4294967294" count="1" selected="0">
            <x v="20"/>
          </reference>
          <reference field="0" count="1" selected="0">
            <x v="10"/>
          </reference>
          <reference field="4" count="1" selected="0">
            <x v="3"/>
          </reference>
          <reference field="70" count="1" selected="0">
            <x v="0"/>
          </reference>
        </references>
      </pivotArea>
    </format>
    <format dxfId="7834">
      <pivotArea outline="0" fieldPosition="0">
        <references count="4">
          <reference field="4294967294" count="1" selected="0">
            <x v="23"/>
          </reference>
          <reference field="0" count="1" selected="0">
            <x v="10"/>
          </reference>
          <reference field="4" count="1" selected="0">
            <x v="0"/>
          </reference>
          <reference field="70" count="1" selected="0">
            <x v="0"/>
          </reference>
        </references>
      </pivotArea>
    </format>
    <format dxfId="7833">
      <pivotArea outline="0" fieldPosition="0">
        <references count="4">
          <reference field="4294967294" count="1" selected="0">
            <x v="23"/>
          </reference>
          <reference field="0" count="1" selected="0">
            <x v="10"/>
          </reference>
          <reference field="4" count="1" selected="0">
            <x v="2"/>
          </reference>
          <reference field="70" count="1" selected="0">
            <x v="0"/>
          </reference>
        </references>
      </pivotArea>
    </format>
    <format dxfId="7832">
      <pivotArea outline="0" fieldPosition="0">
        <references count="4">
          <reference field="4294967294" count="1" selected="0">
            <x v="26"/>
          </reference>
          <reference field="0" count="1" selected="0">
            <x v="10"/>
          </reference>
          <reference field="4" count="1" selected="0">
            <x v="0"/>
          </reference>
          <reference field="70" count="1" selected="0">
            <x v="0"/>
          </reference>
        </references>
      </pivotArea>
    </format>
    <format dxfId="7831">
      <pivotArea outline="0" fieldPosition="0">
        <references count="4">
          <reference field="4294967294" count="1" selected="0">
            <x v="26"/>
          </reference>
          <reference field="0" count="1" selected="0">
            <x v="10"/>
          </reference>
          <reference field="4" count="1" selected="0">
            <x v="3"/>
          </reference>
          <reference field="70" count="1" selected="0">
            <x v="0"/>
          </reference>
        </references>
      </pivotArea>
    </format>
    <format dxfId="7830">
      <pivotArea outline="0" fieldPosition="0">
        <references count="4">
          <reference field="4294967294" count="2" selected="0">
            <x v="10"/>
            <x v="11"/>
          </reference>
          <reference field="0" count="1" selected="0">
            <x v="11"/>
          </reference>
          <reference field="4" count="1" selected="0">
            <x v="0"/>
          </reference>
          <reference field="70" count="1" selected="0">
            <x v="0"/>
          </reference>
        </references>
      </pivotArea>
    </format>
    <format dxfId="7829">
      <pivotArea outline="0" fieldPosition="0">
        <references count="4">
          <reference field="4294967294" count="2" selected="0">
            <x v="10"/>
            <x v="11"/>
          </reference>
          <reference field="0" count="1" selected="0">
            <x v="11"/>
          </reference>
          <reference field="4" count="1" selected="0">
            <x v="5"/>
          </reference>
          <reference field="70" count="1" selected="0">
            <x v="0"/>
          </reference>
        </references>
      </pivotArea>
    </format>
    <format dxfId="7828">
      <pivotArea outline="0" fieldPosition="0">
        <references count="4">
          <reference field="4294967294" count="2" selected="0">
            <x v="13"/>
            <x v="14"/>
          </reference>
          <reference field="0" count="1" selected="0">
            <x v="11"/>
          </reference>
          <reference field="4" count="1" selected="0">
            <x v="0"/>
          </reference>
          <reference field="70" count="1" selected="0">
            <x v="0"/>
          </reference>
        </references>
      </pivotArea>
    </format>
    <format dxfId="7827">
      <pivotArea outline="0" fieldPosition="0">
        <references count="4">
          <reference field="4294967294" count="1" selected="0">
            <x v="2"/>
          </reference>
          <reference field="0" count="1" selected="0">
            <x v="11"/>
          </reference>
          <reference field="4" count="1" selected="0">
            <x v="10"/>
          </reference>
          <reference field="70" count="1" selected="0">
            <x v="1"/>
          </reference>
        </references>
      </pivotArea>
    </format>
    <format dxfId="7826">
      <pivotArea outline="0" fieldPosition="0">
        <references count="4">
          <reference field="4294967294" count="1" selected="0">
            <x v="8"/>
          </reference>
          <reference field="0" count="1" selected="0">
            <x v="11"/>
          </reference>
          <reference field="4" count="1" selected="0">
            <x v="10"/>
          </reference>
          <reference field="70" count="1" selected="0">
            <x v="1"/>
          </reference>
        </references>
      </pivotArea>
    </format>
    <format dxfId="7825">
      <pivotArea outline="0" fieldPosition="0">
        <references count="4">
          <reference field="4294967294" count="1" selected="0">
            <x v="20"/>
          </reference>
          <reference field="0" count="1" selected="0">
            <x v="11"/>
          </reference>
          <reference field="4" count="1" selected="0">
            <x v="5"/>
          </reference>
          <reference field="70" count="1" selected="0">
            <x v="0"/>
          </reference>
        </references>
      </pivotArea>
    </format>
    <format dxfId="7824">
      <pivotArea outline="0" fieldPosition="0">
        <references count="4">
          <reference field="4294967294" count="1" selected="0">
            <x v="26"/>
          </reference>
          <reference field="0" count="1" selected="0">
            <x v="11"/>
          </reference>
          <reference field="4" count="1" selected="0">
            <x v="5"/>
          </reference>
          <reference field="70" count="1" selected="0">
            <x v="0"/>
          </reference>
        </references>
      </pivotArea>
    </format>
    <format dxfId="7823">
      <pivotArea outline="0" fieldPosition="0">
        <references count="4">
          <reference field="4294967294" count="2" selected="0">
            <x v="28"/>
            <x v="29"/>
          </reference>
          <reference field="0" count="1" selected="0">
            <x v="11"/>
          </reference>
          <reference field="4" count="1" selected="0">
            <x v="5"/>
          </reference>
          <reference field="70" count="1" selected="0">
            <x v="0"/>
          </reference>
        </references>
      </pivotArea>
    </format>
    <format dxfId="7822">
      <pivotArea outline="0" fieldPosition="0">
        <references count="4">
          <reference field="4294967294" count="1" selected="0">
            <x v="31"/>
          </reference>
          <reference field="0" count="1" selected="0">
            <x v="11"/>
          </reference>
          <reference field="4" count="1" selected="0">
            <x v="5"/>
          </reference>
          <reference field="70" count="1" selected="0">
            <x v="0"/>
          </reference>
        </references>
      </pivotArea>
    </format>
    <format dxfId="7821">
      <pivotArea outline="0" fieldPosition="0">
        <references count="4">
          <reference field="4294967294" count="2" selected="0">
            <x v="10"/>
            <x v="11"/>
          </reference>
          <reference field="0" count="1" selected="0">
            <x v="12"/>
          </reference>
          <reference field="4" count="1" selected="0">
            <x v="9"/>
          </reference>
          <reference field="70" count="1" selected="0">
            <x v="1"/>
          </reference>
        </references>
      </pivotArea>
    </format>
    <format dxfId="7820">
      <pivotArea outline="0" fieldPosition="0">
        <references count="4">
          <reference field="4294967294" count="1" selected="0">
            <x v="22"/>
          </reference>
          <reference field="0" count="1" selected="0">
            <x v="12"/>
          </reference>
          <reference field="4" count="1" selected="0">
            <x v="4"/>
          </reference>
          <reference field="70" count="1" selected="0">
            <x v="0"/>
          </reference>
        </references>
      </pivotArea>
    </format>
    <format dxfId="7819">
      <pivotArea outline="0" fieldPosition="0">
        <references count="4">
          <reference field="4294967294" count="1" selected="0">
            <x v="2"/>
          </reference>
          <reference field="0" count="1" selected="0">
            <x v="13"/>
          </reference>
          <reference field="4" count="1" selected="0">
            <x v="3"/>
          </reference>
          <reference field="70" count="1" selected="0">
            <x v="0"/>
          </reference>
        </references>
      </pivotArea>
    </format>
    <format dxfId="7818">
      <pivotArea outline="0" fieldPosition="0">
        <references count="4">
          <reference field="4294967294" count="1" selected="0">
            <x v="20"/>
          </reference>
          <reference field="0" count="1" selected="0">
            <x v="13"/>
          </reference>
          <reference field="4" count="3" selected="0">
            <x v="3"/>
            <x v="4"/>
            <x v="5"/>
          </reference>
          <reference field="70" count="1" selected="0">
            <x v="0"/>
          </reference>
        </references>
      </pivotArea>
    </format>
    <format dxfId="7817">
      <pivotArea outline="0" fieldPosition="0">
        <references count="4">
          <reference field="4294967294" count="1" selected="0">
            <x v="23"/>
          </reference>
          <reference field="0" count="1" selected="0">
            <x v="13"/>
          </reference>
          <reference field="4" count="2" selected="0">
            <x v="2"/>
            <x v="3"/>
          </reference>
          <reference field="70" count="1" selected="0">
            <x v="0"/>
          </reference>
        </references>
      </pivotArea>
    </format>
    <format dxfId="7816">
      <pivotArea outline="0" fieldPosition="0">
        <references count="4">
          <reference field="4294967294" count="1" selected="0">
            <x v="26"/>
          </reference>
          <reference field="0" count="1" selected="0">
            <x v="13"/>
          </reference>
          <reference field="4" count="2" selected="0">
            <x v="4"/>
            <x v="5"/>
          </reference>
          <reference field="70" count="1" selected="0">
            <x v="0"/>
          </reference>
        </references>
      </pivotArea>
    </format>
    <format dxfId="7815">
      <pivotArea outline="0" fieldPosition="0">
        <references count="4">
          <reference field="4294967294" count="1" selected="0">
            <x v="26"/>
          </reference>
          <reference field="0" count="1" selected="0">
            <x v="13"/>
          </reference>
          <reference field="4" count="1" selected="0">
            <x v="2"/>
          </reference>
          <reference field="70" count="1" selected="0">
            <x v="0"/>
          </reference>
        </references>
      </pivotArea>
    </format>
    <format dxfId="7814">
      <pivotArea outline="0" fieldPosition="0">
        <references count="4">
          <reference field="4294967294" count="2" selected="0">
            <x v="28"/>
            <x v="29"/>
          </reference>
          <reference field="0" count="1" selected="0">
            <x v="13"/>
          </reference>
          <reference field="4" count="1" selected="0">
            <x v="5"/>
          </reference>
          <reference field="70" count="1" selected="0">
            <x v="0"/>
          </reference>
        </references>
      </pivotArea>
    </format>
    <format dxfId="7813">
      <pivotArea outline="0" fieldPosition="0">
        <references count="4">
          <reference field="4294967294" count="1" selected="0">
            <x v="25"/>
          </reference>
          <reference field="0" count="1" selected="0">
            <x v="14"/>
          </reference>
          <reference field="4" count="1" selected="0">
            <x v="1"/>
          </reference>
          <reference field="70" count="1" selected="0">
            <x v="0"/>
          </reference>
        </references>
      </pivotArea>
    </format>
    <format dxfId="7812">
      <pivotArea outline="0" fieldPosition="0">
        <references count="4">
          <reference field="4294967294" count="1" selected="0">
            <x v="31"/>
          </reference>
          <reference field="0" count="1" selected="0">
            <x v="14"/>
          </reference>
          <reference field="4" count="1" selected="0">
            <x v="0"/>
          </reference>
          <reference field="70" count="1" selected="0">
            <x v="0"/>
          </reference>
        </references>
      </pivotArea>
    </format>
    <format dxfId="7811">
      <pivotArea outline="0" fieldPosition="0">
        <references count="4">
          <reference field="4294967294" count="1" selected="0">
            <x v="2"/>
          </reference>
          <reference field="0" count="1" selected="0">
            <x v="15"/>
          </reference>
          <reference field="4" count="1" selected="0">
            <x v="5"/>
          </reference>
          <reference field="70" count="1" selected="0">
            <x v="0"/>
          </reference>
        </references>
      </pivotArea>
    </format>
    <format dxfId="7810">
      <pivotArea outline="0" fieldPosition="0">
        <references count="4">
          <reference field="4294967294" count="1" selected="0">
            <x v="20"/>
          </reference>
          <reference field="0" count="1" selected="0">
            <x v="15"/>
          </reference>
          <reference field="4" count="1" selected="0">
            <x v="2"/>
          </reference>
          <reference field="70" count="1" selected="0">
            <x v="0"/>
          </reference>
        </references>
      </pivotArea>
    </format>
    <format dxfId="7809">
      <pivotArea outline="0" fieldPosition="0">
        <references count="4">
          <reference field="4294967294" count="1" selected="0">
            <x v="26"/>
          </reference>
          <reference field="0" count="1" selected="0">
            <x v="15"/>
          </reference>
          <reference field="4" count="1" selected="0">
            <x v="2"/>
          </reference>
          <reference field="70" count="1" selected="0">
            <x v="0"/>
          </reference>
        </references>
      </pivotArea>
    </format>
    <format dxfId="7808">
      <pivotArea outline="0" fieldPosition="0">
        <references count="4">
          <reference field="4294967294" count="1" selected="0">
            <x v="20"/>
          </reference>
          <reference field="0" count="1" selected="0">
            <x v="15"/>
          </reference>
          <reference field="4" count="1" selected="0">
            <x v="5"/>
          </reference>
          <reference field="70" count="1" selected="0">
            <x v="0"/>
          </reference>
        </references>
      </pivotArea>
    </format>
    <format dxfId="7807">
      <pivotArea outline="0" fieldPosition="0">
        <references count="4">
          <reference field="4294967294" count="1" selected="0">
            <x v="26"/>
          </reference>
          <reference field="0" count="1" selected="0">
            <x v="15"/>
          </reference>
          <reference field="4" count="1" selected="0">
            <x v="5"/>
          </reference>
          <reference field="70" count="1" selected="0">
            <x v="0"/>
          </reference>
        </references>
      </pivotArea>
    </format>
    <format dxfId="7806">
      <pivotArea type="all" dataOnly="0" outline="0" fieldPosition="0"/>
    </format>
    <format dxfId="7805">
      <pivotArea outline="0" fieldPosition="0"/>
    </format>
    <format dxfId="7804">
      <pivotArea type="origin" dataOnly="0" labelOnly="1" outline="0" fieldPosition="0"/>
    </format>
    <format dxfId="7803">
      <pivotArea field="70" type="button" dataOnly="0" labelOnly="1" outline="0" axis="axisCol" fieldPosition="0"/>
    </format>
    <format dxfId="7802">
      <pivotArea field="4" type="button" dataOnly="0" labelOnly="1" outline="0" axis="axisCol" fieldPosition="1"/>
    </format>
    <format dxfId="7801">
      <pivotArea type="topRight" dataOnly="0" labelOnly="1" outline="0" fieldPosition="0"/>
    </format>
    <format dxfId="7800">
      <pivotArea field="0" type="button" dataOnly="0" labelOnly="1" outline="0" axis="axisRow" fieldPosition="0"/>
    </format>
    <format dxfId="7799">
      <pivotArea field="-2" type="button" dataOnly="0" labelOnly="1" outline="0" axis="axisRow" fieldPosition="1"/>
    </format>
    <format dxfId="7798">
      <pivotArea dataOnly="0" labelOnly="1" outline="0" fieldPosition="0">
        <references count="1">
          <reference field="0" count="0"/>
        </references>
      </pivotArea>
    </format>
    <format dxfId="7797">
      <pivotArea field="0" dataOnly="0" labelOnly="1" grandRow="1" outline="0" axis="axisRow" fieldPosition="0">
        <references count="1">
          <reference field="4294967294" count="1" selected="0">
            <x v="0"/>
          </reference>
        </references>
      </pivotArea>
    </format>
    <format dxfId="7796">
      <pivotArea field="0" dataOnly="0" labelOnly="1" grandRow="1" outline="0" axis="axisRow" fieldPosition="0">
        <references count="1">
          <reference field="4294967294" count="1" selected="0">
            <x v="1"/>
          </reference>
        </references>
      </pivotArea>
    </format>
    <format dxfId="7795">
      <pivotArea field="0" dataOnly="0" labelOnly="1" grandRow="1" outline="0" axis="axisRow" fieldPosition="0">
        <references count="1">
          <reference field="4294967294" count="1" selected="0">
            <x v="2"/>
          </reference>
        </references>
      </pivotArea>
    </format>
    <format dxfId="7794">
      <pivotArea field="0" dataOnly="0" labelOnly="1" grandRow="1" outline="0" axis="axisRow" fieldPosition="0">
        <references count="1">
          <reference field="4294967294" count="1" selected="0">
            <x v="3"/>
          </reference>
        </references>
      </pivotArea>
    </format>
    <format dxfId="7793">
      <pivotArea field="0" dataOnly="0" labelOnly="1" grandRow="1" outline="0" axis="axisRow" fieldPosition="0">
        <references count="1">
          <reference field="4294967294" count="1" selected="0">
            <x v="4"/>
          </reference>
        </references>
      </pivotArea>
    </format>
    <format dxfId="7792">
      <pivotArea field="0" dataOnly="0" labelOnly="1" grandRow="1" outline="0" axis="axisRow" fieldPosition="0">
        <references count="1">
          <reference field="4294967294" count="1" selected="0">
            <x v="5"/>
          </reference>
        </references>
      </pivotArea>
    </format>
    <format dxfId="7791">
      <pivotArea field="0" dataOnly="0" labelOnly="1" grandRow="1" outline="0" axis="axisRow" fieldPosition="0">
        <references count="1">
          <reference field="4294967294" count="1" selected="0">
            <x v="6"/>
          </reference>
        </references>
      </pivotArea>
    </format>
    <format dxfId="7790">
      <pivotArea field="0" dataOnly="0" labelOnly="1" grandRow="1" outline="0" axis="axisRow" fieldPosition="0">
        <references count="1">
          <reference field="4294967294" count="1" selected="0">
            <x v="7"/>
          </reference>
        </references>
      </pivotArea>
    </format>
    <format dxfId="7789">
      <pivotArea field="0" dataOnly="0" labelOnly="1" grandRow="1" outline="0" axis="axisRow" fieldPosition="0">
        <references count="1">
          <reference field="4294967294" count="1" selected="0">
            <x v="8"/>
          </reference>
        </references>
      </pivotArea>
    </format>
    <format dxfId="7788">
      <pivotArea field="0" dataOnly="0" labelOnly="1" grandRow="1" outline="0" axis="axisRow" fieldPosition="0">
        <references count="1">
          <reference field="4294967294" count="1" selected="0">
            <x v="9"/>
          </reference>
        </references>
      </pivotArea>
    </format>
    <format dxfId="7787">
      <pivotArea field="0" dataOnly="0" labelOnly="1" grandRow="1" outline="0" axis="axisRow" fieldPosition="0">
        <references count="1">
          <reference field="4294967294" count="1" selected="0">
            <x v="10"/>
          </reference>
        </references>
      </pivotArea>
    </format>
    <format dxfId="7786">
      <pivotArea field="0" dataOnly="0" labelOnly="1" grandRow="1" outline="0" axis="axisRow" fieldPosition="0">
        <references count="1">
          <reference field="4294967294" count="1" selected="0">
            <x v="11"/>
          </reference>
        </references>
      </pivotArea>
    </format>
    <format dxfId="7785">
      <pivotArea field="0" dataOnly="0" labelOnly="1" grandRow="1" outline="0" axis="axisRow" fieldPosition="0">
        <references count="1">
          <reference field="4294967294" count="1" selected="0">
            <x v="12"/>
          </reference>
        </references>
      </pivotArea>
    </format>
    <format dxfId="7784">
      <pivotArea field="0" dataOnly="0" labelOnly="1" grandRow="1" outline="0" axis="axisRow" fieldPosition="0">
        <references count="1">
          <reference field="4294967294" count="1" selected="0">
            <x v="13"/>
          </reference>
        </references>
      </pivotArea>
    </format>
    <format dxfId="7783">
      <pivotArea field="0" dataOnly="0" labelOnly="1" grandRow="1" outline="0" axis="axisRow" fieldPosition="0">
        <references count="1">
          <reference field="4294967294" count="1" selected="0">
            <x v="14"/>
          </reference>
        </references>
      </pivotArea>
    </format>
    <format dxfId="7782">
      <pivotArea field="0" dataOnly="0" labelOnly="1" grandRow="1" outline="0" axis="axisRow" fieldPosition="0">
        <references count="1">
          <reference field="4294967294" count="1" selected="0">
            <x v="15"/>
          </reference>
        </references>
      </pivotArea>
    </format>
    <format dxfId="7781">
      <pivotArea field="0" dataOnly="0" labelOnly="1" grandRow="1" outline="0" axis="axisRow" fieldPosition="0">
        <references count="1">
          <reference field="4294967294" count="1" selected="0">
            <x v="16"/>
          </reference>
        </references>
      </pivotArea>
    </format>
    <format dxfId="7780">
      <pivotArea field="0" dataOnly="0" labelOnly="1" grandRow="1" outline="0" axis="axisRow" fieldPosition="0">
        <references count="1">
          <reference field="4294967294" count="1" selected="0">
            <x v="17"/>
          </reference>
        </references>
      </pivotArea>
    </format>
    <format dxfId="7779">
      <pivotArea field="0" dataOnly="0" labelOnly="1" grandRow="1" outline="0" axis="axisRow" fieldPosition="0">
        <references count="1">
          <reference field="4294967294" count="1" selected="0">
            <x v="18"/>
          </reference>
        </references>
      </pivotArea>
    </format>
    <format dxfId="7778">
      <pivotArea field="0" dataOnly="0" labelOnly="1" grandRow="1" outline="0" axis="axisRow" fieldPosition="0">
        <references count="1">
          <reference field="4294967294" count="1" selected="0">
            <x v="19"/>
          </reference>
        </references>
      </pivotArea>
    </format>
    <format dxfId="7777">
      <pivotArea field="0" dataOnly="0" labelOnly="1" grandRow="1" outline="0" axis="axisRow" fieldPosition="0">
        <references count="1">
          <reference field="4294967294" count="1" selected="0">
            <x v="20"/>
          </reference>
        </references>
      </pivotArea>
    </format>
    <format dxfId="7776">
      <pivotArea field="0" dataOnly="0" labelOnly="1" grandRow="1" outline="0" axis="axisRow" fieldPosition="0">
        <references count="1">
          <reference field="4294967294" count="1" selected="0">
            <x v="21"/>
          </reference>
        </references>
      </pivotArea>
    </format>
    <format dxfId="7775">
      <pivotArea field="0" dataOnly="0" labelOnly="1" grandRow="1" outline="0" axis="axisRow" fieldPosition="0">
        <references count="1">
          <reference field="4294967294" count="1" selected="0">
            <x v="22"/>
          </reference>
        </references>
      </pivotArea>
    </format>
    <format dxfId="7774">
      <pivotArea field="0" dataOnly="0" labelOnly="1" grandRow="1" outline="0" axis="axisRow" fieldPosition="0">
        <references count="1">
          <reference field="4294967294" count="1" selected="0">
            <x v="23"/>
          </reference>
        </references>
      </pivotArea>
    </format>
    <format dxfId="7773">
      <pivotArea field="0" dataOnly="0" labelOnly="1" grandRow="1" outline="0" axis="axisRow" fieldPosition="0">
        <references count="1">
          <reference field="4294967294" count="1" selected="0">
            <x v="24"/>
          </reference>
        </references>
      </pivotArea>
    </format>
    <format dxfId="7772">
      <pivotArea field="0" dataOnly="0" labelOnly="1" grandRow="1" outline="0" axis="axisRow" fieldPosition="0">
        <references count="1">
          <reference field="4294967294" count="1" selected="0">
            <x v="25"/>
          </reference>
        </references>
      </pivotArea>
    </format>
    <format dxfId="7771">
      <pivotArea field="0" dataOnly="0" labelOnly="1" grandRow="1" outline="0" axis="axisRow" fieldPosition="0">
        <references count="1">
          <reference field="4294967294" count="1" selected="0">
            <x v="26"/>
          </reference>
        </references>
      </pivotArea>
    </format>
    <format dxfId="7770">
      <pivotArea field="0" dataOnly="0" labelOnly="1" grandRow="1" outline="0" axis="axisRow" fieldPosition="0">
        <references count="1">
          <reference field="4294967294" count="1" selected="0">
            <x v="27"/>
          </reference>
        </references>
      </pivotArea>
    </format>
    <format dxfId="7769">
      <pivotArea field="0" dataOnly="0" labelOnly="1" grandRow="1" outline="0" axis="axisRow" fieldPosition="0">
        <references count="1">
          <reference field="4294967294" count="1" selected="0">
            <x v="28"/>
          </reference>
        </references>
      </pivotArea>
    </format>
    <format dxfId="7768">
      <pivotArea field="0" dataOnly="0" labelOnly="1" grandRow="1" outline="0" axis="axisRow" fieldPosition="0">
        <references count="1">
          <reference field="4294967294" count="1" selected="0">
            <x v="29"/>
          </reference>
        </references>
      </pivotArea>
    </format>
    <format dxfId="7767">
      <pivotArea field="0" dataOnly="0" labelOnly="1" grandRow="1" outline="0" axis="axisRow" fieldPosition="0">
        <references count="1">
          <reference field="4294967294" count="1" selected="0">
            <x v="30"/>
          </reference>
        </references>
      </pivotArea>
    </format>
    <format dxfId="7766">
      <pivotArea field="0" dataOnly="0" labelOnly="1" grandRow="1" outline="0" axis="axisRow" fieldPosition="0">
        <references count="1">
          <reference field="4294967294" count="1" selected="0">
            <x v="31"/>
          </reference>
        </references>
      </pivotArea>
    </format>
    <format dxfId="7765">
      <pivotArea field="0" dataOnly="0" labelOnly="1" grandRow="1" outline="0" axis="axisRow" fieldPosition="0">
        <references count="1">
          <reference field="4294967294" count="1" selected="0">
            <x v="32"/>
          </reference>
        </references>
      </pivotArea>
    </format>
    <format dxfId="7764">
      <pivotArea field="0" dataOnly="0" labelOnly="1" grandRow="1" outline="0" axis="axisRow" fieldPosition="0">
        <references count="1">
          <reference field="4294967294" count="1" selected="0">
            <x v="33"/>
          </reference>
        </references>
      </pivotArea>
    </format>
    <format dxfId="7763">
      <pivotArea field="0" dataOnly="0" labelOnly="1" grandRow="1" outline="0" axis="axisRow" fieldPosition="0">
        <references count="1">
          <reference field="4294967294" count="1" selected="0">
            <x v="34"/>
          </reference>
        </references>
      </pivotArea>
    </format>
    <format dxfId="7762">
      <pivotArea field="0" dataOnly="0" labelOnly="1" grandRow="1" outline="0" axis="axisRow" fieldPosition="0">
        <references count="1">
          <reference field="4294967294" count="1" selected="0">
            <x v="0"/>
          </reference>
        </references>
      </pivotArea>
    </format>
    <format dxfId="7761">
      <pivotArea field="0" dataOnly="0" labelOnly="1" grandRow="1" outline="0" axis="axisRow" fieldPosition="0">
        <references count="1">
          <reference field="4294967294" count="1" selected="0">
            <x v="1"/>
          </reference>
        </references>
      </pivotArea>
    </format>
    <format dxfId="7760">
      <pivotArea field="0" dataOnly="0" labelOnly="1" grandRow="1" outline="0" axis="axisRow" fieldPosition="0">
        <references count="1">
          <reference field="4294967294" count="1" selected="0">
            <x v="2"/>
          </reference>
        </references>
      </pivotArea>
    </format>
    <format dxfId="7759">
      <pivotArea field="0" dataOnly="0" labelOnly="1" grandRow="1" outline="0" axis="axisRow" fieldPosition="0">
        <references count="1">
          <reference field="4294967294" count="1" selected="0">
            <x v="3"/>
          </reference>
        </references>
      </pivotArea>
    </format>
    <format dxfId="7758">
      <pivotArea field="0" dataOnly="0" labelOnly="1" grandRow="1" outline="0" axis="axisRow" fieldPosition="0">
        <references count="1">
          <reference field="4294967294" count="1" selected="0">
            <x v="4"/>
          </reference>
        </references>
      </pivotArea>
    </format>
    <format dxfId="7757">
      <pivotArea field="0" dataOnly="0" labelOnly="1" grandRow="1" outline="0" axis="axisRow" fieldPosition="0">
        <references count="1">
          <reference field="4294967294" count="1" selected="0">
            <x v="5"/>
          </reference>
        </references>
      </pivotArea>
    </format>
    <format dxfId="7756">
      <pivotArea field="0" dataOnly="0" labelOnly="1" grandRow="1" outline="0" axis="axisRow" fieldPosition="0">
        <references count="1">
          <reference field="4294967294" count="1" selected="0">
            <x v="6"/>
          </reference>
        </references>
      </pivotArea>
    </format>
    <format dxfId="7755">
      <pivotArea field="0" dataOnly="0" labelOnly="1" grandRow="1" outline="0" axis="axisRow" fieldPosition="0">
        <references count="1">
          <reference field="4294967294" count="1" selected="0">
            <x v="7"/>
          </reference>
        </references>
      </pivotArea>
    </format>
    <format dxfId="7754">
      <pivotArea field="0" dataOnly="0" labelOnly="1" grandRow="1" outline="0" axis="axisRow" fieldPosition="0">
        <references count="1">
          <reference field="4294967294" count="1" selected="0">
            <x v="8"/>
          </reference>
        </references>
      </pivotArea>
    </format>
    <format dxfId="7753">
      <pivotArea field="0" dataOnly="0" labelOnly="1" grandRow="1" outline="0" axis="axisRow" fieldPosition="0">
        <references count="1">
          <reference field="4294967294" count="1" selected="0">
            <x v="9"/>
          </reference>
        </references>
      </pivotArea>
    </format>
    <format dxfId="7752">
      <pivotArea field="0" dataOnly="0" labelOnly="1" grandRow="1" outline="0" axis="axisRow" fieldPosition="0">
        <references count="1">
          <reference field="4294967294" count="1" selected="0">
            <x v="10"/>
          </reference>
        </references>
      </pivotArea>
    </format>
    <format dxfId="7751">
      <pivotArea field="0" dataOnly="0" labelOnly="1" grandRow="1" outline="0" axis="axisRow" fieldPosition="0">
        <references count="1">
          <reference field="4294967294" count="1" selected="0">
            <x v="11"/>
          </reference>
        </references>
      </pivotArea>
    </format>
    <format dxfId="7750">
      <pivotArea field="0" dataOnly="0" labelOnly="1" grandRow="1" outline="0" axis="axisRow" fieldPosition="0">
        <references count="1">
          <reference field="4294967294" count="1" selected="0">
            <x v="12"/>
          </reference>
        </references>
      </pivotArea>
    </format>
    <format dxfId="7749">
      <pivotArea field="0" dataOnly="0" labelOnly="1" grandRow="1" outline="0" axis="axisRow" fieldPosition="0">
        <references count="1">
          <reference field="4294967294" count="1" selected="0">
            <x v="13"/>
          </reference>
        </references>
      </pivotArea>
    </format>
    <format dxfId="7748">
      <pivotArea field="0" dataOnly="0" labelOnly="1" grandRow="1" outline="0" axis="axisRow" fieldPosition="0">
        <references count="1">
          <reference field="4294967294" count="1" selected="0">
            <x v="14"/>
          </reference>
        </references>
      </pivotArea>
    </format>
    <format dxfId="7747">
      <pivotArea field="0" dataOnly="0" labelOnly="1" grandRow="1" outline="0" axis="axisRow" fieldPosition="0">
        <references count="1">
          <reference field="4294967294" count="1" selected="0">
            <x v="15"/>
          </reference>
        </references>
      </pivotArea>
    </format>
    <format dxfId="7746">
      <pivotArea field="0" dataOnly="0" labelOnly="1" grandRow="1" outline="0" axis="axisRow" fieldPosition="0">
        <references count="1">
          <reference field="4294967294" count="1" selected="0">
            <x v="16"/>
          </reference>
        </references>
      </pivotArea>
    </format>
    <format dxfId="7745">
      <pivotArea field="0" dataOnly="0" labelOnly="1" grandRow="1" outline="0" axis="axisRow" fieldPosition="0">
        <references count="1">
          <reference field="4294967294" count="1" selected="0">
            <x v="17"/>
          </reference>
        </references>
      </pivotArea>
    </format>
    <format dxfId="7744">
      <pivotArea field="0" dataOnly="0" labelOnly="1" grandRow="1" outline="0" axis="axisRow" fieldPosition="0">
        <references count="1">
          <reference field="4294967294" count="1" selected="0">
            <x v="18"/>
          </reference>
        </references>
      </pivotArea>
    </format>
    <format dxfId="7743">
      <pivotArea field="0" dataOnly="0" labelOnly="1" grandRow="1" outline="0" axis="axisRow" fieldPosition="0">
        <references count="1">
          <reference field="4294967294" count="1" selected="0">
            <x v="19"/>
          </reference>
        </references>
      </pivotArea>
    </format>
    <format dxfId="7742">
      <pivotArea field="0" dataOnly="0" labelOnly="1" grandRow="1" outline="0" axis="axisRow" fieldPosition="0">
        <references count="1">
          <reference field="4294967294" count="1" selected="0">
            <x v="20"/>
          </reference>
        </references>
      </pivotArea>
    </format>
    <format dxfId="7741">
      <pivotArea field="0" dataOnly="0" labelOnly="1" grandRow="1" outline="0" axis="axisRow" fieldPosition="0">
        <references count="1">
          <reference field="4294967294" count="1" selected="0">
            <x v="21"/>
          </reference>
        </references>
      </pivotArea>
    </format>
    <format dxfId="7740">
      <pivotArea field="0" dataOnly="0" labelOnly="1" grandRow="1" outline="0" axis="axisRow" fieldPosition="0">
        <references count="1">
          <reference field="4294967294" count="1" selected="0">
            <x v="22"/>
          </reference>
        </references>
      </pivotArea>
    </format>
    <format dxfId="7739">
      <pivotArea field="0" dataOnly="0" labelOnly="1" grandRow="1" outline="0" axis="axisRow" fieldPosition="0">
        <references count="1">
          <reference field="4294967294" count="1" selected="0">
            <x v="23"/>
          </reference>
        </references>
      </pivotArea>
    </format>
    <format dxfId="7738">
      <pivotArea field="0" dataOnly="0" labelOnly="1" grandRow="1" outline="0" axis="axisRow" fieldPosition="0">
        <references count="1">
          <reference field="4294967294" count="1" selected="0">
            <x v="24"/>
          </reference>
        </references>
      </pivotArea>
    </format>
    <format dxfId="7737">
      <pivotArea field="0" dataOnly="0" labelOnly="1" grandRow="1" outline="0" axis="axisRow" fieldPosition="0">
        <references count="1">
          <reference field="4294967294" count="1" selected="0">
            <x v="25"/>
          </reference>
        </references>
      </pivotArea>
    </format>
    <format dxfId="7736">
      <pivotArea field="0" dataOnly="0" labelOnly="1" grandRow="1" outline="0" axis="axisRow" fieldPosition="0">
        <references count="1">
          <reference field="4294967294" count="1" selected="0">
            <x v="26"/>
          </reference>
        </references>
      </pivotArea>
    </format>
    <format dxfId="7735">
      <pivotArea field="0" dataOnly="0" labelOnly="1" grandRow="1" outline="0" axis="axisRow" fieldPosition="0">
        <references count="1">
          <reference field="4294967294" count="1" selected="0">
            <x v="27"/>
          </reference>
        </references>
      </pivotArea>
    </format>
    <format dxfId="7734">
      <pivotArea field="0" dataOnly="0" labelOnly="1" grandRow="1" outline="0" axis="axisRow" fieldPosition="0">
        <references count="1">
          <reference field="4294967294" count="1" selected="0">
            <x v="28"/>
          </reference>
        </references>
      </pivotArea>
    </format>
    <format dxfId="7733">
      <pivotArea field="0" dataOnly="0" labelOnly="1" grandRow="1" outline="0" axis="axisRow" fieldPosition="0">
        <references count="1">
          <reference field="4294967294" count="1" selected="0">
            <x v="29"/>
          </reference>
        </references>
      </pivotArea>
    </format>
    <format dxfId="7732">
      <pivotArea field="0" dataOnly="0" labelOnly="1" grandRow="1" outline="0" axis="axisRow" fieldPosition="0">
        <references count="1">
          <reference field="4294967294" count="1" selected="0">
            <x v="30"/>
          </reference>
        </references>
      </pivotArea>
    </format>
    <format dxfId="7731">
      <pivotArea field="0" dataOnly="0" labelOnly="1" grandRow="1" outline="0" axis="axisRow" fieldPosition="0">
        <references count="1">
          <reference field="4294967294" count="1" selected="0">
            <x v="31"/>
          </reference>
        </references>
      </pivotArea>
    </format>
    <format dxfId="7730">
      <pivotArea field="0" dataOnly="0" labelOnly="1" grandRow="1" outline="0" axis="axisRow" fieldPosition="0">
        <references count="1">
          <reference field="4294967294" count="1" selected="0">
            <x v="32"/>
          </reference>
        </references>
      </pivotArea>
    </format>
    <format dxfId="7729">
      <pivotArea field="0" dataOnly="0" labelOnly="1" grandRow="1" outline="0" axis="axisRow" fieldPosition="0">
        <references count="1">
          <reference field="4294967294" count="1" selected="0">
            <x v="33"/>
          </reference>
        </references>
      </pivotArea>
    </format>
    <format dxfId="7728">
      <pivotArea field="0" dataOnly="0" labelOnly="1" grandRow="1" outline="0" axis="axisRow" fieldPosition="0">
        <references count="1">
          <reference field="4294967294" count="1" selected="0">
            <x v="34"/>
          </reference>
        </references>
      </pivotArea>
    </format>
    <format dxfId="7727">
      <pivotArea field="0" dataOnly="0" labelOnly="1" grandRow="1" outline="0" axis="axisRow" fieldPosition="0">
        <references count="1">
          <reference field="4294967294" count="1" selected="0">
            <x v="35"/>
          </reference>
        </references>
      </pivotArea>
    </format>
    <format dxfId="7726">
      <pivotArea field="0" dataOnly="0" labelOnly="1" grandRow="1" outline="0" axis="axisRow" fieldPosition="0">
        <references count="1">
          <reference field="4294967294" count="1" selected="0">
            <x v="0"/>
          </reference>
        </references>
      </pivotArea>
    </format>
    <format dxfId="7725">
      <pivotArea field="0" dataOnly="0" labelOnly="1" grandRow="1" outline="0" axis="axisRow" fieldPosition="0">
        <references count="1">
          <reference field="4294967294" count="1" selected="0">
            <x v="1"/>
          </reference>
        </references>
      </pivotArea>
    </format>
    <format dxfId="7724">
      <pivotArea field="0" dataOnly="0" labelOnly="1" grandRow="1" outline="0" axis="axisRow" fieldPosition="0">
        <references count="1">
          <reference field="4294967294" count="1" selected="0">
            <x v="2"/>
          </reference>
        </references>
      </pivotArea>
    </format>
    <format dxfId="7723">
      <pivotArea field="0" dataOnly="0" labelOnly="1" grandRow="1" outline="0" axis="axisRow" fieldPosition="0">
        <references count="1">
          <reference field="4294967294" count="1" selected="0">
            <x v="3"/>
          </reference>
        </references>
      </pivotArea>
    </format>
    <format dxfId="7722">
      <pivotArea field="0" dataOnly="0" labelOnly="1" grandRow="1" outline="0" axis="axisRow" fieldPosition="0">
        <references count="1">
          <reference field="4294967294" count="1" selected="0">
            <x v="4"/>
          </reference>
        </references>
      </pivotArea>
    </format>
    <format dxfId="7721">
      <pivotArea field="0" dataOnly="0" labelOnly="1" grandRow="1" outline="0" axis="axisRow" fieldPosition="0">
        <references count="1">
          <reference field="4294967294" count="1" selected="0">
            <x v="5"/>
          </reference>
        </references>
      </pivotArea>
    </format>
    <format dxfId="7720">
      <pivotArea field="0" dataOnly="0" labelOnly="1" grandRow="1" outline="0" axis="axisRow" fieldPosition="0">
        <references count="1">
          <reference field="4294967294" count="1" selected="0">
            <x v="6"/>
          </reference>
        </references>
      </pivotArea>
    </format>
    <format dxfId="7719">
      <pivotArea field="0" dataOnly="0" labelOnly="1" grandRow="1" outline="0" axis="axisRow" fieldPosition="0">
        <references count="1">
          <reference field="4294967294" count="1" selected="0">
            <x v="7"/>
          </reference>
        </references>
      </pivotArea>
    </format>
    <format dxfId="7718">
      <pivotArea field="0" dataOnly="0" labelOnly="1" grandRow="1" outline="0" axis="axisRow" fieldPosition="0">
        <references count="1">
          <reference field="4294967294" count="1" selected="0">
            <x v="8"/>
          </reference>
        </references>
      </pivotArea>
    </format>
    <format dxfId="7717">
      <pivotArea field="0" dataOnly="0" labelOnly="1" grandRow="1" outline="0" axis="axisRow" fieldPosition="0">
        <references count="1">
          <reference field="4294967294" count="1" selected="0">
            <x v="9"/>
          </reference>
        </references>
      </pivotArea>
    </format>
    <format dxfId="7716">
      <pivotArea field="0" dataOnly="0" labelOnly="1" grandRow="1" outline="0" axis="axisRow" fieldPosition="0">
        <references count="1">
          <reference field="4294967294" count="1" selected="0">
            <x v="10"/>
          </reference>
        </references>
      </pivotArea>
    </format>
    <format dxfId="7715">
      <pivotArea field="0" dataOnly="0" labelOnly="1" grandRow="1" outline="0" axis="axisRow" fieldPosition="0">
        <references count="1">
          <reference field="4294967294" count="1" selected="0">
            <x v="11"/>
          </reference>
        </references>
      </pivotArea>
    </format>
    <format dxfId="7714">
      <pivotArea field="0" dataOnly="0" labelOnly="1" grandRow="1" outline="0" axis="axisRow" fieldPosition="0">
        <references count="1">
          <reference field="4294967294" count="1" selected="0">
            <x v="12"/>
          </reference>
        </references>
      </pivotArea>
    </format>
    <format dxfId="7713">
      <pivotArea field="0" dataOnly="0" labelOnly="1" grandRow="1" outline="0" axis="axisRow" fieldPosition="0">
        <references count="1">
          <reference field="4294967294" count="1" selected="0">
            <x v="13"/>
          </reference>
        </references>
      </pivotArea>
    </format>
    <format dxfId="7712">
      <pivotArea field="0" dataOnly="0" labelOnly="1" grandRow="1" outline="0" axis="axisRow" fieldPosition="0">
        <references count="1">
          <reference field="4294967294" count="1" selected="0">
            <x v="14"/>
          </reference>
        </references>
      </pivotArea>
    </format>
    <format dxfId="7711">
      <pivotArea field="0" dataOnly="0" labelOnly="1" grandRow="1" outline="0" axis="axisRow" fieldPosition="0">
        <references count="1">
          <reference field="4294967294" count="1" selected="0">
            <x v="15"/>
          </reference>
        </references>
      </pivotArea>
    </format>
    <format dxfId="7710">
      <pivotArea field="0" dataOnly="0" labelOnly="1" grandRow="1" outline="0" axis="axisRow" fieldPosition="0">
        <references count="1">
          <reference field="4294967294" count="1" selected="0">
            <x v="16"/>
          </reference>
        </references>
      </pivotArea>
    </format>
    <format dxfId="7709">
      <pivotArea field="0" dataOnly="0" labelOnly="1" grandRow="1" outline="0" axis="axisRow" fieldPosition="0">
        <references count="1">
          <reference field="4294967294" count="1" selected="0">
            <x v="17"/>
          </reference>
        </references>
      </pivotArea>
    </format>
    <format dxfId="7708">
      <pivotArea field="0" dataOnly="0" labelOnly="1" grandRow="1" outline="0" axis="axisRow" fieldPosition="0">
        <references count="1">
          <reference field="4294967294" count="1" selected="0">
            <x v="18"/>
          </reference>
        </references>
      </pivotArea>
    </format>
    <format dxfId="7707">
      <pivotArea field="0" dataOnly="0" labelOnly="1" grandRow="1" outline="0" axis="axisRow" fieldPosition="0">
        <references count="1">
          <reference field="4294967294" count="1" selected="0">
            <x v="19"/>
          </reference>
        </references>
      </pivotArea>
    </format>
    <format dxfId="7706">
      <pivotArea field="0" dataOnly="0" labelOnly="1" grandRow="1" outline="0" axis="axisRow" fieldPosition="0">
        <references count="1">
          <reference field="4294967294" count="1" selected="0">
            <x v="20"/>
          </reference>
        </references>
      </pivotArea>
    </format>
    <format dxfId="7705">
      <pivotArea field="0" dataOnly="0" labelOnly="1" grandRow="1" outline="0" axis="axisRow" fieldPosition="0">
        <references count="1">
          <reference field="4294967294" count="1" selected="0">
            <x v="21"/>
          </reference>
        </references>
      </pivotArea>
    </format>
    <format dxfId="7704">
      <pivotArea field="0" dataOnly="0" labelOnly="1" grandRow="1" outline="0" axis="axisRow" fieldPosition="0">
        <references count="1">
          <reference field="4294967294" count="1" selected="0">
            <x v="22"/>
          </reference>
        </references>
      </pivotArea>
    </format>
    <format dxfId="7703">
      <pivotArea field="0" dataOnly="0" labelOnly="1" grandRow="1" outline="0" axis="axisRow" fieldPosition="0">
        <references count="1">
          <reference field="4294967294" count="1" selected="0">
            <x v="23"/>
          </reference>
        </references>
      </pivotArea>
    </format>
    <format dxfId="7702">
      <pivotArea field="0" dataOnly="0" labelOnly="1" grandRow="1" outline="0" axis="axisRow" fieldPosition="0">
        <references count="1">
          <reference field="4294967294" count="1" selected="0">
            <x v="24"/>
          </reference>
        </references>
      </pivotArea>
    </format>
    <format dxfId="7701">
      <pivotArea field="0" dataOnly="0" labelOnly="1" grandRow="1" outline="0" axis="axisRow" fieldPosition="0">
        <references count="1">
          <reference field="4294967294" count="1" selected="0">
            <x v="25"/>
          </reference>
        </references>
      </pivotArea>
    </format>
    <format dxfId="7700">
      <pivotArea field="0" dataOnly="0" labelOnly="1" grandRow="1" outline="0" axis="axisRow" fieldPosition="0">
        <references count="1">
          <reference field="4294967294" count="1" selected="0">
            <x v="26"/>
          </reference>
        </references>
      </pivotArea>
    </format>
    <format dxfId="7699">
      <pivotArea field="0" dataOnly="0" labelOnly="1" grandRow="1" outline="0" axis="axisRow" fieldPosition="0">
        <references count="1">
          <reference field="4294967294" count="1" selected="0">
            <x v="27"/>
          </reference>
        </references>
      </pivotArea>
    </format>
    <format dxfId="7698">
      <pivotArea field="0" dataOnly="0" labelOnly="1" grandRow="1" outline="0" axis="axisRow" fieldPosition="0">
        <references count="1">
          <reference field="4294967294" count="1" selected="0">
            <x v="28"/>
          </reference>
        </references>
      </pivotArea>
    </format>
    <format dxfId="7697">
      <pivotArea field="0" dataOnly="0" labelOnly="1" grandRow="1" outline="0" axis="axisRow" fieldPosition="0">
        <references count="1">
          <reference field="4294967294" count="1" selected="0">
            <x v="29"/>
          </reference>
        </references>
      </pivotArea>
    </format>
    <format dxfId="7696">
      <pivotArea field="0" dataOnly="0" labelOnly="1" grandRow="1" outline="0" axis="axisRow" fieldPosition="0">
        <references count="1">
          <reference field="4294967294" count="1" selected="0">
            <x v="30"/>
          </reference>
        </references>
      </pivotArea>
    </format>
    <format dxfId="7695">
      <pivotArea field="0" dataOnly="0" labelOnly="1" grandRow="1" outline="0" axis="axisRow" fieldPosition="0">
        <references count="1">
          <reference field="4294967294" count="1" selected="0">
            <x v="31"/>
          </reference>
        </references>
      </pivotArea>
    </format>
    <format dxfId="7694">
      <pivotArea field="0" dataOnly="0" labelOnly="1" grandRow="1" outline="0" axis="axisRow" fieldPosition="0">
        <references count="1">
          <reference field="4294967294" count="1" selected="0">
            <x v="32"/>
          </reference>
        </references>
      </pivotArea>
    </format>
    <format dxfId="7693">
      <pivotArea field="0" dataOnly="0" labelOnly="1" grandRow="1" outline="0" axis="axisRow" fieldPosition="0">
        <references count="1">
          <reference field="4294967294" count="1" selected="0">
            <x v="33"/>
          </reference>
        </references>
      </pivotArea>
    </format>
    <format dxfId="7692">
      <pivotArea field="0" dataOnly="0" labelOnly="1" grandRow="1" outline="0" axis="axisRow" fieldPosition="0">
        <references count="1">
          <reference field="4294967294" count="1" selected="0">
            <x v="34"/>
          </reference>
        </references>
      </pivotArea>
    </format>
    <format dxfId="7691">
      <pivotArea field="0" dataOnly="0" labelOnly="1" grandRow="1" outline="0" axis="axisRow" fieldPosition="0">
        <references count="1">
          <reference field="4294967294" count="1" selected="0">
            <x v="35"/>
          </reference>
        </references>
      </pivotArea>
    </format>
    <format dxfId="7690">
      <pivotArea field="0" dataOnly="0" labelOnly="1" grandRow="1" outline="0" axis="axisRow" fieldPosition="0">
        <references count="1">
          <reference field="4294967294" count="1" selected="0">
            <x v="0"/>
          </reference>
        </references>
      </pivotArea>
    </format>
    <format dxfId="7689">
      <pivotArea field="0" dataOnly="0" labelOnly="1" grandRow="1" outline="0" axis="axisRow" fieldPosition="0">
        <references count="1">
          <reference field="4294967294" count="1" selected="0">
            <x v="1"/>
          </reference>
        </references>
      </pivotArea>
    </format>
    <format dxfId="7688">
      <pivotArea field="0" dataOnly="0" labelOnly="1" grandRow="1" outline="0" axis="axisRow" fieldPosition="0">
        <references count="1">
          <reference field="4294967294" count="1" selected="0">
            <x v="2"/>
          </reference>
        </references>
      </pivotArea>
    </format>
    <format dxfId="7687">
      <pivotArea field="0" dataOnly="0" labelOnly="1" grandRow="1" outline="0" axis="axisRow" fieldPosition="0">
        <references count="1">
          <reference field="4294967294" count="1" selected="0">
            <x v="3"/>
          </reference>
        </references>
      </pivotArea>
    </format>
    <format dxfId="7686">
      <pivotArea field="0" dataOnly="0" labelOnly="1" grandRow="1" outline="0" axis="axisRow" fieldPosition="0">
        <references count="1">
          <reference field="4294967294" count="1" selected="0">
            <x v="4"/>
          </reference>
        </references>
      </pivotArea>
    </format>
    <format dxfId="7685">
      <pivotArea field="0" dataOnly="0" labelOnly="1" grandRow="1" outline="0" axis="axisRow" fieldPosition="0">
        <references count="1">
          <reference field="4294967294" count="1" selected="0">
            <x v="5"/>
          </reference>
        </references>
      </pivotArea>
    </format>
    <format dxfId="7684">
      <pivotArea field="0" dataOnly="0" labelOnly="1" grandRow="1" outline="0" axis="axisRow" fieldPosition="0">
        <references count="1">
          <reference field="4294967294" count="1" selected="0">
            <x v="6"/>
          </reference>
        </references>
      </pivotArea>
    </format>
    <format dxfId="7683">
      <pivotArea field="0" dataOnly="0" labelOnly="1" grandRow="1" outline="0" axis="axisRow" fieldPosition="0">
        <references count="1">
          <reference field="4294967294" count="1" selected="0">
            <x v="7"/>
          </reference>
        </references>
      </pivotArea>
    </format>
    <format dxfId="7682">
      <pivotArea field="0" dataOnly="0" labelOnly="1" grandRow="1" outline="0" axis="axisRow" fieldPosition="0">
        <references count="1">
          <reference field="4294967294" count="1" selected="0">
            <x v="8"/>
          </reference>
        </references>
      </pivotArea>
    </format>
    <format dxfId="7681">
      <pivotArea field="0" dataOnly="0" labelOnly="1" grandRow="1" outline="0" axis="axisRow" fieldPosition="0">
        <references count="1">
          <reference field="4294967294" count="1" selected="0">
            <x v="9"/>
          </reference>
        </references>
      </pivotArea>
    </format>
    <format dxfId="7680">
      <pivotArea field="0" dataOnly="0" labelOnly="1" grandRow="1" outline="0" axis="axisRow" fieldPosition="0">
        <references count="1">
          <reference field="4294967294" count="1" selected="0">
            <x v="10"/>
          </reference>
        </references>
      </pivotArea>
    </format>
    <format dxfId="7679">
      <pivotArea field="0" dataOnly="0" labelOnly="1" grandRow="1" outline="0" axis="axisRow" fieldPosition="0">
        <references count="1">
          <reference field="4294967294" count="1" selected="0">
            <x v="11"/>
          </reference>
        </references>
      </pivotArea>
    </format>
    <format dxfId="7678">
      <pivotArea field="0" dataOnly="0" labelOnly="1" grandRow="1" outline="0" axis="axisRow" fieldPosition="0">
        <references count="1">
          <reference field="4294967294" count="1" selected="0">
            <x v="12"/>
          </reference>
        </references>
      </pivotArea>
    </format>
    <format dxfId="7677">
      <pivotArea field="0" dataOnly="0" labelOnly="1" grandRow="1" outline="0" axis="axisRow" fieldPosition="0">
        <references count="1">
          <reference field="4294967294" count="1" selected="0">
            <x v="13"/>
          </reference>
        </references>
      </pivotArea>
    </format>
    <format dxfId="7676">
      <pivotArea field="0" dataOnly="0" labelOnly="1" grandRow="1" outline="0" axis="axisRow" fieldPosition="0">
        <references count="1">
          <reference field="4294967294" count="1" selected="0">
            <x v="14"/>
          </reference>
        </references>
      </pivotArea>
    </format>
    <format dxfId="7675">
      <pivotArea field="0" dataOnly="0" labelOnly="1" grandRow="1" outline="0" axis="axisRow" fieldPosition="0">
        <references count="1">
          <reference field="4294967294" count="1" selected="0">
            <x v="15"/>
          </reference>
        </references>
      </pivotArea>
    </format>
    <format dxfId="7674">
      <pivotArea field="0" dataOnly="0" labelOnly="1" grandRow="1" outline="0" axis="axisRow" fieldPosition="0">
        <references count="1">
          <reference field="4294967294" count="1" selected="0">
            <x v="16"/>
          </reference>
        </references>
      </pivotArea>
    </format>
    <format dxfId="7673">
      <pivotArea field="0" dataOnly="0" labelOnly="1" grandRow="1" outline="0" axis="axisRow" fieldPosition="0">
        <references count="1">
          <reference field="4294967294" count="1" selected="0">
            <x v="17"/>
          </reference>
        </references>
      </pivotArea>
    </format>
    <format dxfId="7672">
      <pivotArea field="0" dataOnly="0" labelOnly="1" grandRow="1" outline="0" axis="axisRow" fieldPosition="0">
        <references count="1">
          <reference field="4294967294" count="1" selected="0">
            <x v="18"/>
          </reference>
        </references>
      </pivotArea>
    </format>
    <format dxfId="7671">
      <pivotArea field="0" dataOnly="0" labelOnly="1" grandRow="1" outline="0" axis="axisRow" fieldPosition="0">
        <references count="1">
          <reference field="4294967294" count="1" selected="0">
            <x v="19"/>
          </reference>
        </references>
      </pivotArea>
    </format>
    <format dxfId="7670">
      <pivotArea field="0" dataOnly="0" labelOnly="1" grandRow="1" outline="0" axis="axisRow" fieldPosition="0">
        <references count="1">
          <reference field="4294967294" count="1" selected="0">
            <x v="20"/>
          </reference>
        </references>
      </pivotArea>
    </format>
    <format dxfId="7669">
      <pivotArea field="0" dataOnly="0" labelOnly="1" grandRow="1" outline="0" axis="axisRow" fieldPosition="0">
        <references count="1">
          <reference field="4294967294" count="1" selected="0">
            <x v="21"/>
          </reference>
        </references>
      </pivotArea>
    </format>
    <format dxfId="7668">
      <pivotArea field="0" dataOnly="0" labelOnly="1" grandRow="1" outline="0" axis="axisRow" fieldPosition="0">
        <references count="1">
          <reference field="4294967294" count="1" selected="0">
            <x v="22"/>
          </reference>
        </references>
      </pivotArea>
    </format>
    <format dxfId="7667">
      <pivotArea field="0" dataOnly="0" labelOnly="1" grandRow="1" outline="0" axis="axisRow" fieldPosition="0">
        <references count="1">
          <reference field="4294967294" count="1" selected="0">
            <x v="23"/>
          </reference>
        </references>
      </pivotArea>
    </format>
    <format dxfId="7666">
      <pivotArea field="0" dataOnly="0" labelOnly="1" grandRow="1" outline="0" axis="axisRow" fieldPosition="0">
        <references count="1">
          <reference field="4294967294" count="1" selected="0">
            <x v="24"/>
          </reference>
        </references>
      </pivotArea>
    </format>
    <format dxfId="7665">
      <pivotArea field="0" dataOnly="0" labelOnly="1" grandRow="1" outline="0" axis="axisRow" fieldPosition="0">
        <references count="1">
          <reference field="4294967294" count="1" selected="0">
            <x v="25"/>
          </reference>
        </references>
      </pivotArea>
    </format>
    <format dxfId="7664">
      <pivotArea field="0" dataOnly="0" labelOnly="1" grandRow="1" outline="0" axis="axisRow" fieldPosition="0">
        <references count="1">
          <reference field="4294967294" count="1" selected="0">
            <x v="26"/>
          </reference>
        </references>
      </pivotArea>
    </format>
    <format dxfId="7663">
      <pivotArea field="0" dataOnly="0" labelOnly="1" grandRow="1" outline="0" axis="axisRow" fieldPosition="0">
        <references count="1">
          <reference field="4294967294" count="1" selected="0">
            <x v="27"/>
          </reference>
        </references>
      </pivotArea>
    </format>
    <format dxfId="7662">
      <pivotArea field="0" dataOnly="0" labelOnly="1" grandRow="1" outline="0" axis="axisRow" fieldPosition="0">
        <references count="1">
          <reference field="4294967294" count="1" selected="0">
            <x v="28"/>
          </reference>
        </references>
      </pivotArea>
    </format>
    <format dxfId="7661">
      <pivotArea field="0" dataOnly="0" labelOnly="1" grandRow="1" outline="0" axis="axisRow" fieldPosition="0">
        <references count="1">
          <reference field="4294967294" count="1" selected="0">
            <x v="29"/>
          </reference>
        </references>
      </pivotArea>
    </format>
    <format dxfId="7660">
      <pivotArea field="0" dataOnly="0" labelOnly="1" grandRow="1" outline="0" axis="axisRow" fieldPosition="0">
        <references count="1">
          <reference field="4294967294" count="1" selected="0">
            <x v="30"/>
          </reference>
        </references>
      </pivotArea>
    </format>
    <format dxfId="7659">
      <pivotArea field="0" dataOnly="0" labelOnly="1" grandRow="1" outline="0" axis="axisRow" fieldPosition="0">
        <references count="1">
          <reference field="4294967294" count="1" selected="0">
            <x v="31"/>
          </reference>
        </references>
      </pivotArea>
    </format>
    <format dxfId="7658">
      <pivotArea field="0" dataOnly="0" labelOnly="1" grandRow="1" outline="0" axis="axisRow" fieldPosition="0">
        <references count="1">
          <reference field="4294967294" count="1" selected="0">
            <x v="32"/>
          </reference>
        </references>
      </pivotArea>
    </format>
    <format dxfId="7657">
      <pivotArea field="0" dataOnly="0" labelOnly="1" grandRow="1" outline="0" axis="axisRow" fieldPosition="0">
        <references count="1">
          <reference field="4294967294" count="1" selected="0">
            <x v="33"/>
          </reference>
        </references>
      </pivotArea>
    </format>
    <format dxfId="7656">
      <pivotArea field="0" dataOnly="0" labelOnly="1" grandRow="1" outline="0" axis="axisRow" fieldPosition="0">
        <references count="1">
          <reference field="4294967294" count="1" selected="0">
            <x v="34"/>
          </reference>
        </references>
      </pivotArea>
    </format>
    <format dxfId="7655">
      <pivotArea field="0" dataOnly="0" labelOnly="1" grandRow="1" outline="0" axis="axisRow" fieldPosition="0">
        <references count="1">
          <reference field="4294967294" count="1" selected="0">
            <x v="35"/>
          </reference>
        </references>
      </pivotArea>
    </format>
    <format dxfId="7654">
      <pivotArea field="0" dataOnly="0" labelOnly="1" grandRow="1" outline="0" axis="axisRow" fieldPosition="0">
        <references count="1">
          <reference field="4294967294" count="1" selected="0">
            <x v="0"/>
          </reference>
        </references>
      </pivotArea>
    </format>
    <format dxfId="7653">
      <pivotArea field="0" dataOnly="0" labelOnly="1" grandRow="1" outline="0" axis="axisRow" fieldPosition="0">
        <references count="1">
          <reference field="4294967294" count="1" selected="0">
            <x v="1"/>
          </reference>
        </references>
      </pivotArea>
    </format>
    <format dxfId="7652">
      <pivotArea field="0" dataOnly="0" labelOnly="1" grandRow="1" outline="0" axis="axisRow" fieldPosition="0">
        <references count="1">
          <reference field="4294967294" count="1" selected="0">
            <x v="2"/>
          </reference>
        </references>
      </pivotArea>
    </format>
    <format dxfId="7651">
      <pivotArea field="0" dataOnly="0" labelOnly="1" grandRow="1" outline="0" axis="axisRow" fieldPosition="0">
        <references count="1">
          <reference field="4294967294" count="1" selected="0">
            <x v="3"/>
          </reference>
        </references>
      </pivotArea>
    </format>
    <format dxfId="7650">
      <pivotArea field="0" dataOnly="0" labelOnly="1" grandRow="1" outline="0" axis="axisRow" fieldPosition="0">
        <references count="1">
          <reference field="4294967294" count="1" selected="0">
            <x v="4"/>
          </reference>
        </references>
      </pivotArea>
    </format>
    <format dxfId="7649">
      <pivotArea field="0" dataOnly="0" labelOnly="1" grandRow="1" outline="0" axis="axisRow" fieldPosition="0">
        <references count="1">
          <reference field="4294967294" count="1" selected="0">
            <x v="5"/>
          </reference>
        </references>
      </pivotArea>
    </format>
    <format dxfId="7648">
      <pivotArea field="0" dataOnly="0" labelOnly="1" grandRow="1" outline="0" axis="axisRow" fieldPosition="0">
        <references count="1">
          <reference field="4294967294" count="1" selected="0">
            <x v="6"/>
          </reference>
        </references>
      </pivotArea>
    </format>
    <format dxfId="7647">
      <pivotArea field="0" dataOnly="0" labelOnly="1" grandRow="1" outline="0" axis="axisRow" fieldPosition="0">
        <references count="1">
          <reference field="4294967294" count="1" selected="0">
            <x v="7"/>
          </reference>
        </references>
      </pivotArea>
    </format>
    <format dxfId="7646">
      <pivotArea field="0" dataOnly="0" labelOnly="1" grandRow="1" outline="0" axis="axisRow" fieldPosition="0">
        <references count="1">
          <reference field="4294967294" count="1" selected="0">
            <x v="8"/>
          </reference>
        </references>
      </pivotArea>
    </format>
    <format dxfId="7645">
      <pivotArea field="0" dataOnly="0" labelOnly="1" grandRow="1" outline="0" axis="axisRow" fieldPosition="0">
        <references count="1">
          <reference field="4294967294" count="1" selected="0">
            <x v="9"/>
          </reference>
        </references>
      </pivotArea>
    </format>
    <format dxfId="7644">
      <pivotArea field="0" dataOnly="0" labelOnly="1" grandRow="1" outline="0" axis="axisRow" fieldPosition="0">
        <references count="1">
          <reference field="4294967294" count="1" selected="0">
            <x v="10"/>
          </reference>
        </references>
      </pivotArea>
    </format>
    <format dxfId="7643">
      <pivotArea field="0" dataOnly="0" labelOnly="1" grandRow="1" outline="0" axis="axisRow" fieldPosition="0">
        <references count="1">
          <reference field="4294967294" count="1" selected="0">
            <x v="11"/>
          </reference>
        </references>
      </pivotArea>
    </format>
    <format dxfId="7642">
      <pivotArea field="0" dataOnly="0" labelOnly="1" grandRow="1" outline="0" axis="axisRow" fieldPosition="0">
        <references count="1">
          <reference field="4294967294" count="1" selected="0">
            <x v="12"/>
          </reference>
        </references>
      </pivotArea>
    </format>
    <format dxfId="7641">
      <pivotArea field="0" dataOnly="0" labelOnly="1" grandRow="1" outline="0" axis="axisRow" fieldPosition="0">
        <references count="1">
          <reference field="4294967294" count="1" selected="0">
            <x v="13"/>
          </reference>
        </references>
      </pivotArea>
    </format>
    <format dxfId="7640">
      <pivotArea field="0" dataOnly="0" labelOnly="1" grandRow="1" outline="0" axis="axisRow" fieldPosition="0">
        <references count="1">
          <reference field="4294967294" count="1" selected="0">
            <x v="14"/>
          </reference>
        </references>
      </pivotArea>
    </format>
    <format dxfId="7639">
      <pivotArea field="0" dataOnly="0" labelOnly="1" grandRow="1" outline="0" axis="axisRow" fieldPosition="0">
        <references count="1">
          <reference field="4294967294" count="1" selected="0">
            <x v="15"/>
          </reference>
        </references>
      </pivotArea>
    </format>
    <format dxfId="7638">
      <pivotArea field="0" dataOnly="0" labelOnly="1" grandRow="1" outline="0" axis="axisRow" fieldPosition="0">
        <references count="1">
          <reference field="4294967294" count="1" selected="0">
            <x v="16"/>
          </reference>
        </references>
      </pivotArea>
    </format>
    <format dxfId="7637">
      <pivotArea field="0" dataOnly="0" labelOnly="1" grandRow="1" outline="0" axis="axisRow" fieldPosition="0">
        <references count="1">
          <reference field="4294967294" count="1" selected="0">
            <x v="17"/>
          </reference>
        </references>
      </pivotArea>
    </format>
    <format dxfId="7636">
      <pivotArea field="0" dataOnly="0" labelOnly="1" grandRow="1" outline="0" axis="axisRow" fieldPosition="0">
        <references count="1">
          <reference field="4294967294" count="1" selected="0">
            <x v="18"/>
          </reference>
        </references>
      </pivotArea>
    </format>
    <format dxfId="7635">
      <pivotArea field="0" dataOnly="0" labelOnly="1" grandRow="1" outline="0" axis="axisRow" fieldPosition="0">
        <references count="1">
          <reference field="4294967294" count="1" selected="0">
            <x v="19"/>
          </reference>
        </references>
      </pivotArea>
    </format>
    <format dxfId="7634">
      <pivotArea field="0" dataOnly="0" labelOnly="1" grandRow="1" outline="0" axis="axisRow" fieldPosition="0">
        <references count="1">
          <reference field="4294967294" count="1" selected="0">
            <x v="20"/>
          </reference>
        </references>
      </pivotArea>
    </format>
    <format dxfId="7633">
      <pivotArea field="0" dataOnly="0" labelOnly="1" grandRow="1" outline="0" axis="axisRow" fieldPosition="0">
        <references count="1">
          <reference field="4294967294" count="1" selected="0">
            <x v="21"/>
          </reference>
        </references>
      </pivotArea>
    </format>
    <format dxfId="7632">
      <pivotArea field="0" dataOnly="0" labelOnly="1" grandRow="1" outline="0" axis="axisRow" fieldPosition="0">
        <references count="1">
          <reference field="4294967294" count="1" selected="0">
            <x v="22"/>
          </reference>
        </references>
      </pivotArea>
    </format>
    <format dxfId="7631">
      <pivotArea field="0" dataOnly="0" labelOnly="1" grandRow="1" outline="0" axis="axisRow" fieldPosition="0">
        <references count="1">
          <reference field="4294967294" count="1" selected="0">
            <x v="23"/>
          </reference>
        </references>
      </pivotArea>
    </format>
    <format dxfId="7630">
      <pivotArea field="0" dataOnly="0" labelOnly="1" grandRow="1" outline="0" axis="axisRow" fieldPosition="0">
        <references count="1">
          <reference field="4294967294" count="1" selected="0">
            <x v="24"/>
          </reference>
        </references>
      </pivotArea>
    </format>
    <format dxfId="7629">
      <pivotArea field="0" dataOnly="0" labelOnly="1" grandRow="1" outline="0" axis="axisRow" fieldPosition="0">
        <references count="1">
          <reference field="4294967294" count="1" selected="0">
            <x v="25"/>
          </reference>
        </references>
      </pivotArea>
    </format>
    <format dxfId="7628">
      <pivotArea field="0" dataOnly="0" labelOnly="1" grandRow="1" outline="0" axis="axisRow" fieldPosition="0">
        <references count="1">
          <reference field="4294967294" count="1" selected="0">
            <x v="26"/>
          </reference>
        </references>
      </pivotArea>
    </format>
    <format dxfId="7627">
      <pivotArea field="0" dataOnly="0" labelOnly="1" grandRow="1" outline="0" axis="axisRow" fieldPosition="0">
        <references count="1">
          <reference field="4294967294" count="1" selected="0">
            <x v="27"/>
          </reference>
        </references>
      </pivotArea>
    </format>
    <format dxfId="7626">
      <pivotArea field="0" dataOnly="0" labelOnly="1" grandRow="1" outline="0" axis="axisRow" fieldPosition="0">
        <references count="1">
          <reference field="4294967294" count="1" selected="0">
            <x v="28"/>
          </reference>
        </references>
      </pivotArea>
    </format>
    <format dxfId="7625">
      <pivotArea field="0" dataOnly="0" labelOnly="1" grandRow="1" outline="0" axis="axisRow" fieldPosition="0">
        <references count="1">
          <reference field="4294967294" count="1" selected="0">
            <x v="29"/>
          </reference>
        </references>
      </pivotArea>
    </format>
    <format dxfId="7624">
      <pivotArea field="0" dataOnly="0" labelOnly="1" grandRow="1" outline="0" axis="axisRow" fieldPosition="0">
        <references count="1">
          <reference field="4294967294" count="1" selected="0">
            <x v="30"/>
          </reference>
        </references>
      </pivotArea>
    </format>
    <format dxfId="7623">
      <pivotArea field="0" dataOnly="0" labelOnly="1" grandRow="1" outline="0" axis="axisRow" fieldPosition="0">
        <references count="1">
          <reference field="4294967294" count="1" selected="0">
            <x v="31"/>
          </reference>
        </references>
      </pivotArea>
    </format>
    <format dxfId="7622">
      <pivotArea field="0" dataOnly="0" labelOnly="1" grandRow="1" outline="0" axis="axisRow" fieldPosition="0">
        <references count="1">
          <reference field="4294967294" count="1" selected="0">
            <x v="32"/>
          </reference>
        </references>
      </pivotArea>
    </format>
    <format dxfId="7621">
      <pivotArea field="0" dataOnly="0" labelOnly="1" grandRow="1" outline="0" axis="axisRow" fieldPosition="0">
        <references count="1">
          <reference field="4294967294" count="1" selected="0">
            <x v="33"/>
          </reference>
        </references>
      </pivotArea>
    </format>
    <format dxfId="7620">
      <pivotArea field="0" dataOnly="0" labelOnly="1" grandRow="1" outline="0" axis="axisRow" fieldPosition="0">
        <references count="1">
          <reference field="4294967294" count="1" selected="0">
            <x v="34"/>
          </reference>
        </references>
      </pivotArea>
    </format>
    <format dxfId="7619">
      <pivotArea field="0" dataOnly="0" labelOnly="1" grandRow="1" outline="0" axis="axisRow" fieldPosition="0">
        <references count="1">
          <reference field="4294967294" count="1" selected="0">
            <x v="35"/>
          </reference>
        </references>
      </pivotArea>
    </format>
    <format dxfId="7618">
      <pivotArea field="0" dataOnly="0" labelOnly="1" grandRow="1" outline="0" axis="axisRow" fieldPosition="0">
        <references count="1">
          <reference field="4294967294" count="1" selected="0">
            <x v="0"/>
          </reference>
        </references>
      </pivotArea>
    </format>
    <format dxfId="7617">
      <pivotArea field="0" dataOnly="0" labelOnly="1" grandRow="1" outline="0" axis="axisRow" fieldPosition="0">
        <references count="1">
          <reference field="4294967294" count="1" selected="0">
            <x v="1"/>
          </reference>
        </references>
      </pivotArea>
    </format>
    <format dxfId="7616">
      <pivotArea field="0" dataOnly="0" labelOnly="1" grandRow="1" outline="0" axis="axisRow" fieldPosition="0">
        <references count="1">
          <reference field="4294967294" count="1" selected="0">
            <x v="2"/>
          </reference>
        </references>
      </pivotArea>
    </format>
    <format dxfId="7615">
      <pivotArea field="0" dataOnly="0" labelOnly="1" grandRow="1" outline="0" axis="axisRow" fieldPosition="0">
        <references count="1">
          <reference field="4294967294" count="1" selected="0">
            <x v="3"/>
          </reference>
        </references>
      </pivotArea>
    </format>
    <format dxfId="7614">
      <pivotArea field="0" dataOnly="0" labelOnly="1" grandRow="1" outline="0" axis="axisRow" fieldPosition="0">
        <references count="1">
          <reference field="4294967294" count="1" selected="0">
            <x v="4"/>
          </reference>
        </references>
      </pivotArea>
    </format>
    <format dxfId="7613">
      <pivotArea field="0" dataOnly="0" labelOnly="1" grandRow="1" outline="0" axis="axisRow" fieldPosition="0">
        <references count="1">
          <reference field="4294967294" count="1" selected="0">
            <x v="5"/>
          </reference>
        </references>
      </pivotArea>
    </format>
    <format dxfId="7612">
      <pivotArea field="0" dataOnly="0" labelOnly="1" grandRow="1" outline="0" axis="axisRow" fieldPosition="0">
        <references count="1">
          <reference field="4294967294" count="1" selected="0">
            <x v="6"/>
          </reference>
        </references>
      </pivotArea>
    </format>
    <format dxfId="7611">
      <pivotArea field="0" dataOnly="0" labelOnly="1" grandRow="1" outline="0" axis="axisRow" fieldPosition="0">
        <references count="1">
          <reference field="4294967294" count="1" selected="0">
            <x v="7"/>
          </reference>
        </references>
      </pivotArea>
    </format>
    <format dxfId="7610">
      <pivotArea field="0" dataOnly="0" labelOnly="1" grandRow="1" outline="0" axis="axisRow" fieldPosition="0">
        <references count="1">
          <reference field="4294967294" count="1" selected="0">
            <x v="8"/>
          </reference>
        </references>
      </pivotArea>
    </format>
    <format dxfId="7609">
      <pivotArea field="0" dataOnly="0" labelOnly="1" grandRow="1" outline="0" axis="axisRow" fieldPosition="0">
        <references count="1">
          <reference field="4294967294" count="1" selected="0">
            <x v="9"/>
          </reference>
        </references>
      </pivotArea>
    </format>
    <format dxfId="7608">
      <pivotArea field="0" dataOnly="0" labelOnly="1" grandRow="1" outline="0" axis="axisRow" fieldPosition="0">
        <references count="1">
          <reference field="4294967294" count="1" selected="0">
            <x v="10"/>
          </reference>
        </references>
      </pivotArea>
    </format>
    <format dxfId="7607">
      <pivotArea field="0" dataOnly="0" labelOnly="1" grandRow="1" outline="0" axis="axisRow" fieldPosition="0">
        <references count="1">
          <reference field="4294967294" count="1" selected="0">
            <x v="11"/>
          </reference>
        </references>
      </pivotArea>
    </format>
    <format dxfId="7606">
      <pivotArea field="0" dataOnly="0" labelOnly="1" grandRow="1" outline="0" axis="axisRow" fieldPosition="0">
        <references count="1">
          <reference field="4294967294" count="1" selected="0">
            <x v="12"/>
          </reference>
        </references>
      </pivotArea>
    </format>
    <format dxfId="7605">
      <pivotArea field="0" dataOnly="0" labelOnly="1" grandRow="1" outline="0" axis="axisRow" fieldPosition="0">
        <references count="1">
          <reference field="4294967294" count="1" selected="0">
            <x v="13"/>
          </reference>
        </references>
      </pivotArea>
    </format>
    <format dxfId="7604">
      <pivotArea field="0" dataOnly="0" labelOnly="1" grandRow="1" outline="0" axis="axisRow" fieldPosition="0">
        <references count="1">
          <reference field="4294967294" count="1" selected="0">
            <x v="14"/>
          </reference>
        </references>
      </pivotArea>
    </format>
    <format dxfId="7603">
      <pivotArea field="0" dataOnly="0" labelOnly="1" grandRow="1" outline="0" axis="axisRow" fieldPosition="0">
        <references count="1">
          <reference field="4294967294" count="1" selected="0">
            <x v="15"/>
          </reference>
        </references>
      </pivotArea>
    </format>
    <format dxfId="7602">
      <pivotArea field="0" dataOnly="0" labelOnly="1" grandRow="1" outline="0" axis="axisRow" fieldPosition="0">
        <references count="1">
          <reference field="4294967294" count="1" selected="0">
            <x v="16"/>
          </reference>
        </references>
      </pivotArea>
    </format>
    <format dxfId="7601">
      <pivotArea field="0" dataOnly="0" labelOnly="1" grandRow="1" outline="0" axis="axisRow" fieldPosition="0">
        <references count="1">
          <reference field="4294967294" count="1" selected="0">
            <x v="17"/>
          </reference>
        </references>
      </pivotArea>
    </format>
    <format dxfId="7600">
      <pivotArea field="0" dataOnly="0" labelOnly="1" grandRow="1" outline="0" axis="axisRow" fieldPosition="0">
        <references count="1">
          <reference field="4294967294" count="1" selected="0">
            <x v="18"/>
          </reference>
        </references>
      </pivotArea>
    </format>
    <format dxfId="7599">
      <pivotArea field="0" dataOnly="0" labelOnly="1" grandRow="1" outline="0" axis="axisRow" fieldPosition="0">
        <references count="1">
          <reference field="4294967294" count="1" selected="0">
            <x v="19"/>
          </reference>
        </references>
      </pivotArea>
    </format>
    <format dxfId="7598">
      <pivotArea field="0" dataOnly="0" labelOnly="1" grandRow="1" outline="0" axis="axisRow" fieldPosition="0">
        <references count="1">
          <reference field="4294967294" count="1" selected="0">
            <x v="20"/>
          </reference>
        </references>
      </pivotArea>
    </format>
    <format dxfId="7597">
      <pivotArea field="0" dataOnly="0" labelOnly="1" grandRow="1" outline="0" axis="axisRow" fieldPosition="0">
        <references count="1">
          <reference field="4294967294" count="1" selected="0">
            <x v="21"/>
          </reference>
        </references>
      </pivotArea>
    </format>
    <format dxfId="7596">
      <pivotArea field="0" dataOnly="0" labelOnly="1" grandRow="1" outline="0" axis="axisRow" fieldPosition="0">
        <references count="1">
          <reference field="4294967294" count="1" selected="0">
            <x v="22"/>
          </reference>
        </references>
      </pivotArea>
    </format>
    <format dxfId="7595">
      <pivotArea field="0" dataOnly="0" labelOnly="1" grandRow="1" outline="0" axis="axisRow" fieldPosition="0">
        <references count="1">
          <reference field="4294967294" count="1" selected="0">
            <x v="23"/>
          </reference>
        </references>
      </pivotArea>
    </format>
    <format dxfId="7594">
      <pivotArea field="0" dataOnly="0" labelOnly="1" grandRow="1" outline="0" axis="axisRow" fieldPosition="0">
        <references count="1">
          <reference field="4294967294" count="1" selected="0">
            <x v="24"/>
          </reference>
        </references>
      </pivotArea>
    </format>
    <format dxfId="7593">
      <pivotArea field="0" dataOnly="0" labelOnly="1" grandRow="1" outline="0" axis="axisRow" fieldPosition="0">
        <references count="1">
          <reference field="4294967294" count="1" selected="0">
            <x v="25"/>
          </reference>
        </references>
      </pivotArea>
    </format>
    <format dxfId="7592">
      <pivotArea field="0" dataOnly="0" labelOnly="1" grandRow="1" outline="0" axis="axisRow" fieldPosition="0">
        <references count="1">
          <reference field="4294967294" count="1" selected="0">
            <x v="26"/>
          </reference>
        </references>
      </pivotArea>
    </format>
    <format dxfId="7591">
      <pivotArea field="0" dataOnly="0" labelOnly="1" grandRow="1" outline="0" axis="axisRow" fieldPosition="0">
        <references count="1">
          <reference field="4294967294" count="1" selected="0">
            <x v="27"/>
          </reference>
        </references>
      </pivotArea>
    </format>
    <format dxfId="7590">
      <pivotArea field="0" dataOnly="0" labelOnly="1" grandRow="1" outline="0" axis="axisRow" fieldPosition="0">
        <references count="1">
          <reference field="4294967294" count="1" selected="0">
            <x v="28"/>
          </reference>
        </references>
      </pivotArea>
    </format>
    <format dxfId="7589">
      <pivotArea field="0" dataOnly="0" labelOnly="1" grandRow="1" outline="0" axis="axisRow" fieldPosition="0">
        <references count="1">
          <reference field="4294967294" count="1" selected="0">
            <x v="29"/>
          </reference>
        </references>
      </pivotArea>
    </format>
    <format dxfId="7588">
      <pivotArea field="0" dataOnly="0" labelOnly="1" grandRow="1" outline="0" axis="axisRow" fieldPosition="0">
        <references count="1">
          <reference field="4294967294" count="1" selected="0">
            <x v="30"/>
          </reference>
        </references>
      </pivotArea>
    </format>
    <format dxfId="7587">
      <pivotArea field="0" dataOnly="0" labelOnly="1" grandRow="1" outline="0" axis="axisRow" fieldPosition="0">
        <references count="1">
          <reference field="4294967294" count="1" selected="0">
            <x v="31"/>
          </reference>
        </references>
      </pivotArea>
    </format>
    <format dxfId="7586">
      <pivotArea field="0" dataOnly="0" labelOnly="1" grandRow="1" outline="0" axis="axisRow" fieldPosition="0">
        <references count="1">
          <reference field="4294967294" count="1" selected="0">
            <x v="32"/>
          </reference>
        </references>
      </pivotArea>
    </format>
    <format dxfId="7585">
      <pivotArea field="0" dataOnly="0" labelOnly="1" grandRow="1" outline="0" axis="axisRow" fieldPosition="0">
        <references count="1">
          <reference field="4294967294" count="1" selected="0">
            <x v="33"/>
          </reference>
        </references>
      </pivotArea>
    </format>
    <format dxfId="7584">
      <pivotArea field="0" dataOnly="0" labelOnly="1" grandRow="1" outline="0" axis="axisRow" fieldPosition="0">
        <references count="1">
          <reference field="4294967294" count="1" selected="0">
            <x v="34"/>
          </reference>
        </references>
      </pivotArea>
    </format>
    <format dxfId="7583">
      <pivotArea field="0" dataOnly="0" labelOnly="1" grandRow="1" outline="0" axis="axisRow" fieldPosition="0">
        <references count="1">
          <reference field="4294967294" count="1" selected="0">
            <x v="35"/>
          </reference>
        </references>
      </pivotArea>
    </format>
    <format dxfId="7582">
      <pivotArea field="0" dataOnly="0" labelOnly="1" grandRow="1" outline="0" axis="axisRow" fieldPosition="0">
        <references count="1">
          <reference field="4294967294" count="1" selected="0">
            <x v="0"/>
          </reference>
        </references>
      </pivotArea>
    </format>
    <format dxfId="7581">
      <pivotArea field="0" dataOnly="0" labelOnly="1" grandRow="1" outline="0" axis="axisRow" fieldPosition="0">
        <references count="1">
          <reference field="4294967294" count="1" selected="0">
            <x v="1"/>
          </reference>
        </references>
      </pivotArea>
    </format>
    <format dxfId="7580">
      <pivotArea field="0" dataOnly="0" labelOnly="1" grandRow="1" outline="0" axis="axisRow" fieldPosition="0">
        <references count="1">
          <reference field="4294967294" count="1" selected="0">
            <x v="2"/>
          </reference>
        </references>
      </pivotArea>
    </format>
    <format dxfId="7579">
      <pivotArea field="0" dataOnly="0" labelOnly="1" grandRow="1" outline="0" axis="axisRow" fieldPosition="0">
        <references count="1">
          <reference field="4294967294" count="1" selected="0">
            <x v="3"/>
          </reference>
        </references>
      </pivotArea>
    </format>
    <format dxfId="7578">
      <pivotArea field="0" dataOnly="0" labelOnly="1" grandRow="1" outline="0" axis="axisRow" fieldPosition="0">
        <references count="1">
          <reference field="4294967294" count="1" selected="0">
            <x v="4"/>
          </reference>
        </references>
      </pivotArea>
    </format>
    <format dxfId="7577">
      <pivotArea field="0" dataOnly="0" labelOnly="1" grandRow="1" outline="0" axis="axisRow" fieldPosition="0">
        <references count="1">
          <reference field="4294967294" count="1" selected="0">
            <x v="5"/>
          </reference>
        </references>
      </pivotArea>
    </format>
    <format dxfId="7576">
      <pivotArea field="0" dataOnly="0" labelOnly="1" grandRow="1" outline="0" axis="axisRow" fieldPosition="0">
        <references count="1">
          <reference field="4294967294" count="1" selected="0">
            <x v="6"/>
          </reference>
        </references>
      </pivotArea>
    </format>
    <format dxfId="7575">
      <pivotArea field="0" dataOnly="0" labelOnly="1" grandRow="1" outline="0" axis="axisRow" fieldPosition="0">
        <references count="1">
          <reference field="4294967294" count="1" selected="0">
            <x v="7"/>
          </reference>
        </references>
      </pivotArea>
    </format>
    <format dxfId="7574">
      <pivotArea field="0" dataOnly="0" labelOnly="1" grandRow="1" outline="0" axis="axisRow" fieldPosition="0">
        <references count="1">
          <reference field="4294967294" count="1" selected="0">
            <x v="8"/>
          </reference>
        </references>
      </pivotArea>
    </format>
    <format dxfId="7573">
      <pivotArea field="0" dataOnly="0" labelOnly="1" grandRow="1" outline="0" axis="axisRow" fieldPosition="0">
        <references count="1">
          <reference field="4294967294" count="1" selected="0">
            <x v="9"/>
          </reference>
        </references>
      </pivotArea>
    </format>
    <format dxfId="7572">
      <pivotArea field="0" dataOnly="0" labelOnly="1" grandRow="1" outline="0" axis="axisRow" fieldPosition="0">
        <references count="1">
          <reference field="4294967294" count="1" selected="0">
            <x v="10"/>
          </reference>
        </references>
      </pivotArea>
    </format>
    <format dxfId="7571">
      <pivotArea field="0" dataOnly="0" labelOnly="1" grandRow="1" outline="0" axis="axisRow" fieldPosition="0">
        <references count="1">
          <reference field="4294967294" count="1" selected="0">
            <x v="11"/>
          </reference>
        </references>
      </pivotArea>
    </format>
    <format dxfId="7570">
      <pivotArea field="0" dataOnly="0" labelOnly="1" grandRow="1" outline="0" axis="axisRow" fieldPosition="0">
        <references count="1">
          <reference field="4294967294" count="1" selected="0">
            <x v="12"/>
          </reference>
        </references>
      </pivotArea>
    </format>
    <format dxfId="7569">
      <pivotArea field="0" dataOnly="0" labelOnly="1" grandRow="1" outline="0" axis="axisRow" fieldPosition="0">
        <references count="1">
          <reference field="4294967294" count="1" selected="0">
            <x v="13"/>
          </reference>
        </references>
      </pivotArea>
    </format>
    <format dxfId="7568">
      <pivotArea field="0" dataOnly="0" labelOnly="1" grandRow="1" outline="0" axis="axisRow" fieldPosition="0">
        <references count="1">
          <reference field="4294967294" count="1" selected="0">
            <x v="14"/>
          </reference>
        </references>
      </pivotArea>
    </format>
    <format dxfId="7567">
      <pivotArea field="0" dataOnly="0" labelOnly="1" grandRow="1" outline="0" axis="axisRow" fieldPosition="0">
        <references count="1">
          <reference field="4294967294" count="1" selected="0">
            <x v="15"/>
          </reference>
        </references>
      </pivotArea>
    </format>
    <format dxfId="7566">
      <pivotArea field="0" dataOnly="0" labelOnly="1" grandRow="1" outline="0" axis="axisRow" fieldPosition="0">
        <references count="1">
          <reference field="4294967294" count="1" selected="0">
            <x v="16"/>
          </reference>
        </references>
      </pivotArea>
    </format>
    <format dxfId="7565">
      <pivotArea field="0" dataOnly="0" labelOnly="1" grandRow="1" outline="0" axis="axisRow" fieldPosition="0">
        <references count="1">
          <reference field="4294967294" count="1" selected="0">
            <x v="17"/>
          </reference>
        </references>
      </pivotArea>
    </format>
    <format dxfId="7564">
      <pivotArea field="0" dataOnly="0" labelOnly="1" grandRow="1" outline="0" axis="axisRow" fieldPosition="0">
        <references count="1">
          <reference field="4294967294" count="1" selected="0">
            <x v="18"/>
          </reference>
        </references>
      </pivotArea>
    </format>
    <format dxfId="7563">
      <pivotArea field="0" dataOnly="0" labelOnly="1" grandRow="1" outline="0" axis="axisRow" fieldPosition="0">
        <references count="1">
          <reference field="4294967294" count="1" selected="0">
            <x v="19"/>
          </reference>
        </references>
      </pivotArea>
    </format>
    <format dxfId="7562">
      <pivotArea field="0" dataOnly="0" labelOnly="1" grandRow="1" outline="0" axis="axisRow" fieldPosition="0">
        <references count="1">
          <reference field="4294967294" count="1" selected="0">
            <x v="20"/>
          </reference>
        </references>
      </pivotArea>
    </format>
    <format dxfId="7561">
      <pivotArea field="0" dataOnly="0" labelOnly="1" grandRow="1" outline="0" axis="axisRow" fieldPosition="0">
        <references count="1">
          <reference field="4294967294" count="1" selected="0">
            <x v="21"/>
          </reference>
        </references>
      </pivotArea>
    </format>
    <format dxfId="7560">
      <pivotArea field="0" dataOnly="0" labelOnly="1" grandRow="1" outline="0" axis="axisRow" fieldPosition="0">
        <references count="1">
          <reference field="4294967294" count="1" selected="0">
            <x v="22"/>
          </reference>
        </references>
      </pivotArea>
    </format>
    <format dxfId="7559">
      <pivotArea field="0" dataOnly="0" labelOnly="1" grandRow="1" outline="0" axis="axisRow" fieldPosition="0">
        <references count="1">
          <reference field="4294967294" count="1" selected="0">
            <x v="23"/>
          </reference>
        </references>
      </pivotArea>
    </format>
    <format dxfId="7558">
      <pivotArea field="0" dataOnly="0" labelOnly="1" grandRow="1" outline="0" axis="axisRow" fieldPosition="0">
        <references count="1">
          <reference field="4294967294" count="1" selected="0">
            <x v="24"/>
          </reference>
        </references>
      </pivotArea>
    </format>
    <format dxfId="7557">
      <pivotArea field="0" dataOnly="0" labelOnly="1" grandRow="1" outline="0" axis="axisRow" fieldPosition="0">
        <references count="1">
          <reference field="4294967294" count="1" selected="0">
            <x v="25"/>
          </reference>
        </references>
      </pivotArea>
    </format>
    <format dxfId="7556">
      <pivotArea field="0" dataOnly="0" labelOnly="1" grandRow="1" outline="0" axis="axisRow" fieldPosition="0">
        <references count="1">
          <reference field="4294967294" count="1" selected="0">
            <x v="26"/>
          </reference>
        </references>
      </pivotArea>
    </format>
    <format dxfId="7555">
      <pivotArea field="0" dataOnly="0" labelOnly="1" grandRow="1" outline="0" axis="axisRow" fieldPosition="0">
        <references count="1">
          <reference field="4294967294" count="1" selected="0">
            <x v="27"/>
          </reference>
        </references>
      </pivotArea>
    </format>
    <format dxfId="7554">
      <pivotArea field="0" dataOnly="0" labelOnly="1" grandRow="1" outline="0" axis="axisRow" fieldPosition="0">
        <references count="1">
          <reference field="4294967294" count="1" selected="0">
            <x v="28"/>
          </reference>
        </references>
      </pivotArea>
    </format>
    <format dxfId="7553">
      <pivotArea field="0" dataOnly="0" labelOnly="1" grandRow="1" outline="0" axis="axisRow" fieldPosition="0">
        <references count="1">
          <reference field="4294967294" count="1" selected="0">
            <x v="29"/>
          </reference>
        </references>
      </pivotArea>
    </format>
    <format dxfId="7552">
      <pivotArea field="0" dataOnly="0" labelOnly="1" grandRow="1" outline="0" axis="axisRow" fieldPosition="0">
        <references count="1">
          <reference field="4294967294" count="1" selected="0">
            <x v="30"/>
          </reference>
        </references>
      </pivotArea>
    </format>
    <format dxfId="7551">
      <pivotArea field="0" dataOnly="0" labelOnly="1" grandRow="1" outline="0" axis="axisRow" fieldPosition="0">
        <references count="1">
          <reference field="4294967294" count="1" selected="0">
            <x v="31"/>
          </reference>
        </references>
      </pivotArea>
    </format>
    <format dxfId="7550">
      <pivotArea field="0" dataOnly="0" labelOnly="1" grandRow="1" outline="0" axis="axisRow" fieldPosition="0">
        <references count="1">
          <reference field="4294967294" count="1" selected="0">
            <x v="32"/>
          </reference>
        </references>
      </pivotArea>
    </format>
    <format dxfId="7549">
      <pivotArea field="0" dataOnly="0" labelOnly="1" grandRow="1" outline="0" axis="axisRow" fieldPosition="0">
        <references count="1">
          <reference field="4294967294" count="1" selected="0">
            <x v="33"/>
          </reference>
        </references>
      </pivotArea>
    </format>
    <format dxfId="7548">
      <pivotArea field="0" dataOnly="0" labelOnly="1" grandRow="1" outline="0" axis="axisRow" fieldPosition="0">
        <references count="1">
          <reference field="4294967294" count="1" selected="0">
            <x v="34"/>
          </reference>
        </references>
      </pivotArea>
    </format>
    <format dxfId="7547">
      <pivotArea field="0" dataOnly="0" labelOnly="1" grandRow="1" outline="0" axis="axisRow" fieldPosition="0">
        <references count="1">
          <reference field="4294967294" count="1" selected="0">
            <x v="35"/>
          </reference>
        </references>
      </pivotArea>
    </format>
    <format dxfId="7546">
      <pivotArea field="0" dataOnly="0" labelOnly="1" grandRow="1" outline="0" axis="axisRow" fieldPosition="0">
        <references count="1">
          <reference field="4294967294" count="1" selected="0">
            <x v="0"/>
          </reference>
        </references>
      </pivotArea>
    </format>
    <format dxfId="7545">
      <pivotArea field="0" dataOnly="0" labelOnly="1" grandRow="1" outline="0" axis="axisRow" fieldPosition="0">
        <references count="1">
          <reference field="4294967294" count="1" selected="0">
            <x v="1"/>
          </reference>
        </references>
      </pivotArea>
    </format>
    <format dxfId="7544">
      <pivotArea field="0" dataOnly="0" labelOnly="1" grandRow="1" outline="0" axis="axisRow" fieldPosition="0">
        <references count="1">
          <reference field="4294967294" count="1" selected="0">
            <x v="2"/>
          </reference>
        </references>
      </pivotArea>
    </format>
    <format dxfId="7543">
      <pivotArea field="0" dataOnly="0" labelOnly="1" grandRow="1" outline="0" axis="axisRow" fieldPosition="0">
        <references count="1">
          <reference field="4294967294" count="1" selected="0">
            <x v="3"/>
          </reference>
        </references>
      </pivotArea>
    </format>
    <format dxfId="7542">
      <pivotArea field="0" dataOnly="0" labelOnly="1" grandRow="1" outline="0" axis="axisRow" fieldPosition="0">
        <references count="1">
          <reference field="4294967294" count="1" selected="0">
            <x v="4"/>
          </reference>
        </references>
      </pivotArea>
    </format>
    <format dxfId="7541">
      <pivotArea field="0" dataOnly="0" labelOnly="1" grandRow="1" outline="0" axis="axisRow" fieldPosition="0">
        <references count="1">
          <reference field="4294967294" count="1" selected="0">
            <x v="5"/>
          </reference>
        </references>
      </pivotArea>
    </format>
    <format dxfId="7540">
      <pivotArea field="0" dataOnly="0" labelOnly="1" grandRow="1" outline="0" axis="axisRow" fieldPosition="0">
        <references count="1">
          <reference field="4294967294" count="1" selected="0">
            <x v="6"/>
          </reference>
        </references>
      </pivotArea>
    </format>
    <format dxfId="7539">
      <pivotArea field="0" dataOnly="0" labelOnly="1" grandRow="1" outline="0" axis="axisRow" fieldPosition="0">
        <references count="1">
          <reference field="4294967294" count="1" selected="0">
            <x v="7"/>
          </reference>
        </references>
      </pivotArea>
    </format>
    <format dxfId="7538">
      <pivotArea field="0" dataOnly="0" labelOnly="1" grandRow="1" outline="0" axis="axisRow" fieldPosition="0">
        <references count="1">
          <reference field="4294967294" count="1" selected="0">
            <x v="8"/>
          </reference>
        </references>
      </pivotArea>
    </format>
    <format dxfId="7537">
      <pivotArea field="0" dataOnly="0" labelOnly="1" grandRow="1" outline="0" axis="axisRow" fieldPosition="0">
        <references count="1">
          <reference field="4294967294" count="1" selected="0">
            <x v="9"/>
          </reference>
        </references>
      </pivotArea>
    </format>
    <format dxfId="7536">
      <pivotArea field="0" dataOnly="0" labelOnly="1" grandRow="1" outline="0" axis="axisRow" fieldPosition="0">
        <references count="1">
          <reference field="4294967294" count="1" selected="0">
            <x v="10"/>
          </reference>
        </references>
      </pivotArea>
    </format>
    <format dxfId="7535">
      <pivotArea field="0" dataOnly="0" labelOnly="1" grandRow="1" outline="0" axis="axisRow" fieldPosition="0">
        <references count="1">
          <reference field="4294967294" count="1" selected="0">
            <x v="11"/>
          </reference>
        </references>
      </pivotArea>
    </format>
    <format dxfId="7534">
      <pivotArea field="0" dataOnly="0" labelOnly="1" grandRow="1" outline="0" axis="axisRow" fieldPosition="0">
        <references count="1">
          <reference field="4294967294" count="1" selected="0">
            <x v="12"/>
          </reference>
        </references>
      </pivotArea>
    </format>
    <format dxfId="7533">
      <pivotArea field="0" dataOnly="0" labelOnly="1" grandRow="1" outline="0" axis="axisRow" fieldPosition="0">
        <references count="1">
          <reference field="4294967294" count="1" selected="0">
            <x v="13"/>
          </reference>
        </references>
      </pivotArea>
    </format>
    <format dxfId="7532">
      <pivotArea field="0" dataOnly="0" labelOnly="1" grandRow="1" outline="0" axis="axisRow" fieldPosition="0">
        <references count="1">
          <reference field="4294967294" count="1" selected="0">
            <x v="14"/>
          </reference>
        </references>
      </pivotArea>
    </format>
    <format dxfId="7531">
      <pivotArea field="0" dataOnly="0" labelOnly="1" grandRow="1" outline="0" axis="axisRow" fieldPosition="0">
        <references count="1">
          <reference field="4294967294" count="1" selected="0">
            <x v="15"/>
          </reference>
        </references>
      </pivotArea>
    </format>
    <format dxfId="7530">
      <pivotArea field="0" dataOnly="0" labelOnly="1" grandRow="1" outline="0" axis="axisRow" fieldPosition="0">
        <references count="1">
          <reference field="4294967294" count="1" selected="0">
            <x v="16"/>
          </reference>
        </references>
      </pivotArea>
    </format>
    <format dxfId="7529">
      <pivotArea field="0" dataOnly="0" labelOnly="1" grandRow="1" outline="0" axis="axisRow" fieldPosition="0">
        <references count="1">
          <reference field="4294967294" count="1" selected="0">
            <x v="17"/>
          </reference>
        </references>
      </pivotArea>
    </format>
    <format dxfId="7528">
      <pivotArea field="0" dataOnly="0" labelOnly="1" grandRow="1" outline="0" axis="axisRow" fieldPosition="0">
        <references count="1">
          <reference field="4294967294" count="1" selected="0">
            <x v="18"/>
          </reference>
        </references>
      </pivotArea>
    </format>
    <format dxfId="7527">
      <pivotArea field="0" dataOnly="0" labelOnly="1" grandRow="1" outline="0" axis="axisRow" fieldPosition="0">
        <references count="1">
          <reference field="4294967294" count="1" selected="0">
            <x v="19"/>
          </reference>
        </references>
      </pivotArea>
    </format>
    <format dxfId="7526">
      <pivotArea field="0" dataOnly="0" labelOnly="1" grandRow="1" outline="0" axis="axisRow" fieldPosition="0">
        <references count="1">
          <reference field="4294967294" count="1" selected="0">
            <x v="20"/>
          </reference>
        </references>
      </pivotArea>
    </format>
    <format dxfId="7525">
      <pivotArea field="0" dataOnly="0" labelOnly="1" grandRow="1" outline="0" axis="axisRow" fieldPosition="0">
        <references count="1">
          <reference field="4294967294" count="1" selected="0">
            <x v="21"/>
          </reference>
        </references>
      </pivotArea>
    </format>
    <format dxfId="7524">
      <pivotArea field="0" dataOnly="0" labelOnly="1" grandRow="1" outline="0" axis="axisRow" fieldPosition="0">
        <references count="1">
          <reference field="4294967294" count="1" selected="0">
            <x v="22"/>
          </reference>
        </references>
      </pivotArea>
    </format>
    <format dxfId="7523">
      <pivotArea field="0" dataOnly="0" labelOnly="1" grandRow="1" outline="0" axis="axisRow" fieldPosition="0">
        <references count="1">
          <reference field="4294967294" count="1" selected="0">
            <x v="23"/>
          </reference>
        </references>
      </pivotArea>
    </format>
    <format dxfId="7522">
      <pivotArea field="0" dataOnly="0" labelOnly="1" grandRow="1" outline="0" axis="axisRow" fieldPosition="0">
        <references count="1">
          <reference field="4294967294" count="1" selected="0">
            <x v="24"/>
          </reference>
        </references>
      </pivotArea>
    </format>
    <format dxfId="7521">
      <pivotArea field="0" dataOnly="0" labelOnly="1" grandRow="1" outline="0" axis="axisRow" fieldPosition="0">
        <references count="1">
          <reference field="4294967294" count="1" selected="0">
            <x v="25"/>
          </reference>
        </references>
      </pivotArea>
    </format>
    <format dxfId="7520">
      <pivotArea field="0" dataOnly="0" labelOnly="1" grandRow="1" outline="0" axis="axisRow" fieldPosition="0">
        <references count="1">
          <reference field="4294967294" count="1" selected="0">
            <x v="26"/>
          </reference>
        </references>
      </pivotArea>
    </format>
    <format dxfId="7519">
      <pivotArea field="0" dataOnly="0" labelOnly="1" grandRow="1" outline="0" axis="axisRow" fieldPosition="0">
        <references count="1">
          <reference field="4294967294" count="1" selected="0">
            <x v="27"/>
          </reference>
        </references>
      </pivotArea>
    </format>
    <format dxfId="7518">
      <pivotArea field="0" dataOnly="0" labelOnly="1" grandRow="1" outline="0" axis="axisRow" fieldPosition="0">
        <references count="1">
          <reference field="4294967294" count="1" selected="0">
            <x v="28"/>
          </reference>
        </references>
      </pivotArea>
    </format>
    <format dxfId="7517">
      <pivotArea field="0" dataOnly="0" labelOnly="1" grandRow="1" outline="0" axis="axisRow" fieldPosition="0">
        <references count="1">
          <reference field="4294967294" count="1" selected="0">
            <x v="29"/>
          </reference>
        </references>
      </pivotArea>
    </format>
    <format dxfId="7516">
      <pivotArea field="0" dataOnly="0" labelOnly="1" grandRow="1" outline="0" axis="axisRow" fieldPosition="0">
        <references count="1">
          <reference field="4294967294" count="1" selected="0">
            <x v="30"/>
          </reference>
        </references>
      </pivotArea>
    </format>
    <format dxfId="7515">
      <pivotArea field="0" dataOnly="0" labelOnly="1" grandRow="1" outline="0" axis="axisRow" fieldPosition="0">
        <references count="1">
          <reference field="4294967294" count="1" selected="0">
            <x v="31"/>
          </reference>
        </references>
      </pivotArea>
    </format>
    <format dxfId="7514">
      <pivotArea field="0" dataOnly="0" labelOnly="1" grandRow="1" outline="0" axis="axisRow" fieldPosition="0">
        <references count="1">
          <reference field="4294967294" count="1" selected="0">
            <x v="32"/>
          </reference>
        </references>
      </pivotArea>
    </format>
    <format dxfId="7513">
      <pivotArea field="0" dataOnly="0" labelOnly="1" grandRow="1" outline="0" axis="axisRow" fieldPosition="0">
        <references count="1">
          <reference field="4294967294" count="1" selected="0">
            <x v="33"/>
          </reference>
        </references>
      </pivotArea>
    </format>
    <format dxfId="7512">
      <pivotArea field="0" dataOnly="0" labelOnly="1" grandRow="1" outline="0" axis="axisRow" fieldPosition="0">
        <references count="1">
          <reference field="4294967294" count="1" selected="0">
            <x v="34"/>
          </reference>
        </references>
      </pivotArea>
    </format>
    <format dxfId="7511">
      <pivotArea field="0" dataOnly="0" labelOnly="1" grandRow="1" outline="0" axis="axisRow" fieldPosition="0">
        <references count="1">
          <reference field="4294967294" count="1" selected="0">
            <x v="35"/>
          </reference>
        </references>
      </pivotArea>
    </format>
    <format dxfId="7510">
      <pivotArea field="0" dataOnly="0" labelOnly="1" grandRow="1" outline="0" axis="axisRow" fieldPosition="0">
        <references count="1">
          <reference field="4294967294" count="1" selected="0">
            <x v="0"/>
          </reference>
        </references>
      </pivotArea>
    </format>
    <format dxfId="7509">
      <pivotArea field="0" dataOnly="0" labelOnly="1" grandRow="1" outline="0" axis="axisRow" fieldPosition="0">
        <references count="1">
          <reference field="4294967294" count="1" selected="0">
            <x v="1"/>
          </reference>
        </references>
      </pivotArea>
    </format>
    <format dxfId="7508">
      <pivotArea field="0" dataOnly="0" labelOnly="1" grandRow="1" outline="0" axis="axisRow" fieldPosition="0">
        <references count="1">
          <reference field="4294967294" count="1" selected="0">
            <x v="2"/>
          </reference>
        </references>
      </pivotArea>
    </format>
    <format dxfId="7507">
      <pivotArea field="0" dataOnly="0" labelOnly="1" grandRow="1" outline="0" axis="axisRow" fieldPosition="0">
        <references count="1">
          <reference field="4294967294" count="1" selected="0">
            <x v="3"/>
          </reference>
        </references>
      </pivotArea>
    </format>
    <format dxfId="7506">
      <pivotArea field="0" dataOnly="0" labelOnly="1" grandRow="1" outline="0" axis="axisRow" fieldPosition="0">
        <references count="1">
          <reference field="4294967294" count="1" selected="0">
            <x v="4"/>
          </reference>
        </references>
      </pivotArea>
    </format>
    <format dxfId="7505">
      <pivotArea field="0" dataOnly="0" labelOnly="1" grandRow="1" outline="0" axis="axisRow" fieldPosition="0">
        <references count="1">
          <reference field="4294967294" count="1" selected="0">
            <x v="5"/>
          </reference>
        </references>
      </pivotArea>
    </format>
    <format dxfId="7504">
      <pivotArea field="0" dataOnly="0" labelOnly="1" grandRow="1" outline="0" axis="axisRow" fieldPosition="0">
        <references count="1">
          <reference field="4294967294" count="1" selected="0">
            <x v="6"/>
          </reference>
        </references>
      </pivotArea>
    </format>
    <format dxfId="7503">
      <pivotArea field="0" dataOnly="0" labelOnly="1" grandRow="1" outline="0" axis="axisRow" fieldPosition="0">
        <references count="1">
          <reference field="4294967294" count="1" selected="0">
            <x v="7"/>
          </reference>
        </references>
      </pivotArea>
    </format>
    <format dxfId="7502">
      <pivotArea field="0" dataOnly="0" labelOnly="1" grandRow="1" outline="0" axis="axisRow" fieldPosition="0">
        <references count="1">
          <reference field="4294967294" count="1" selected="0">
            <x v="8"/>
          </reference>
        </references>
      </pivotArea>
    </format>
    <format dxfId="7501">
      <pivotArea field="0" dataOnly="0" labelOnly="1" grandRow="1" outline="0" axis="axisRow" fieldPosition="0">
        <references count="1">
          <reference field="4294967294" count="1" selected="0">
            <x v="9"/>
          </reference>
        </references>
      </pivotArea>
    </format>
    <format dxfId="7500">
      <pivotArea field="0" dataOnly="0" labelOnly="1" grandRow="1" outline="0" axis="axisRow" fieldPosition="0">
        <references count="1">
          <reference field="4294967294" count="1" selected="0">
            <x v="10"/>
          </reference>
        </references>
      </pivotArea>
    </format>
    <format dxfId="7499">
      <pivotArea field="0" dataOnly="0" labelOnly="1" grandRow="1" outline="0" axis="axisRow" fieldPosition="0">
        <references count="1">
          <reference field="4294967294" count="1" selected="0">
            <x v="11"/>
          </reference>
        </references>
      </pivotArea>
    </format>
    <format dxfId="7498">
      <pivotArea field="0" dataOnly="0" labelOnly="1" grandRow="1" outline="0" axis="axisRow" fieldPosition="0">
        <references count="1">
          <reference field="4294967294" count="1" selected="0">
            <x v="12"/>
          </reference>
        </references>
      </pivotArea>
    </format>
    <format dxfId="7497">
      <pivotArea field="0" dataOnly="0" labelOnly="1" grandRow="1" outline="0" axis="axisRow" fieldPosition="0">
        <references count="1">
          <reference field="4294967294" count="1" selected="0">
            <x v="13"/>
          </reference>
        </references>
      </pivotArea>
    </format>
    <format dxfId="7496">
      <pivotArea field="0" dataOnly="0" labelOnly="1" grandRow="1" outline="0" axis="axisRow" fieldPosition="0">
        <references count="1">
          <reference field="4294967294" count="1" selected="0">
            <x v="14"/>
          </reference>
        </references>
      </pivotArea>
    </format>
    <format dxfId="7495">
      <pivotArea field="0" dataOnly="0" labelOnly="1" grandRow="1" outline="0" axis="axisRow" fieldPosition="0">
        <references count="1">
          <reference field="4294967294" count="1" selected="0">
            <x v="15"/>
          </reference>
        </references>
      </pivotArea>
    </format>
    <format dxfId="7494">
      <pivotArea field="0" dataOnly="0" labelOnly="1" grandRow="1" outline="0" axis="axisRow" fieldPosition="0">
        <references count="1">
          <reference field="4294967294" count="1" selected="0">
            <x v="16"/>
          </reference>
        </references>
      </pivotArea>
    </format>
    <format dxfId="7493">
      <pivotArea field="0" dataOnly="0" labelOnly="1" grandRow="1" outline="0" axis="axisRow" fieldPosition="0">
        <references count="1">
          <reference field="4294967294" count="1" selected="0">
            <x v="17"/>
          </reference>
        </references>
      </pivotArea>
    </format>
    <format dxfId="7492">
      <pivotArea field="0" dataOnly="0" labelOnly="1" grandRow="1" outline="0" axis="axisRow" fieldPosition="0">
        <references count="1">
          <reference field="4294967294" count="1" selected="0">
            <x v="18"/>
          </reference>
        </references>
      </pivotArea>
    </format>
    <format dxfId="7491">
      <pivotArea field="0" dataOnly="0" labelOnly="1" grandRow="1" outline="0" axis="axisRow" fieldPosition="0">
        <references count="1">
          <reference field="4294967294" count="1" selected="0">
            <x v="19"/>
          </reference>
        </references>
      </pivotArea>
    </format>
    <format dxfId="7490">
      <pivotArea field="0" dataOnly="0" labelOnly="1" grandRow="1" outline="0" axis="axisRow" fieldPosition="0">
        <references count="1">
          <reference field="4294967294" count="1" selected="0">
            <x v="20"/>
          </reference>
        </references>
      </pivotArea>
    </format>
    <format dxfId="7489">
      <pivotArea field="0" dataOnly="0" labelOnly="1" grandRow="1" outline="0" axis="axisRow" fieldPosition="0">
        <references count="1">
          <reference field="4294967294" count="1" selected="0">
            <x v="21"/>
          </reference>
        </references>
      </pivotArea>
    </format>
    <format dxfId="7488">
      <pivotArea field="0" dataOnly="0" labelOnly="1" grandRow="1" outline="0" axis="axisRow" fieldPosition="0">
        <references count="1">
          <reference field="4294967294" count="1" selected="0">
            <x v="22"/>
          </reference>
        </references>
      </pivotArea>
    </format>
    <format dxfId="7487">
      <pivotArea field="0" dataOnly="0" labelOnly="1" grandRow="1" outline="0" axis="axisRow" fieldPosition="0">
        <references count="1">
          <reference field="4294967294" count="1" selected="0">
            <x v="23"/>
          </reference>
        </references>
      </pivotArea>
    </format>
    <format dxfId="7486">
      <pivotArea field="0" dataOnly="0" labelOnly="1" grandRow="1" outline="0" axis="axisRow" fieldPosition="0">
        <references count="1">
          <reference field="4294967294" count="1" selected="0">
            <x v="24"/>
          </reference>
        </references>
      </pivotArea>
    </format>
    <format dxfId="7485">
      <pivotArea field="0" dataOnly="0" labelOnly="1" grandRow="1" outline="0" axis="axisRow" fieldPosition="0">
        <references count="1">
          <reference field="4294967294" count="1" selected="0">
            <x v="25"/>
          </reference>
        </references>
      </pivotArea>
    </format>
    <format dxfId="7484">
      <pivotArea field="0" dataOnly="0" labelOnly="1" grandRow="1" outline="0" axis="axisRow" fieldPosition="0">
        <references count="1">
          <reference field="4294967294" count="1" selected="0">
            <x v="26"/>
          </reference>
        </references>
      </pivotArea>
    </format>
    <format dxfId="7483">
      <pivotArea field="0" dataOnly="0" labelOnly="1" grandRow="1" outline="0" axis="axisRow" fieldPosition="0">
        <references count="1">
          <reference field="4294967294" count="1" selected="0">
            <x v="27"/>
          </reference>
        </references>
      </pivotArea>
    </format>
    <format dxfId="7482">
      <pivotArea field="0" dataOnly="0" labelOnly="1" grandRow="1" outline="0" axis="axisRow" fieldPosition="0">
        <references count="1">
          <reference field="4294967294" count="1" selected="0">
            <x v="28"/>
          </reference>
        </references>
      </pivotArea>
    </format>
    <format dxfId="7481">
      <pivotArea field="0" dataOnly="0" labelOnly="1" grandRow="1" outline="0" axis="axisRow" fieldPosition="0">
        <references count="1">
          <reference field="4294967294" count="1" selected="0">
            <x v="29"/>
          </reference>
        </references>
      </pivotArea>
    </format>
    <format dxfId="7480">
      <pivotArea field="0" dataOnly="0" labelOnly="1" grandRow="1" outline="0" axis="axisRow" fieldPosition="0">
        <references count="1">
          <reference field="4294967294" count="1" selected="0">
            <x v="30"/>
          </reference>
        </references>
      </pivotArea>
    </format>
    <format dxfId="7479">
      <pivotArea field="0" dataOnly="0" labelOnly="1" grandRow="1" outline="0" axis="axisRow" fieldPosition="0">
        <references count="1">
          <reference field="4294967294" count="1" selected="0">
            <x v="31"/>
          </reference>
        </references>
      </pivotArea>
    </format>
    <format dxfId="7478">
      <pivotArea field="0" dataOnly="0" labelOnly="1" grandRow="1" outline="0" axis="axisRow" fieldPosition="0">
        <references count="1">
          <reference field="4294967294" count="1" selected="0">
            <x v="32"/>
          </reference>
        </references>
      </pivotArea>
    </format>
    <format dxfId="7477">
      <pivotArea field="0" dataOnly="0" labelOnly="1" grandRow="1" outline="0" axis="axisRow" fieldPosition="0">
        <references count="1">
          <reference field="4294967294" count="1" selected="0">
            <x v="33"/>
          </reference>
        </references>
      </pivotArea>
    </format>
    <format dxfId="7476">
      <pivotArea field="0" dataOnly="0" labelOnly="1" grandRow="1" outline="0" axis="axisRow" fieldPosition="0">
        <references count="1">
          <reference field="4294967294" count="1" selected="0">
            <x v="34"/>
          </reference>
        </references>
      </pivotArea>
    </format>
    <format dxfId="7475">
      <pivotArea field="0" dataOnly="0" labelOnly="1" grandRow="1" outline="0" axis="axisRow" fieldPosition="0">
        <references count="1">
          <reference field="4294967294" count="1" selected="0">
            <x v="35"/>
          </reference>
        </references>
      </pivotArea>
    </format>
    <format dxfId="7474">
      <pivotArea field="0" dataOnly="0" labelOnly="1" grandRow="1" outline="0" axis="axisRow" fieldPosition="0">
        <references count="1">
          <reference field="4294967294" count="1" selected="0">
            <x v="0"/>
          </reference>
        </references>
      </pivotArea>
    </format>
    <format dxfId="7473">
      <pivotArea field="0" dataOnly="0" labelOnly="1" grandRow="1" outline="0" axis="axisRow" fieldPosition="0">
        <references count="1">
          <reference field="4294967294" count="1" selected="0">
            <x v="1"/>
          </reference>
        </references>
      </pivotArea>
    </format>
    <format dxfId="7472">
      <pivotArea field="0" dataOnly="0" labelOnly="1" grandRow="1" outline="0" axis="axisRow" fieldPosition="0">
        <references count="1">
          <reference field="4294967294" count="1" selected="0">
            <x v="2"/>
          </reference>
        </references>
      </pivotArea>
    </format>
    <format dxfId="7471">
      <pivotArea field="0" dataOnly="0" labelOnly="1" grandRow="1" outline="0" axis="axisRow" fieldPosition="0">
        <references count="1">
          <reference field="4294967294" count="1" selected="0">
            <x v="3"/>
          </reference>
        </references>
      </pivotArea>
    </format>
    <format dxfId="7470">
      <pivotArea field="0" dataOnly="0" labelOnly="1" grandRow="1" outline="0" axis="axisRow" fieldPosition="0">
        <references count="1">
          <reference field="4294967294" count="1" selected="0">
            <x v="4"/>
          </reference>
        </references>
      </pivotArea>
    </format>
    <format dxfId="7469">
      <pivotArea field="0" dataOnly="0" labelOnly="1" grandRow="1" outline="0" axis="axisRow" fieldPosition="0">
        <references count="1">
          <reference field="4294967294" count="1" selected="0">
            <x v="5"/>
          </reference>
        </references>
      </pivotArea>
    </format>
    <format dxfId="7468">
      <pivotArea field="0" dataOnly="0" labelOnly="1" grandRow="1" outline="0" axis="axisRow" fieldPosition="0">
        <references count="1">
          <reference field="4294967294" count="1" selected="0">
            <x v="6"/>
          </reference>
        </references>
      </pivotArea>
    </format>
    <format dxfId="7467">
      <pivotArea field="0" dataOnly="0" labelOnly="1" grandRow="1" outline="0" axis="axisRow" fieldPosition="0">
        <references count="1">
          <reference field="4294967294" count="1" selected="0">
            <x v="7"/>
          </reference>
        </references>
      </pivotArea>
    </format>
    <format dxfId="7466">
      <pivotArea field="0" dataOnly="0" labelOnly="1" grandRow="1" outline="0" axis="axisRow" fieldPosition="0">
        <references count="1">
          <reference field="4294967294" count="1" selected="0">
            <x v="8"/>
          </reference>
        </references>
      </pivotArea>
    </format>
    <format dxfId="7465">
      <pivotArea field="0" dataOnly="0" labelOnly="1" grandRow="1" outline="0" axis="axisRow" fieldPosition="0">
        <references count="1">
          <reference field="4294967294" count="1" selected="0">
            <x v="9"/>
          </reference>
        </references>
      </pivotArea>
    </format>
    <format dxfId="7464">
      <pivotArea field="0" dataOnly="0" labelOnly="1" grandRow="1" outline="0" axis="axisRow" fieldPosition="0">
        <references count="1">
          <reference field="4294967294" count="1" selected="0">
            <x v="10"/>
          </reference>
        </references>
      </pivotArea>
    </format>
    <format dxfId="7463">
      <pivotArea field="0" dataOnly="0" labelOnly="1" grandRow="1" outline="0" axis="axisRow" fieldPosition="0">
        <references count="1">
          <reference field="4294967294" count="1" selected="0">
            <x v="11"/>
          </reference>
        </references>
      </pivotArea>
    </format>
    <format dxfId="7462">
      <pivotArea field="0" dataOnly="0" labelOnly="1" grandRow="1" outline="0" axis="axisRow" fieldPosition="0">
        <references count="1">
          <reference field="4294967294" count="1" selected="0">
            <x v="12"/>
          </reference>
        </references>
      </pivotArea>
    </format>
    <format dxfId="7461">
      <pivotArea field="0" dataOnly="0" labelOnly="1" grandRow="1" outline="0" axis="axisRow" fieldPosition="0">
        <references count="1">
          <reference field="4294967294" count="1" selected="0">
            <x v="13"/>
          </reference>
        </references>
      </pivotArea>
    </format>
    <format dxfId="7460">
      <pivotArea field="0" dataOnly="0" labelOnly="1" grandRow="1" outline="0" axis="axisRow" fieldPosition="0">
        <references count="1">
          <reference field="4294967294" count="1" selected="0">
            <x v="14"/>
          </reference>
        </references>
      </pivotArea>
    </format>
    <format dxfId="7459">
      <pivotArea field="0" dataOnly="0" labelOnly="1" grandRow="1" outline="0" axis="axisRow" fieldPosition="0">
        <references count="1">
          <reference field="4294967294" count="1" selected="0">
            <x v="15"/>
          </reference>
        </references>
      </pivotArea>
    </format>
    <format dxfId="7458">
      <pivotArea field="0" dataOnly="0" labelOnly="1" grandRow="1" outline="0" axis="axisRow" fieldPosition="0">
        <references count="1">
          <reference field="4294967294" count="1" selected="0">
            <x v="16"/>
          </reference>
        </references>
      </pivotArea>
    </format>
    <format dxfId="7457">
      <pivotArea field="0" dataOnly="0" labelOnly="1" grandRow="1" outline="0" axis="axisRow" fieldPosition="0">
        <references count="1">
          <reference field="4294967294" count="1" selected="0">
            <x v="17"/>
          </reference>
        </references>
      </pivotArea>
    </format>
    <format dxfId="7456">
      <pivotArea field="0" dataOnly="0" labelOnly="1" grandRow="1" outline="0" axis="axisRow" fieldPosition="0">
        <references count="1">
          <reference field="4294967294" count="1" selected="0">
            <x v="18"/>
          </reference>
        </references>
      </pivotArea>
    </format>
    <format dxfId="7455">
      <pivotArea field="0" dataOnly="0" labelOnly="1" grandRow="1" outline="0" axis="axisRow" fieldPosition="0">
        <references count="1">
          <reference field="4294967294" count="1" selected="0">
            <x v="19"/>
          </reference>
        </references>
      </pivotArea>
    </format>
    <format dxfId="7454">
      <pivotArea field="0" dataOnly="0" labelOnly="1" grandRow="1" outline="0" axis="axisRow" fieldPosition="0">
        <references count="1">
          <reference field="4294967294" count="1" selected="0">
            <x v="20"/>
          </reference>
        </references>
      </pivotArea>
    </format>
    <format dxfId="7453">
      <pivotArea field="0" dataOnly="0" labelOnly="1" grandRow="1" outline="0" axis="axisRow" fieldPosition="0">
        <references count="1">
          <reference field="4294967294" count="1" selected="0">
            <x v="21"/>
          </reference>
        </references>
      </pivotArea>
    </format>
    <format dxfId="7452">
      <pivotArea field="0" dataOnly="0" labelOnly="1" grandRow="1" outline="0" axis="axisRow" fieldPosition="0">
        <references count="1">
          <reference field="4294967294" count="1" selected="0">
            <x v="22"/>
          </reference>
        </references>
      </pivotArea>
    </format>
    <format dxfId="7451">
      <pivotArea field="0" dataOnly="0" labelOnly="1" grandRow="1" outline="0" axis="axisRow" fieldPosition="0">
        <references count="1">
          <reference field="4294967294" count="1" selected="0">
            <x v="23"/>
          </reference>
        </references>
      </pivotArea>
    </format>
    <format dxfId="7450">
      <pivotArea field="0" dataOnly="0" labelOnly="1" grandRow="1" outline="0" axis="axisRow" fieldPosition="0">
        <references count="1">
          <reference field="4294967294" count="1" selected="0">
            <x v="24"/>
          </reference>
        </references>
      </pivotArea>
    </format>
    <format dxfId="7449">
      <pivotArea field="0" dataOnly="0" labelOnly="1" grandRow="1" outline="0" axis="axisRow" fieldPosition="0">
        <references count="1">
          <reference field="4294967294" count="1" selected="0">
            <x v="25"/>
          </reference>
        </references>
      </pivotArea>
    </format>
    <format dxfId="7448">
      <pivotArea field="0" dataOnly="0" labelOnly="1" grandRow="1" outline="0" axis="axisRow" fieldPosition="0">
        <references count="1">
          <reference field="4294967294" count="1" selected="0">
            <x v="26"/>
          </reference>
        </references>
      </pivotArea>
    </format>
    <format dxfId="7447">
      <pivotArea field="0" dataOnly="0" labelOnly="1" grandRow="1" outline="0" axis="axisRow" fieldPosition="0">
        <references count="1">
          <reference field="4294967294" count="1" selected="0">
            <x v="27"/>
          </reference>
        </references>
      </pivotArea>
    </format>
    <format dxfId="7446">
      <pivotArea field="0" dataOnly="0" labelOnly="1" grandRow="1" outline="0" axis="axisRow" fieldPosition="0">
        <references count="1">
          <reference field="4294967294" count="1" selected="0">
            <x v="28"/>
          </reference>
        </references>
      </pivotArea>
    </format>
    <format dxfId="7445">
      <pivotArea field="0" dataOnly="0" labelOnly="1" grandRow="1" outline="0" axis="axisRow" fieldPosition="0">
        <references count="1">
          <reference field="4294967294" count="1" selected="0">
            <x v="29"/>
          </reference>
        </references>
      </pivotArea>
    </format>
    <format dxfId="7444">
      <pivotArea field="0" dataOnly="0" labelOnly="1" grandRow="1" outline="0" axis="axisRow" fieldPosition="0">
        <references count="1">
          <reference field="4294967294" count="1" selected="0">
            <x v="30"/>
          </reference>
        </references>
      </pivotArea>
    </format>
    <format dxfId="7443">
      <pivotArea field="0" dataOnly="0" labelOnly="1" grandRow="1" outline="0" axis="axisRow" fieldPosition="0">
        <references count="1">
          <reference field="4294967294" count="1" selected="0">
            <x v="31"/>
          </reference>
        </references>
      </pivotArea>
    </format>
    <format dxfId="7442">
      <pivotArea field="0" dataOnly="0" labelOnly="1" grandRow="1" outline="0" axis="axisRow" fieldPosition="0">
        <references count="1">
          <reference field="4294967294" count="1" selected="0">
            <x v="32"/>
          </reference>
        </references>
      </pivotArea>
    </format>
    <format dxfId="7441">
      <pivotArea field="0" dataOnly="0" labelOnly="1" grandRow="1" outline="0" axis="axisRow" fieldPosition="0">
        <references count="1">
          <reference field="4294967294" count="1" selected="0">
            <x v="33"/>
          </reference>
        </references>
      </pivotArea>
    </format>
    <format dxfId="7440">
      <pivotArea field="0" dataOnly="0" labelOnly="1" grandRow="1" outline="0" axis="axisRow" fieldPosition="0">
        <references count="1">
          <reference field="4294967294" count="1" selected="0">
            <x v="34"/>
          </reference>
        </references>
      </pivotArea>
    </format>
    <format dxfId="7439">
      <pivotArea field="0" dataOnly="0" labelOnly="1" grandRow="1" outline="0" axis="axisRow" fieldPosition="0">
        <references count="1">
          <reference field="4294967294" count="1" selected="0">
            <x v="35"/>
          </reference>
        </references>
      </pivotArea>
    </format>
    <format dxfId="7438">
      <pivotArea field="0" dataOnly="0" labelOnly="1" grandRow="1" outline="0" axis="axisRow" fieldPosition="0">
        <references count="1">
          <reference field="4294967294" count="1" selected="0">
            <x v="0"/>
          </reference>
        </references>
      </pivotArea>
    </format>
    <format dxfId="7437">
      <pivotArea field="0" dataOnly="0" labelOnly="1" grandRow="1" outline="0" axis="axisRow" fieldPosition="0">
        <references count="1">
          <reference field="4294967294" count="1" selected="0">
            <x v="1"/>
          </reference>
        </references>
      </pivotArea>
    </format>
    <format dxfId="7436">
      <pivotArea field="0" dataOnly="0" labelOnly="1" grandRow="1" outline="0" axis="axisRow" fieldPosition="0">
        <references count="1">
          <reference field="4294967294" count="1" selected="0">
            <x v="2"/>
          </reference>
        </references>
      </pivotArea>
    </format>
    <format dxfId="7435">
      <pivotArea field="0" dataOnly="0" labelOnly="1" grandRow="1" outline="0" axis="axisRow" fieldPosition="0">
        <references count="1">
          <reference field="4294967294" count="1" selected="0">
            <x v="3"/>
          </reference>
        </references>
      </pivotArea>
    </format>
    <format dxfId="7434">
      <pivotArea field="0" dataOnly="0" labelOnly="1" grandRow="1" outline="0" axis="axisRow" fieldPosition="0">
        <references count="1">
          <reference field="4294967294" count="1" selected="0">
            <x v="4"/>
          </reference>
        </references>
      </pivotArea>
    </format>
    <format dxfId="7433">
      <pivotArea field="0" dataOnly="0" labelOnly="1" grandRow="1" outline="0" axis="axisRow" fieldPosition="0">
        <references count="1">
          <reference field="4294967294" count="1" selected="0">
            <x v="5"/>
          </reference>
        </references>
      </pivotArea>
    </format>
    <format dxfId="7432">
      <pivotArea field="0" dataOnly="0" labelOnly="1" grandRow="1" outline="0" axis="axisRow" fieldPosition="0">
        <references count="1">
          <reference field="4294967294" count="1" selected="0">
            <x v="6"/>
          </reference>
        </references>
      </pivotArea>
    </format>
    <format dxfId="7431">
      <pivotArea field="0" dataOnly="0" labelOnly="1" grandRow="1" outline="0" axis="axisRow" fieldPosition="0">
        <references count="1">
          <reference field="4294967294" count="1" selected="0">
            <x v="7"/>
          </reference>
        </references>
      </pivotArea>
    </format>
    <format dxfId="7430">
      <pivotArea field="0" dataOnly="0" labelOnly="1" grandRow="1" outline="0" axis="axisRow" fieldPosition="0">
        <references count="1">
          <reference field="4294967294" count="1" selected="0">
            <x v="8"/>
          </reference>
        </references>
      </pivotArea>
    </format>
    <format dxfId="7429">
      <pivotArea field="0" dataOnly="0" labelOnly="1" grandRow="1" outline="0" axis="axisRow" fieldPosition="0">
        <references count="1">
          <reference field="4294967294" count="1" selected="0">
            <x v="9"/>
          </reference>
        </references>
      </pivotArea>
    </format>
    <format dxfId="7428">
      <pivotArea field="0" dataOnly="0" labelOnly="1" grandRow="1" outline="0" axis="axisRow" fieldPosition="0">
        <references count="1">
          <reference field="4294967294" count="1" selected="0">
            <x v="10"/>
          </reference>
        </references>
      </pivotArea>
    </format>
    <format dxfId="7427">
      <pivotArea field="0" dataOnly="0" labelOnly="1" grandRow="1" outline="0" axis="axisRow" fieldPosition="0">
        <references count="1">
          <reference field="4294967294" count="1" selected="0">
            <x v="11"/>
          </reference>
        </references>
      </pivotArea>
    </format>
    <format dxfId="7426">
      <pivotArea field="0" dataOnly="0" labelOnly="1" grandRow="1" outline="0" axis="axisRow" fieldPosition="0">
        <references count="1">
          <reference field="4294967294" count="1" selected="0">
            <x v="12"/>
          </reference>
        </references>
      </pivotArea>
    </format>
    <format dxfId="7425">
      <pivotArea field="0" dataOnly="0" labelOnly="1" grandRow="1" outline="0" axis="axisRow" fieldPosition="0">
        <references count="1">
          <reference field="4294967294" count="1" selected="0">
            <x v="13"/>
          </reference>
        </references>
      </pivotArea>
    </format>
    <format dxfId="7424">
      <pivotArea field="0" dataOnly="0" labelOnly="1" grandRow="1" outline="0" axis="axisRow" fieldPosition="0">
        <references count="1">
          <reference field="4294967294" count="1" selected="0">
            <x v="14"/>
          </reference>
        </references>
      </pivotArea>
    </format>
    <format dxfId="7423">
      <pivotArea field="0" dataOnly="0" labelOnly="1" grandRow="1" outline="0" axis="axisRow" fieldPosition="0">
        <references count="1">
          <reference field="4294967294" count="1" selected="0">
            <x v="15"/>
          </reference>
        </references>
      </pivotArea>
    </format>
    <format dxfId="7422">
      <pivotArea field="0" dataOnly="0" labelOnly="1" grandRow="1" outline="0" axis="axisRow" fieldPosition="0">
        <references count="1">
          <reference field="4294967294" count="1" selected="0">
            <x v="16"/>
          </reference>
        </references>
      </pivotArea>
    </format>
    <format dxfId="7421">
      <pivotArea field="0" dataOnly="0" labelOnly="1" grandRow="1" outline="0" axis="axisRow" fieldPosition="0">
        <references count="1">
          <reference field="4294967294" count="1" selected="0">
            <x v="17"/>
          </reference>
        </references>
      </pivotArea>
    </format>
    <format dxfId="7420">
      <pivotArea field="0" dataOnly="0" labelOnly="1" grandRow="1" outline="0" axis="axisRow" fieldPosition="0">
        <references count="1">
          <reference field="4294967294" count="1" selected="0">
            <x v="18"/>
          </reference>
        </references>
      </pivotArea>
    </format>
    <format dxfId="7419">
      <pivotArea field="0" dataOnly="0" labelOnly="1" grandRow="1" outline="0" axis="axisRow" fieldPosition="0">
        <references count="1">
          <reference field="4294967294" count="1" selected="0">
            <x v="19"/>
          </reference>
        </references>
      </pivotArea>
    </format>
    <format dxfId="7418">
      <pivotArea field="0" dataOnly="0" labelOnly="1" grandRow="1" outline="0" axis="axisRow" fieldPosition="0">
        <references count="1">
          <reference field="4294967294" count="1" selected="0">
            <x v="20"/>
          </reference>
        </references>
      </pivotArea>
    </format>
    <format dxfId="7417">
      <pivotArea field="0" dataOnly="0" labelOnly="1" grandRow="1" outline="0" axis="axisRow" fieldPosition="0">
        <references count="1">
          <reference field="4294967294" count="1" selected="0">
            <x v="21"/>
          </reference>
        </references>
      </pivotArea>
    </format>
    <format dxfId="7416">
      <pivotArea field="0" dataOnly="0" labelOnly="1" grandRow="1" outline="0" axis="axisRow" fieldPosition="0">
        <references count="1">
          <reference field="4294967294" count="1" selected="0">
            <x v="22"/>
          </reference>
        </references>
      </pivotArea>
    </format>
    <format dxfId="7415">
      <pivotArea field="0" dataOnly="0" labelOnly="1" grandRow="1" outline="0" axis="axisRow" fieldPosition="0">
        <references count="1">
          <reference field="4294967294" count="1" selected="0">
            <x v="23"/>
          </reference>
        </references>
      </pivotArea>
    </format>
    <format dxfId="7414">
      <pivotArea field="0" dataOnly="0" labelOnly="1" grandRow="1" outline="0" axis="axisRow" fieldPosition="0">
        <references count="1">
          <reference field="4294967294" count="1" selected="0">
            <x v="24"/>
          </reference>
        </references>
      </pivotArea>
    </format>
    <format dxfId="7413">
      <pivotArea field="0" dataOnly="0" labelOnly="1" grandRow="1" outline="0" axis="axisRow" fieldPosition="0">
        <references count="1">
          <reference field="4294967294" count="1" selected="0">
            <x v="25"/>
          </reference>
        </references>
      </pivotArea>
    </format>
    <format dxfId="7412">
      <pivotArea field="0" dataOnly="0" labelOnly="1" grandRow="1" outline="0" axis="axisRow" fieldPosition="0">
        <references count="1">
          <reference field="4294967294" count="1" selected="0">
            <x v="26"/>
          </reference>
        </references>
      </pivotArea>
    </format>
    <format dxfId="7411">
      <pivotArea field="0" dataOnly="0" labelOnly="1" grandRow="1" outline="0" axis="axisRow" fieldPosition="0">
        <references count="1">
          <reference field="4294967294" count="1" selected="0">
            <x v="27"/>
          </reference>
        </references>
      </pivotArea>
    </format>
    <format dxfId="7410">
      <pivotArea field="0" dataOnly="0" labelOnly="1" grandRow="1" outline="0" axis="axisRow" fieldPosition="0">
        <references count="1">
          <reference field="4294967294" count="1" selected="0">
            <x v="28"/>
          </reference>
        </references>
      </pivotArea>
    </format>
    <format dxfId="7409">
      <pivotArea field="0" dataOnly="0" labelOnly="1" grandRow="1" outline="0" axis="axisRow" fieldPosition="0">
        <references count="1">
          <reference field="4294967294" count="1" selected="0">
            <x v="29"/>
          </reference>
        </references>
      </pivotArea>
    </format>
    <format dxfId="7408">
      <pivotArea field="0" dataOnly="0" labelOnly="1" grandRow="1" outline="0" axis="axisRow" fieldPosition="0">
        <references count="1">
          <reference field="4294967294" count="1" selected="0">
            <x v="30"/>
          </reference>
        </references>
      </pivotArea>
    </format>
    <format dxfId="7407">
      <pivotArea field="0" dataOnly="0" labelOnly="1" grandRow="1" outline="0" axis="axisRow" fieldPosition="0">
        <references count="1">
          <reference field="4294967294" count="1" selected="0">
            <x v="31"/>
          </reference>
        </references>
      </pivotArea>
    </format>
    <format dxfId="7406">
      <pivotArea field="0" dataOnly="0" labelOnly="1" grandRow="1" outline="0" axis="axisRow" fieldPosition="0">
        <references count="1">
          <reference field="4294967294" count="1" selected="0">
            <x v="32"/>
          </reference>
        </references>
      </pivotArea>
    </format>
    <format dxfId="7405">
      <pivotArea field="0" dataOnly="0" labelOnly="1" grandRow="1" outline="0" axis="axisRow" fieldPosition="0">
        <references count="1">
          <reference field="4294967294" count="1" selected="0">
            <x v="33"/>
          </reference>
        </references>
      </pivotArea>
    </format>
    <format dxfId="7404">
      <pivotArea field="0" dataOnly="0" labelOnly="1" grandRow="1" outline="0" axis="axisRow" fieldPosition="0">
        <references count="1">
          <reference field="4294967294" count="1" selected="0">
            <x v="34"/>
          </reference>
        </references>
      </pivotArea>
    </format>
    <format dxfId="7403">
      <pivotArea field="0" dataOnly="0" labelOnly="1" grandRow="1" outline="0" axis="axisRow" fieldPosition="0">
        <references count="1">
          <reference field="4294967294" count="1" selected="0">
            <x v="35"/>
          </reference>
        </references>
      </pivotArea>
    </format>
    <format dxfId="7402">
      <pivotArea field="0" dataOnly="0" labelOnly="1" grandRow="1" outline="0" axis="axisRow" fieldPosition="0">
        <references count="1">
          <reference field="4294967294" count="1" selected="0">
            <x v="0"/>
          </reference>
        </references>
      </pivotArea>
    </format>
    <format dxfId="7401">
      <pivotArea field="0" dataOnly="0" labelOnly="1" grandRow="1" outline="0" axis="axisRow" fieldPosition="0">
        <references count="1">
          <reference field="4294967294" count="1" selected="0">
            <x v="1"/>
          </reference>
        </references>
      </pivotArea>
    </format>
    <format dxfId="7400">
      <pivotArea field="0" dataOnly="0" labelOnly="1" grandRow="1" outline="0" axis="axisRow" fieldPosition="0">
        <references count="1">
          <reference field="4294967294" count="1" selected="0">
            <x v="2"/>
          </reference>
        </references>
      </pivotArea>
    </format>
    <format dxfId="7399">
      <pivotArea field="0" dataOnly="0" labelOnly="1" grandRow="1" outline="0" axis="axisRow" fieldPosition="0">
        <references count="1">
          <reference field="4294967294" count="1" selected="0">
            <x v="3"/>
          </reference>
        </references>
      </pivotArea>
    </format>
    <format dxfId="7398">
      <pivotArea field="0" dataOnly="0" labelOnly="1" grandRow="1" outline="0" axis="axisRow" fieldPosition="0">
        <references count="1">
          <reference field="4294967294" count="1" selected="0">
            <x v="4"/>
          </reference>
        </references>
      </pivotArea>
    </format>
    <format dxfId="7397">
      <pivotArea field="0" dataOnly="0" labelOnly="1" grandRow="1" outline="0" axis="axisRow" fieldPosition="0">
        <references count="1">
          <reference field="4294967294" count="1" selected="0">
            <x v="5"/>
          </reference>
        </references>
      </pivotArea>
    </format>
    <format dxfId="7396">
      <pivotArea field="0" dataOnly="0" labelOnly="1" grandRow="1" outline="0" axis="axisRow" fieldPosition="0">
        <references count="1">
          <reference field="4294967294" count="1" selected="0">
            <x v="6"/>
          </reference>
        </references>
      </pivotArea>
    </format>
    <format dxfId="7395">
      <pivotArea field="0" dataOnly="0" labelOnly="1" grandRow="1" outline="0" axis="axisRow" fieldPosition="0">
        <references count="1">
          <reference field="4294967294" count="1" selected="0">
            <x v="7"/>
          </reference>
        </references>
      </pivotArea>
    </format>
    <format dxfId="7394">
      <pivotArea field="0" dataOnly="0" labelOnly="1" grandRow="1" outline="0" axis="axisRow" fieldPosition="0">
        <references count="1">
          <reference field="4294967294" count="1" selected="0">
            <x v="8"/>
          </reference>
        </references>
      </pivotArea>
    </format>
    <format dxfId="7393">
      <pivotArea field="0" dataOnly="0" labelOnly="1" grandRow="1" outline="0" axis="axisRow" fieldPosition="0">
        <references count="1">
          <reference field="4294967294" count="1" selected="0">
            <x v="9"/>
          </reference>
        </references>
      </pivotArea>
    </format>
    <format dxfId="7392">
      <pivotArea field="0" dataOnly="0" labelOnly="1" grandRow="1" outline="0" axis="axisRow" fieldPosition="0">
        <references count="1">
          <reference field="4294967294" count="1" selected="0">
            <x v="10"/>
          </reference>
        </references>
      </pivotArea>
    </format>
    <format dxfId="7391">
      <pivotArea field="0" dataOnly="0" labelOnly="1" grandRow="1" outline="0" axis="axisRow" fieldPosition="0">
        <references count="1">
          <reference field="4294967294" count="1" selected="0">
            <x v="11"/>
          </reference>
        </references>
      </pivotArea>
    </format>
    <format dxfId="7390">
      <pivotArea field="0" dataOnly="0" labelOnly="1" grandRow="1" outline="0" axis="axisRow" fieldPosition="0">
        <references count="1">
          <reference field="4294967294" count="1" selected="0">
            <x v="12"/>
          </reference>
        </references>
      </pivotArea>
    </format>
    <format dxfId="7389">
      <pivotArea field="0" dataOnly="0" labelOnly="1" grandRow="1" outline="0" axis="axisRow" fieldPosition="0">
        <references count="1">
          <reference field="4294967294" count="1" selected="0">
            <x v="13"/>
          </reference>
        </references>
      </pivotArea>
    </format>
    <format dxfId="7388">
      <pivotArea field="0" dataOnly="0" labelOnly="1" grandRow="1" outline="0" axis="axisRow" fieldPosition="0">
        <references count="1">
          <reference field="4294967294" count="1" selected="0">
            <x v="14"/>
          </reference>
        </references>
      </pivotArea>
    </format>
    <format dxfId="7387">
      <pivotArea field="0" dataOnly="0" labelOnly="1" grandRow="1" outline="0" axis="axisRow" fieldPosition="0">
        <references count="1">
          <reference field="4294967294" count="1" selected="0">
            <x v="15"/>
          </reference>
        </references>
      </pivotArea>
    </format>
    <format dxfId="7386">
      <pivotArea field="0" dataOnly="0" labelOnly="1" grandRow="1" outline="0" axis="axisRow" fieldPosition="0">
        <references count="1">
          <reference field="4294967294" count="1" selected="0">
            <x v="16"/>
          </reference>
        </references>
      </pivotArea>
    </format>
    <format dxfId="7385">
      <pivotArea field="0" dataOnly="0" labelOnly="1" grandRow="1" outline="0" axis="axisRow" fieldPosition="0">
        <references count="1">
          <reference field="4294967294" count="1" selected="0">
            <x v="17"/>
          </reference>
        </references>
      </pivotArea>
    </format>
    <format dxfId="7384">
      <pivotArea field="0" dataOnly="0" labelOnly="1" grandRow="1" outline="0" axis="axisRow" fieldPosition="0">
        <references count="1">
          <reference field="4294967294" count="1" selected="0">
            <x v="18"/>
          </reference>
        </references>
      </pivotArea>
    </format>
    <format dxfId="7383">
      <pivotArea field="0" dataOnly="0" labelOnly="1" grandRow="1" outline="0" axis="axisRow" fieldPosition="0">
        <references count="1">
          <reference field="4294967294" count="1" selected="0">
            <x v="19"/>
          </reference>
        </references>
      </pivotArea>
    </format>
    <format dxfId="7382">
      <pivotArea field="0" dataOnly="0" labelOnly="1" grandRow="1" outline="0" axis="axisRow" fieldPosition="0">
        <references count="1">
          <reference field="4294967294" count="1" selected="0">
            <x v="20"/>
          </reference>
        </references>
      </pivotArea>
    </format>
    <format dxfId="7381">
      <pivotArea field="0" dataOnly="0" labelOnly="1" grandRow="1" outline="0" axis="axisRow" fieldPosition="0">
        <references count="1">
          <reference field="4294967294" count="1" selected="0">
            <x v="21"/>
          </reference>
        </references>
      </pivotArea>
    </format>
    <format dxfId="7380">
      <pivotArea field="0" dataOnly="0" labelOnly="1" grandRow="1" outline="0" axis="axisRow" fieldPosition="0">
        <references count="1">
          <reference field="4294967294" count="1" selected="0">
            <x v="22"/>
          </reference>
        </references>
      </pivotArea>
    </format>
    <format dxfId="7379">
      <pivotArea field="0" dataOnly="0" labelOnly="1" grandRow="1" outline="0" axis="axisRow" fieldPosition="0">
        <references count="1">
          <reference field="4294967294" count="1" selected="0">
            <x v="23"/>
          </reference>
        </references>
      </pivotArea>
    </format>
    <format dxfId="7378">
      <pivotArea field="0" dataOnly="0" labelOnly="1" grandRow="1" outline="0" axis="axisRow" fieldPosition="0">
        <references count="1">
          <reference field="4294967294" count="1" selected="0">
            <x v="24"/>
          </reference>
        </references>
      </pivotArea>
    </format>
    <format dxfId="7377">
      <pivotArea field="0" dataOnly="0" labelOnly="1" grandRow="1" outline="0" axis="axisRow" fieldPosition="0">
        <references count="1">
          <reference field="4294967294" count="1" selected="0">
            <x v="25"/>
          </reference>
        </references>
      </pivotArea>
    </format>
    <format dxfId="7376">
      <pivotArea field="0" dataOnly="0" labelOnly="1" grandRow="1" outline="0" axis="axisRow" fieldPosition="0">
        <references count="1">
          <reference field="4294967294" count="1" selected="0">
            <x v="26"/>
          </reference>
        </references>
      </pivotArea>
    </format>
    <format dxfId="7375">
      <pivotArea field="0" dataOnly="0" labelOnly="1" grandRow="1" outline="0" axis="axisRow" fieldPosition="0">
        <references count="1">
          <reference field="4294967294" count="1" selected="0">
            <x v="27"/>
          </reference>
        </references>
      </pivotArea>
    </format>
    <format dxfId="7374">
      <pivotArea field="0" dataOnly="0" labelOnly="1" grandRow="1" outline="0" axis="axisRow" fieldPosition="0">
        <references count="1">
          <reference field="4294967294" count="1" selected="0">
            <x v="28"/>
          </reference>
        </references>
      </pivotArea>
    </format>
    <format dxfId="7373">
      <pivotArea field="0" dataOnly="0" labelOnly="1" grandRow="1" outline="0" axis="axisRow" fieldPosition="0">
        <references count="1">
          <reference field="4294967294" count="1" selected="0">
            <x v="29"/>
          </reference>
        </references>
      </pivotArea>
    </format>
    <format dxfId="7372">
      <pivotArea field="0" dataOnly="0" labelOnly="1" grandRow="1" outline="0" axis="axisRow" fieldPosition="0">
        <references count="1">
          <reference field="4294967294" count="1" selected="0">
            <x v="30"/>
          </reference>
        </references>
      </pivotArea>
    </format>
    <format dxfId="7371">
      <pivotArea field="0" dataOnly="0" labelOnly="1" grandRow="1" outline="0" axis="axisRow" fieldPosition="0">
        <references count="1">
          <reference field="4294967294" count="1" selected="0">
            <x v="31"/>
          </reference>
        </references>
      </pivotArea>
    </format>
    <format dxfId="7370">
      <pivotArea field="0" dataOnly="0" labelOnly="1" grandRow="1" outline="0" axis="axisRow" fieldPosition="0">
        <references count="1">
          <reference field="4294967294" count="1" selected="0">
            <x v="32"/>
          </reference>
        </references>
      </pivotArea>
    </format>
    <format dxfId="7369">
      <pivotArea field="0" dataOnly="0" labelOnly="1" grandRow="1" outline="0" axis="axisRow" fieldPosition="0">
        <references count="1">
          <reference field="4294967294" count="1" selected="0">
            <x v="33"/>
          </reference>
        </references>
      </pivotArea>
    </format>
    <format dxfId="7368">
      <pivotArea field="0" dataOnly="0" labelOnly="1" grandRow="1" outline="0" axis="axisRow" fieldPosition="0">
        <references count="1">
          <reference field="4294967294" count="1" selected="0">
            <x v="34"/>
          </reference>
        </references>
      </pivotArea>
    </format>
    <format dxfId="7367">
      <pivotArea field="0" dataOnly="0" labelOnly="1" grandRow="1" outline="0" axis="axisRow" fieldPosition="0">
        <references count="1">
          <reference field="4294967294" count="1" selected="0">
            <x v="35"/>
          </reference>
        </references>
      </pivotArea>
    </format>
    <format dxfId="7366">
      <pivotArea field="0" dataOnly="0" labelOnly="1" grandRow="1" outline="0" axis="axisRow" fieldPosition="0">
        <references count="1">
          <reference field="4294967294" count="1" selected="0">
            <x v="0"/>
          </reference>
        </references>
      </pivotArea>
    </format>
    <format dxfId="7365">
      <pivotArea field="0" dataOnly="0" labelOnly="1" grandRow="1" outline="0" axis="axisRow" fieldPosition="0">
        <references count="1">
          <reference field="4294967294" count="1" selected="0">
            <x v="1"/>
          </reference>
        </references>
      </pivotArea>
    </format>
    <format dxfId="7364">
      <pivotArea field="0" dataOnly="0" labelOnly="1" grandRow="1" outline="0" axis="axisRow" fieldPosition="0">
        <references count="1">
          <reference field="4294967294" count="1" selected="0">
            <x v="2"/>
          </reference>
        </references>
      </pivotArea>
    </format>
    <format dxfId="7363">
      <pivotArea field="0" dataOnly="0" labelOnly="1" grandRow="1" outline="0" axis="axisRow" fieldPosition="0">
        <references count="1">
          <reference field="4294967294" count="1" selected="0">
            <x v="3"/>
          </reference>
        </references>
      </pivotArea>
    </format>
    <format dxfId="7362">
      <pivotArea field="0" dataOnly="0" labelOnly="1" grandRow="1" outline="0" axis="axisRow" fieldPosition="0">
        <references count="1">
          <reference field="4294967294" count="1" selected="0">
            <x v="4"/>
          </reference>
        </references>
      </pivotArea>
    </format>
    <format dxfId="7361">
      <pivotArea field="0" dataOnly="0" labelOnly="1" grandRow="1" outline="0" axis="axisRow" fieldPosition="0">
        <references count="1">
          <reference field="4294967294" count="1" selected="0">
            <x v="5"/>
          </reference>
        </references>
      </pivotArea>
    </format>
    <format dxfId="7360">
      <pivotArea field="0" dataOnly="0" labelOnly="1" grandRow="1" outline="0" axis="axisRow" fieldPosition="0">
        <references count="1">
          <reference field="4294967294" count="1" selected="0">
            <x v="6"/>
          </reference>
        </references>
      </pivotArea>
    </format>
    <format dxfId="7359">
      <pivotArea field="0" dataOnly="0" labelOnly="1" grandRow="1" outline="0" axis="axisRow" fieldPosition="0">
        <references count="1">
          <reference field="4294967294" count="1" selected="0">
            <x v="7"/>
          </reference>
        </references>
      </pivotArea>
    </format>
    <format dxfId="7358">
      <pivotArea field="0" dataOnly="0" labelOnly="1" grandRow="1" outline="0" axis="axisRow" fieldPosition="0">
        <references count="1">
          <reference field="4294967294" count="1" selected="0">
            <x v="8"/>
          </reference>
        </references>
      </pivotArea>
    </format>
    <format dxfId="7357">
      <pivotArea field="0" dataOnly="0" labelOnly="1" grandRow="1" outline="0" axis="axisRow" fieldPosition="0">
        <references count="1">
          <reference field="4294967294" count="1" selected="0">
            <x v="9"/>
          </reference>
        </references>
      </pivotArea>
    </format>
    <format dxfId="7356">
      <pivotArea field="0" dataOnly="0" labelOnly="1" grandRow="1" outline="0" axis="axisRow" fieldPosition="0">
        <references count="1">
          <reference field="4294967294" count="1" selected="0">
            <x v="10"/>
          </reference>
        </references>
      </pivotArea>
    </format>
    <format dxfId="7355">
      <pivotArea field="0" dataOnly="0" labelOnly="1" grandRow="1" outline="0" axis="axisRow" fieldPosition="0">
        <references count="1">
          <reference field="4294967294" count="1" selected="0">
            <x v="11"/>
          </reference>
        </references>
      </pivotArea>
    </format>
    <format dxfId="7354">
      <pivotArea field="0" dataOnly="0" labelOnly="1" grandRow="1" outline="0" axis="axisRow" fieldPosition="0">
        <references count="1">
          <reference field="4294967294" count="1" selected="0">
            <x v="12"/>
          </reference>
        </references>
      </pivotArea>
    </format>
    <format dxfId="7353">
      <pivotArea field="0" dataOnly="0" labelOnly="1" grandRow="1" outline="0" axis="axisRow" fieldPosition="0">
        <references count="1">
          <reference field="4294967294" count="1" selected="0">
            <x v="13"/>
          </reference>
        </references>
      </pivotArea>
    </format>
    <format dxfId="7352">
      <pivotArea field="0" dataOnly="0" labelOnly="1" grandRow="1" outline="0" axis="axisRow" fieldPosition="0">
        <references count="1">
          <reference field="4294967294" count="1" selected="0">
            <x v="14"/>
          </reference>
        </references>
      </pivotArea>
    </format>
    <format dxfId="7351">
      <pivotArea field="0" dataOnly="0" labelOnly="1" grandRow="1" outline="0" axis="axisRow" fieldPosition="0">
        <references count="1">
          <reference field="4294967294" count="1" selected="0">
            <x v="15"/>
          </reference>
        </references>
      </pivotArea>
    </format>
    <format dxfId="7350">
      <pivotArea field="0" dataOnly="0" labelOnly="1" grandRow="1" outline="0" axis="axisRow" fieldPosition="0">
        <references count="1">
          <reference field="4294967294" count="1" selected="0">
            <x v="16"/>
          </reference>
        </references>
      </pivotArea>
    </format>
    <format dxfId="7349">
      <pivotArea field="0" dataOnly="0" labelOnly="1" grandRow="1" outline="0" axis="axisRow" fieldPosition="0">
        <references count="1">
          <reference field="4294967294" count="1" selected="0">
            <x v="17"/>
          </reference>
        </references>
      </pivotArea>
    </format>
    <format dxfId="7348">
      <pivotArea field="0" dataOnly="0" labelOnly="1" grandRow="1" outline="0" axis="axisRow" fieldPosition="0">
        <references count="1">
          <reference field="4294967294" count="1" selected="0">
            <x v="18"/>
          </reference>
        </references>
      </pivotArea>
    </format>
    <format dxfId="7347">
      <pivotArea field="0" dataOnly="0" labelOnly="1" grandRow="1" outline="0" axis="axisRow" fieldPosition="0">
        <references count="1">
          <reference field="4294967294" count="1" selected="0">
            <x v="19"/>
          </reference>
        </references>
      </pivotArea>
    </format>
    <format dxfId="7346">
      <pivotArea field="0" dataOnly="0" labelOnly="1" grandRow="1" outline="0" axis="axisRow" fieldPosition="0">
        <references count="1">
          <reference field="4294967294" count="1" selected="0">
            <x v="20"/>
          </reference>
        </references>
      </pivotArea>
    </format>
    <format dxfId="7345">
      <pivotArea field="0" dataOnly="0" labelOnly="1" grandRow="1" outline="0" axis="axisRow" fieldPosition="0">
        <references count="1">
          <reference field="4294967294" count="1" selected="0">
            <x v="21"/>
          </reference>
        </references>
      </pivotArea>
    </format>
    <format dxfId="7344">
      <pivotArea field="0" dataOnly="0" labelOnly="1" grandRow="1" outline="0" axis="axisRow" fieldPosition="0">
        <references count="1">
          <reference field="4294967294" count="1" selected="0">
            <x v="22"/>
          </reference>
        </references>
      </pivotArea>
    </format>
    <format dxfId="7343">
      <pivotArea field="0" dataOnly="0" labelOnly="1" grandRow="1" outline="0" axis="axisRow" fieldPosition="0">
        <references count="1">
          <reference field="4294967294" count="1" selected="0">
            <x v="23"/>
          </reference>
        </references>
      </pivotArea>
    </format>
    <format dxfId="7342">
      <pivotArea field="0" dataOnly="0" labelOnly="1" grandRow="1" outline="0" axis="axisRow" fieldPosition="0">
        <references count="1">
          <reference field="4294967294" count="1" selected="0">
            <x v="24"/>
          </reference>
        </references>
      </pivotArea>
    </format>
    <format dxfId="7341">
      <pivotArea field="0" dataOnly="0" labelOnly="1" grandRow="1" outline="0" axis="axisRow" fieldPosition="0">
        <references count="1">
          <reference field="4294967294" count="1" selected="0">
            <x v="25"/>
          </reference>
        </references>
      </pivotArea>
    </format>
    <format dxfId="7340">
      <pivotArea field="0" dataOnly="0" labelOnly="1" grandRow="1" outline="0" axis="axisRow" fieldPosition="0">
        <references count="1">
          <reference field="4294967294" count="1" selected="0">
            <x v="26"/>
          </reference>
        </references>
      </pivotArea>
    </format>
    <format dxfId="7339">
      <pivotArea field="0" dataOnly="0" labelOnly="1" grandRow="1" outline="0" axis="axisRow" fieldPosition="0">
        <references count="1">
          <reference field="4294967294" count="1" selected="0">
            <x v="27"/>
          </reference>
        </references>
      </pivotArea>
    </format>
    <format dxfId="7338">
      <pivotArea field="0" dataOnly="0" labelOnly="1" grandRow="1" outline="0" axis="axisRow" fieldPosition="0">
        <references count="1">
          <reference field="4294967294" count="1" selected="0">
            <x v="28"/>
          </reference>
        </references>
      </pivotArea>
    </format>
    <format dxfId="7337">
      <pivotArea field="0" dataOnly="0" labelOnly="1" grandRow="1" outline="0" axis="axisRow" fieldPosition="0">
        <references count="1">
          <reference field="4294967294" count="1" selected="0">
            <x v="29"/>
          </reference>
        </references>
      </pivotArea>
    </format>
    <format dxfId="7336">
      <pivotArea field="0" dataOnly="0" labelOnly="1" grandRow="1" outline="0" axis="axisRow" fieldPosition="0">
        <references count="1">
          <reference field="4294967294" count="1" selected="0">
            <x v="30"/>
          </reference>
        </references>
      </pivotArea>
    </format>
    <format dxfId="7335">
      <pivotArea field="0" dataOnly="0" labelOnly="1" grandRow="1" outline="0" axis="axisRow" fieldPosition="0">
        <references count="1">
          <reference field="4294967294" count="1" selected="0">
            <x v="31"/>
          </reference>
        </references>
      </pivotArea>
    </format>
    <format dxfId="7334">
      <pivotArea field="0" dataOnly="0" labelOnly="1" grandRow="1" outline="0" axis="axisRow" fieldPosition="0">
        <references count="1">
          <reference field="4294967294" count="1" selected="0">
            <x v="32"/>
          </reference>
        </references>
      </pivotArea>
    </format>
    <format dxfId="7333">
      <pivotArea field="0" dataOnly="0" labelOnly="1" grandRow="1" outline="0" axis="axisRow" fieldPosition="0">
        <references count="1">
          <reference field="4294967294" count="1" selected="0">
            <x v="33"/>
          </reference>
        </references>
      </pivotArea>
    </format>
    <format dxfId="7332">
      <pivotArea field="0" dataOnly="0" labelOnly="1" grandRow="1" outline="0" axis="axisRow" fieldPosition="0">
        <references count="1">
          <reference field="4294967294" count="1" selected="0">
            <x v="34"/>
          </reference>
        </references>
      </pivotArea>
    </format>
    <format dxfId="7331">
      <pivotArea field="0" dataOnly="0" labelOnly="1" grandRow="1" outline="0" axis="axisRow" fieldPosition="0">
        <references count="1">
          <reference field="4294967294" count="1" selected="0">
            <x v="35"/>
          </reference>
        </references>
      </pivotArea>
    </format>
    <format dxfId="7330">
      <pivotArea field="0" dataOnly="0" labelOnly="1" grandRow="1" outline="0" axis="axisRow" fieldPosition="0">
        <references count="1">
          <reference field="4294967294" count="1" selected="0">
            <x v="0"/>
          </reference>
        </references>
      </pivotArea>
    </format>
    <format dxfId="7329">
      <pivotArea field="0" dataOnly="0" labelOnly="1" grandRow="1" outline="0" axis="axisRow" fieldPosition="0">
        <references count="1">
          <reference field="4294967294" count="1" selected="0">
            <x v="1"/>
          </reference>
        </references>
      </pivotArea>
    </format>
    <format dxfId="7328">
      <pivotArea field="0" dataOnly="0" labelOnly="1" grandRow="1" outline="0" axis="axisRow" fieldPosition="0">
        <references count="1">
          <reference field="4294967294" count="1" selected="0">
            <x v="2"/>
          </reference>
        </references>
      </pivotArea>
    </format>
    <format dxfId="7327">
      <pivotArea field="0" dataOnly="0" labelOnly="1" grandRow="1" outline="0" axis="axisRow" fieldPosition="0">
        <references count="1">
          <reference field="4294967294" count="1" selected="0">
            <x v="3"/>
          </reference>
        </references>
      </pivotArea>
    </format>
    <format dxfId="7326">
      <pivotArea field="0" dataOnly="0" labelOnly="1" grandRow="1" outline="0" axis="axisRow" fieldPosition="0">
        <references count="1">
          <reference field="4294967294" count="1" selected="0">
            <x v="4"/>
          </reference>
        </references>
      </pivotArea>
    </format>
    <format dxfId="7325">
      <pivotArea field="0" dataOnly="0" labelOnly="1" grandRow="1" outline="0" axis="axisRow" fieldPosition="0">
        <references count="1">
          <reference field="4294967294" count="1" selected="0">
            <x v="5"/>
          </reference>
        </references>
      </pivotArea>
    </format>
    <format dxfId="7324">
      <pivotArea field="0" dataOnly="0" labelOnly="1" grandRow="1" outline="0" axis="axisRow" fieldPosition="0">
        <references count="1">
          <reference field="4294967294" count="1" selected="0">
            <x v="6"/>
          </reference>
        </references>
      </pivotArea>
    </format>
    <format dxfId="7323">
      <pivotArea field="0" dataOnly="0" labelOnly="1" grandRow="1" outline="0" axis="axisRow" fieldPosition="0">
        <references count="1">
          <reference field="4294967294" count="1" selected="0">
            <x v="7"/>
          </reference>
        </references>
      </pivotArea>
    </format>
    <format dxfId="7322">
      <pivotArea field="0" dataOnly="0" labelOnly="1" grandRow="1" outline="0" axis="axisRow" fieldPosition="0">
        <references count="1">
          <reference field="4294967294" count="1" selected="0">
            <x v="8"/>
          </reference>
        </references>
      </pivotArea>
    </format>
    <format dxfId="7321">
      <pivotArea field="0" dataOnly="0" labelOnly="1" grandRow="1" outline="0" axis="axisRow" fieldPosition="0">
        <references count="1">
          <reference field="4294967294" count="1" selected="0">
            <x v="9"/>
          </reference>
        </references>
      </pivotArea>
    </format>
    <format dxfId="7320">
      <pivotArea field="0" dataOnly="0" labelOnly="1" grandRow="1" outline="0" axis="axisRow" fieldPosition="0">
        <references count="1">
          <reference field="4294967294" count="1" selected="0">
            <x v="10"/>
          </reference>
        </references>
      </pivotArea>
    </format>
    <format dxfId="7319">
      <pivotArea field="0" dataOnly="0" labelOnly="1" grandRow="1" outline="0" axis="axisRow" fieldPosition="0">
        <references count="1">
          <reference field="4294967294" count="1" selected="0">
            <x v="11"/>
          </reference>
        </references>
      </pivotArea>
    </format>
    <format dxfId="7318">
      <pivotArea field="0" dataOnly="0" labelOnly="1" grandRow="1" outline="0" axis="axisRow" fieldPosition="0">
        <references count="1">
          <reference field="4294967294" count="1" selected="0">
            <x v="12"/>
          </reference>
        </references>
      </pivotArea>
    </format>
    <format dxfId="7317">
      <pivotArea field="0" dataOnly="0" labelOnly="1" grandRow="1" outline="0" axis="axisRow" fieldPosition="0">
        <references count="1">
          <reference field="4294967294" count="1" selected="0">
            <x v="13"/>
          </reference>
        </references>
      </pivotArea>
    </format>
    <format dxfId="7316">
      <pivotArea field="0" dataOnly="0" labelOnly="1" grandRow="1" outline="0" axis="axisRow" fieldPosition="0">
        <references count="1">
          <reference field="4294967294" count="1" selected="0">
            <x v="14"/>
          </reference>
        </references>
      </pivotArea>
    </format>
    <format dxfId="7315">
      <pivotArea field="0" dataOnly="0" labelOnly="1" grandRow="1" outline="0" axis="axisRow" fieldPosition="0">
        <references count="1">
          <reference field="4294967294" count="1" selected="0">
            <x v="15"/>
          </reference>
        </references>
      </pivotArea>
    </format>
    <format dxfId="7314">
      <pivotArea field="0" dataOnly="0" labelOnly="1" grandRow="1" outline="0" axis="axisRow" fieldPosition="0">
        <references count="1">
          <reference field="4294967294" count="1" selected="0">
            <x v="16"/>
          </reference>
        </references>
      </pivotArea>
    </format>
    <format dxfId="7313">
      <pivotArea field="0" dataOnly="0" labelOnly="1" grandRow="1" outline="0" axis="axisRow" fieldPosition="0">
        <references count="1">
          <reference field="4294967294" count="1" selected="0">
            <x v="17"/>
          </reference>
        </references>
      </pivotArea>
    </format>
    <format dxfId="7312">
      <pivotArea field="0" dataOnly="0" labelOnly="1" grandRow="1" outline="0" axis="axisRow" fieldPosition="0">
        <references count="1">
          <reference field="4294967294" count="1" selected="0">
            <x v="18"/>
          </reference>
        </references>
      </pivotArea>
    </format>
    <format dxfId="7311">
      <pivotArea field="0" dataOnly="0" labelOnly="1" grandRow="1" outline="0" axis="axisRow" fieldPosition="0">
        <references count="1">
          <reference field="4294967294" count="1" selected="0">
            <x v="19"/>
          </reference>
        </references>
      </pivotArea>
    </format>
    <format dxfId="7310">
      <pivotArea field="0" dataOnly="0" labelOnly="1" grandRow="1" outline="0" axis="axisRow" fieldPosition="0">
        <references count="1">
          <reference field="4294967294" count="1" selected="0">
            <x v="20"/>
          </reference>
        </references>
      </pivotArea>
    </format>
    <format dxfId="7309">
      <pivotArea field="0" dataOnly="0" labelOnly="1" grandRow="1" outline="0" axis="axisRow" fieldPosition="0">
        <references count="1">
          <reference field="4294967294" count="1" selected="0">
            <x v="21"/>
          </reference>
        </references>
      </pivotArea>
    </format>
    <format dxfId="7308">
      <pivotArea field="0" dataOnly="0" labelOnly="1" grandRow="1" outline="0" axis="axisRow" fieldPosition="0">
        <references count="1">
          <reference field="4294967294" count="1" selected="0">
            <x v="22"/>
          </reference>
        </references>
      </pivotArea>
    </format>
    <format dxfId="7307">
      <pivotArea field="0" dataOnly="0" labelOnly="1" grandRow="1" outline="0" axis="axisRow" fieldPosition="0">
        <references count="1">
          <reference field="4294967294" count="1" selected="0">
            <x v="23"/>
          </reference>
        </references>
      </pivotArea>
    </format>
    <format dxfId="7306">
      <pivotArea field="0" dataOnly="0" labelOnly="1" grandRow="1" outline="0" axis="axisRow" fieldPosition="0">
        <references count="1">
          <reference field="4294967294" count="1" selected="0">
            <x v="24"/>
          </reference>
        </references>
      </pivotArea>
    </format>
    <format dxfId="7305">
      <pivotArea field="0" dataOnly="0" labelOnly="1" grandRow="1" outline="0" axis="axisRow" fieldPosition="0">
        <references count="1">
          <reference field="4294967294" count="1" selected="0">
            <x v="25"/>
          </reference>
        </references>
      </pivotArea>
    </format>
    <format dxfId="7304">
      <pivotArea field="0" dataOnly="0" labelOnly="1" grandRow="1" outline="0" axis="axisRow" fieldPosition="0">
        <references count="1">
          <reference field="4294967294" count="1" selected="0">
            <x v="26"/>
          </reference>
        </references>
      </pivotArea>
    </format>
    <format dxfId="7303">
      <pivotArea field="0" dataOnly="0" labelOnly="1" grandRow="1" outline="0" axis="axisRow" fieldPosition="0">
        <references count="1">
          <reference field="4294967294" count="1" selected="0">
            <x v="27"/>
          </reference>
        </references>
      </pivotArea>
    </format>
    <format dxfId="7302">
      <pivotArea field="0" dataOnly="0" labelOnly="1" grandRow="1" outline="0" axis="axisRow" fieldPosition="0">
        <references count="1">
          <reference field="4294967294" count="1" selected="0">
            <x v="28"/>
          </reference>
        </references>
      </pivotArea>
    </format>
    <format dxfId="7301">
      <pivotArea field="0" dataOnly="0" labelOnly="1" grandRow="1" outline="0" axis="axisRow" fieldPosition="0">
        <references count="1">
          <reference field="4294967294" count="1" selected="0">
            <x v="29"/>
          </reference>
        </references>
      </pivotArea>
    </format>
    <format dxfId="7300">
      <pivotArea field="0" dataOnly="0" labelOnly="1" grandRow="1" outline="0" axis="axisRow" fieldPosition="0">
        <references count="1">
          <reference field="4294967294" count="1" selected="0">
            <x v="30"/>
          </reference>
        </references>
      </pivotArea>
    </format>
    <format dxfId="7299">
      <pivotArea field="0" dataOnly="0" labelOnly="1" grandRow="1" outline="0" axis="axisRow" fieldPosition="0">
        <references count="1">
          <reference field="4294967294" count="1" selected="0">
            <x v="31"/>
          </reference>
        </references>
      </pivotArea>
    </format>
    <format dxfId="7298">
      <pivotArea field="0" dataOnly="0" labelOnly="1" grandRow="1" outline="0" axis="axisRow" fieldPosition="0">
        <references count="1">
          <reference field="4294967294" count="1" selected="0">
            <x v="32"/>
          </reference>
        </references>
      </pivotArea>
    </format>
    <format dxfId="7297">
      <pivotArea field="0" dataOnly="0" labelOnly="1" grandRow="1" outline="0" axis="axisRow" fieldPosition="0">
        <references count="1">
          <reference field="4294967294" count="1" selected="0">
            <x v="33"/>
          </reference>
        </references>
      </pivotArea>
    </format>
    <format dxfId="7296">
      <pivotArea field="0" dataOnly="0" labelOnly="1" grandRow="1" outline="0" axis="axisRow" fieldPosition="0">
        <references count="1">
          <reference field="4294967294" count="1" selected="0">
            <x v="34"/>
          </reference>
        </references>
      </pivotArea>
    </format>
    <format dxfId="7295">
      <pivotArea field="0" dataOnly="0" labelOnly="1" grandRow="1" outline="0" axis="axisRow" fieldPosition="0">
        <references count="1">
          <reference field="4294967294" count="1" selected="0">
            <x v="35"/>
          </reference>
        </references>
      </pivotArea>
    </format>
    <format dxfId="7294">
      <pivotArea field="0" dataOnly="0" labelOnly="1" grandRow="1" outline="0" axis="axisRow" fieldPosition="0">
        <references count="1">
          <reference field="4294967294" count="1" selected="0">
            <x v="0"/>
          </reference>
        </references>
      </pivotArea>
    </format>
    <format dxfId="7293">
      <pivotArea field="0" dataOnly="0" labelOnly="1" grandRow="1" outline="0" axis="axisRow" fieldPosition="0">
        <references count="1">
          <reference field="4294967294" count="1" selected="0">
            <x v="1"/>
          </reference>
        </references>
      </pivotArea>
    </format>
    <format dxfId="7292">
      <pivotArea field="0" dataOnly="0" labelOnly="1" grandRow="1" outline="0" axis="axisRow" fieldPosition="0">
        <references count="1">
          <reference field="4294967294" count="1" selected="0">
            <x v="2"/>
          </reference>
        </references>
      </pivotArea>
    </format>
    <format dxfId="7291">
      <pivotArea field="0" dataOnly="0" labelOnly="1" grandRow="1" outline="0" axis="axisRow" fieldPosition="0">
        <references count="1">
          <reference field="4294967294" count="1" selected="0">
            <x v="3"/>
          </reference>
        </references>
      </pivotArea>
    </format>
    <format dxfId="7290">
      <pivotArea field="0" dataOnly="0" labelOnly="1" grandRow="1" outline="0" axis="axisRow" fieldPosition="0">
        <references count="1">
          <reference field="4294967294" count="1" selected="0">
            <x v="4"/>
          </reference>
        </references>
      </pivotArea>
    </format>
    <format dxfId="7289">
      <pivotArea field="0" dataOnly="0" labelOnly="1" grandRow="1" outline="0" axis="axisRow" fieldPosition="0">
        <references count="1">
          <reference field="4294967294" count="1" selected="0">
            <x v="5"/>
          </reference>
        </references>
      </pivotArea>
    </format>
    <format dxfId="7288">
      <pivotArea field="0" dataOnly="0" labelOnly="1" grandRow="1" outline="0" axis="axisRow" fieldPosition="0">
        <references count="1">
          <reference field="4294967294" count="1" selected="0">
            <x v="6"/>
          </reference>
        </references>
      </pivotArea>
    </format>
    <format dxfId="7287">
      <pivotArea field="0" dataOnly="0" labelOnly="1" grandRow="1" outline="0" axis="axisRow" fieldPosition="0">
        <references count="1">
          <reference field="4294967294" count="1" selected="0">
            <x v="7"/>
          </reference>
        </references>
      </pivotArea>
    </format>
    <format dxfId="7286">
      <pivotArea field="0" dataOnly="0" labelOnly="1" grandRow="1" outline="0" axis="axisRow" fieldPosition="0">
        <references count="1">
          <reference field="4294967294" count="1" selected="0">
            <x v="8"/>
          </reference>
        </references>
      </pivotArea>
    </format>
    <format dxfId="7285">
      <pivotArea field="0" dataOnly="0" labelOnly="1" grandRow="1" outline="0" axis="axisRow" fieldPosition="0">
        <references count="1">
          <reference field="4294967294" count="1" selected="0">
            <x v="9"/>
          </reference>
        </references>
      </pivotArea>
    </format>
    <format dxfId="7284">
      <pivotArea field="0" dataOnly="0" labelOnly="1" grandRow="1" outline="0" axis="axisRow" fieldPosition="0">
        <references count="1">
          <reference field="4294967294" count="1" selected="0">
            <x v="10"/>
          </reference>
        </references>
      </pivotArea>
    </format>
    <format dxfId="7283">
      <pivotArea field="0" dataOnly="0" labelOnly="1" grandRow="1" outline="0" axis="axisRow" fieldPosition="0">
        <references count="1">
          <reference field="4294967294" count="1" selected="0">
            <x v="11"/>
          </reference>
        </references>
      </pivotArea>
    </format>
    <format dxfId="7282">
      <pivotArea field="0" dataOnly="0" labelOnly="1" grandRow="1" outline="0" axis="axisRow" fieldPosition="0">
        <references count="1">
          <reference field="4294967294" count="1" selected="0">
            <x v="12"/>
          </reference>
        </references>
      </pivotArea>
    </format>
    <format dxfId="7281">
      <pivotArea field="0" dataOnly="0" labelOnly="1" grandRow="1" outline="0" axis="axisRow" fieldPosition="0">
        <references count="1">
          <reference field="4294967294" count="1" selected="0">
            <x v="13"/>
          </reference>
        </references>
      </pivotArea>
    </format>
    <format dxfId="7280">
      <pivotArea field="0" dataOnly="0" labelOnly="1" grandRow="1" outline="0" axis="axisRow" fieldPosition="0">
        <references count="1">
          <reference field="4294967294" count="1" selected="0">
            <x v="14"/>
          </reference>
        </references>
      </pivotArea>
    </format>
    <format dxfId="7279">
      <pivotArea field="0" dataOnly="0" labelOnly="1" grandRow="1" outline="0" axis="axisRow" fieldPosition="0">
        <references count="1">
          <reference field="4294967294" count="1" selected="0">
            <x v="15"/>
          </reference>
        </references>
      </pivotArea>
    </format>
    <format dxfId="7278">
      <pivotArea field="0" dataOnly="0" labelOnly="1" grandRow="1" outline="0" axis="axisRow" fieldPosition="0">
        <references count="1">
          <reference field="4294967294" count="1" selected="0">
            <x v="16"/>
          </reference>
        </references>
      </pivotArea>
    </format>
    <format dxfId="7277">
      <pivotArea field="0" dataOnly="0" labelOnly="1" grandRow="1" outline="0" axis="axisRow" fieldPosition="0">
        <references count="1">
          <reference field="4294967294" count="1" selected="0">
            <x v="17"/>
          </reference>
        </references>
      </pivotArea>
    </format>
    <format dxfId="7276">
      <pivotArea field="0" dataOnly="0" labelOnly="1" grandRow="1" outline="0" axis="axisRow" fieldPosition="0">
        <references count="1">
          <reference field="4294967294" count="1" selected="0">
            <x v="18"/>
          </reference>
        </references>
      </pivotArea>
    </format>
    <format dxfId="7275">
      <pivotArea field="0" dataOnly="0" labelOnly="1" grandRow="1" outline="0" axis="axisRow" fieldPosition="0">
        <references count="1">
          <reference field="4294967294" count="1" selected="0">
            <x v="19"/>
          </reference>
        </references>
      </pivotArea>
    </format>
    <format dxfId="7274">
      <pivotArea field="0" dataOnly="0" labelOnly="1" grandRow="1" outline="0" axis="axisRow" fieldPosition="0">
        <references count="1">
          <reference field="4294967294" count="1" selected="0">
            <x v="20"/>
          </reference>
        </references>
      </pivotArea>
    </format>
    <format dxfId="7273">
      <pivotArea field="0" dataOnly="0" labelOnly="1" grandRow="1" outline="0" axis="axisRow" fieldPosition="0">
        <references count="1">
          <reference field="4294967294" count="1" selected="0">
            <x v="21"/>
          </reference>
        </references>
      </pivotArea>
    </format>
    <format dxfId="7272">
      <pivotArea field="0" dataOnly="0" labelOnly="1" grandRow="1" outline="0" axis="axisRow" fieldPosition="0">
        <references count="1">
          <reference field="4294967294" count="1" selected="0">
            <x v="22"/>
          </reference>
        </references>
      </pivotArea>
    </format>
    <format dxfId="7271">
      <pivotArea field="0" dataOnly="0" labelOnly="1" grandRow="1" outline="0" axis="axisRow" fieldPosition="0">
        <references count="1">
          <reference field="4294967294" count="1" selected="0">
            <x v="23"/>
          </reference>
        </references>
      </pivotArea>
    </format>
    <format dxfId="7270">
      <pivotArea field="0" dataOnly="0" labelOnly="1" grandRow="1" outline="0" axis="axisRow" fieldPosition="0">
        <references count="1">
          <reference field="4294967294" count="1" selected="0">
            <x v="24"/>
          </reference>
        </references>
      </pivotArea>
    </format>
    <format dxfId="7269">
      <pivotArea field="0" dataOnly="0" labelOnly="1" grandRow="1" outline="0" axis="axisRow" fieldPosition="0">
        <references count="1">
          <reference field="4294967294" count="1" selected="0">
            <x v="25"/>
          </reference>
        </references>
      </pivotArea>
    </format>
    <format dxfId="7268">
      <pivotArea field="0" dataOnly="0" labelOnly="1" grandRow="1" outline="0" axis="axisRow" fieldPosition="0">
        <references count="1">
          <reference field="4294967294" count="1" selected="0">
            <x v="26"/>
          </reference>
        </references>
      </pivotArea>
    </format>
    <format dxfId="7267">
      <pivotArea field="0" dataOnly="0" labelOnly="1" grandRow="1" outline="0" axis="axisRow" fieldPosition="0">
        <references count="1">
          <reference field="4294967294" count="1" selected="0">
            <x v="27"/>
          </reference>
        </references>
      </pivotArea>
    </format>
    <format dxfId="7266">
      <pivotArea field="0" dataOnly="0" labelOnly="1" grandRow="1" outline="0" axis="axisRow" fieldPosition="0">
        <references count="1">
          <reference field="4294967294" count="1" selected="0">
            <x v="28"/>
          </reference>
        </references>
      </pivotArea>
    </format>
    <format dxfId="7265">
      <pivotArea field="0" dataOnly="0" labelOnly="1" grandRow="1" outline="0" axis="axisRow" fieldPosition="0">
        <references count="1">
          <reference field="4294967294" count="1" selected="0">
            <x v="29"/>
          </reference>
        </references>
      </pivotArea>
    </format>
    <format dxfId="7264">
      <pivotArea field="0" dataOnly="0" labelOnly="1" grandRow="1" outline="0" axis="axisRow" fieldPosition="0">
        <references count="1">
          <reference field="4294967294" count="1" selected="0">
            <x v="30"/>
          </reference>
        </references>
      </pivotArea>
    </format>
    <format dxfId="7263">
      <pivotArea field="0" dataOnly="0" labelOnly="1" grandRow="1" outline="0" axis="axisRow" fieldPosition="0">
        <references count="1">
          <reference field="4294967294" count="1" selected="0">
            <x v="31"/>
          </reference>
        </references>
      </pivotArea>
    </format>
    <format dxfId="7262">
      <pivotArea field="0" dataOnly="0" labelOnly="1" grandRow="1" outline="0" axis="axisRow" fieldPosition="0">
        <references count="1">
          <reference field="4294967294" count="1" selected="0">
            <x v="32"/>
          </reference>
        </references>
      </pivotArea>
    </format>
    <format dxfId="7261">
      <pivotArea field="0" dataOnly="0" labelOnly="1" grandRow="1" outline="0" axis="axisRow" fieldPosition="0">
        <references count="1">
          <reference field="4294967294" count="1" selected="0">
            <x v="33"/>
          </reference>
        </references>
      </pivotArea>
    </format>
    <format dxfId="7260">
      <pivotArea field="0" dataOnly="0" labelOnly="1" grandRow="1" outline="0" axis="axisRow" fieldPosition="0">
        <references count="1">
          <reference field="4294967294" count="1" selected="0">
            <x v="34"/>
          </reference>
        </references>
      </pivotArea>
    </format>
    <format dxfId="7259">
      <pivotArea field="0" dataOnly="0" labelOnly="1" grandRow="1" outline="0" axis="axisRow" fieldPosition="0">
        <references count="1">
          <reference field="4294967294" count="1" selected="0">
            <x v="35"/>
          </reference>
        </references>
      </pivotArea>
    </format>
    <format dxfId="7258">
      <pivotArea field="0" dataOnly="0" labelOnly="1" grandRow="1" outline="0" axis="axisRow" fieldPosition="0">
        <references count="1">
          <reference field="4294967294" count="1" selected="0">
            <x v="0"/>
          </reference>
        </references>
      </pivotArea>
    </format>
    <format dxfId="7257">
      <pivotArea field="0" dataOnly="0" labelOnly="1" grandRow="1" outline="0" axis="axisRow" fieldPosition="0">
        <references count="1">
          <reference field="4294967294" count="1" selected="0">
            <x v="1"/>
          </reference>
        </references>
      </pivotArea>
    </format>
    <format dxfId="7256">
      <pivotArea field="0" dataOnly="0" labelOnly="1" grandRow="1" outline="0" axis="axisRow" fieldPosition="0">
        <references count="1">
          <reference field="4294967294" count="1" selected="0">
            <x v="2"/>
          </reference>
        </references>
      </pivotArea>
    </format>
    <format dxfId="7255">
      <pivotArea field="0" dataOnly="0" labelOnly="1" grandRow="1" outline="0" axis="axisRow" fieldPosition="0">
        <references count="1">
          <reference field="4294967294" count="1" selected="0">
            <x v="3"/>
          </reference>
        </references>
      </pivotArea>
    </format>
    <format dxfId="7254">
      <pivotArea field="0" dataOnly="0" labelOnly="1" grandRow="1" outline="0" axis="axisRow" fieldPosition="0">
        <references count="1">
          <reference field="4294967294" count="1" selected="0">
            <x v="4"/>
          </reference>
        </references>
      </pivotArea>
    </format>
    <format dxfId="7253">
      <pivotArea field="0" dataOnly="0" labelOnly="1" grandRow="1" outline="0" axis="axisRow" fieldPosition="0">
        <references count="1">
          <reference field="4294967294" count="1" selected="0">
            <x v="5"/>
          </reference>
        </references>
      </pivotArea>
    </format>
    <format dxfId="7252">
      <pivotArea field="0" dataOnly="0" labelOnly="1" grandRow="1" outline="0" axis="axisRow" fieldPosition="0">
        <references count="1">
          <reference field="4294967294" count="1" selected="0">
            <x v="6"/>
          </reference>
        </references>
      </pivotArea>
    </format>
    <format dxfId="7251">
      <pivotArea field="0" dataOnly="0" labelOnly="1" grandRow="1" outline="0" axis="axisRow" fieldPosition="0">
        <references count="1">
          <reference field="4294967294" count="1" selected="0">
            <x v="7"/>
          </reference>
        </references>
      </pivotArea>
    </format>
    <format dxfId="7250">
      <pivotArea field="0" dataOnly="0" labelOnly="1" grandRow="1" outline="0" axis="axisRow" fieldPosition="0">
        <references count="1">
          <reference field="4294967294" count="1" selected="0">
            <x v="8"/>
          </reference>
        </references>
      </pivotArea>
    </format>
    <format dxfId="7249">
      <pivotArea field="0" dataOnly="0" labelOnly="1" grandRow="1" outline="0" axis="axisRow" fieldPosition="0">
        <references count="1">
          <reference field="4294967294" count="1" selected="0">
            <x v="9"/>
          </reference>
        </references>
      </pivotArea>
    </format>
    <format dxfId="7248">
      <pivotArea field="0" dataOnly="0" labelOnly="1" grandRow="1" outline="0" axis="axisRow" fieldPosition="0">
        <references count="1">
          <reference field="4294967294" count="1" selected="0">
            <x v="10"/>
          </reference>
        </references>
      </pivotArea>
    </format>
    <format dxfId="7247">
      <pivotArea field="0" dataOnly="0" labelOnly="1" grandRow="1" outline="0" axis="axisRow" fieldPosition="0">
        <references count="1">
          <reference field="4294967294" count="1" selected="0">
            <x v="11"/>
          </reference>
        </references>
      </pivotArea>
    </format>
    <format dxfId="7246">
      <pivotArea field="0" dataOnly="0" labelOnly="1" grandRow="1" outline="0" axis="axisRow" fieldPosition="0">
        <references count="1">
          <reference field="4294967294" count="1" selected="0">
            <x v="12"/>
          </reference>
        </references>
      </pivotArea>
    </format>
    <format dxfId="7245">
      <pivotArea field="0" dataOnly="0" labelOnly="1" grandRow="1" outline="0" axis="axisRow" fieldPosition="0">
        <references count="1">
          <reference field="4294967294" count="1" selected="0">
            <x v="13"/>
          </reference>
        </references>
      </pivotArea>
    </format>
    <format dxfId="7244">
      <pivotArea field="0" dataOnly="0" labelOnly="1" grandRow="1" outline="0" axis="axisRow" fieldPosition="0">
        <references count="1">
          <reference field="4294967294" count="1" selected="0">
            <x v="14"/>
          </reference>
        </references>
      </pivotArea>
    </format>
    <format dxfId="7243">
      <pivotArea field="0" dataOnly="0" labelOnly="1" grandRow="1" outline="0" axis="axisRow" fieldPosition="0">
        <references count="1">
          <reference field="4294967294" count="1" selected="0">
            <x v="15"/>
          </reference>
        </references>
      </pivotArea>
    </format>
    <format dxfId="7242">
      <pivotArea field="0" dataOnly="0" labelOnly="1" grandRow="1" outline="0" axis="axisRow" fieldPosition="0">
        <references count="1">
          <reference field="4294967294" count="1" selected="0">
            <x v="16"/>
          </reference>
        </references>
      </pivotArea>
    </format>
    <format dxfId="7241">
      <pivotArea field="0" dataOnly="0" labelOnly="1" grandRow="1" outline="0" axis="axisRow" fieldPosition="0">
        <references count="1">
          <reference field="4294967294" count="1" selected="0">
            <x v="17"/>
          </reference>
        </references>
      </pivotArea>
    </format>
    <format dxfId="7240">
      <pivotArea field="0" dataOnly="0" labelOnly="1" grandRow="1" outline="0" axis="axisRow" fieldPosition="0">
        <references count="1">
          <reference field="4294967294" count="1" selected="0">
            <x v="18"/>
          </reference>
        </references>
      </pivotArea>
    </format>
    <format dxfId="7239">
      <pivotArea field="0" dataOnly="0" labelOnly="1" grandRow="1" outline="0" axis="axisRow" fieldPosition="0">
        <references count="1">
          <reference field="4294967294" count="1" selected="0">
            <x v="19"/>
          </reference>
        </references>
      </pivotArea>
    </format>
    <format dxfId="7238">
      <pivotArea field="0" dataOnly="0" labelOnly="1" grandRow="1" outline="0" axis="axisRow" fieldPosition="0">
        <references count="1">
          <reference field="4294967294" count="1" selected="0">
            <x v="20"/>
          </reference>
        </references>
      </pivotArea>
    </format>
    <format dxfId="7237">
      <pivotArea field="0" dataOnly="0" labelOnly="1" grandRow="1" outline="0" axis="axisRow" fieldPosition="0">
        <references count="1">
          <reference field="4294967294" count="1" selected="0">
            <x v="21"/>
          </reference>
        </references>
      </pivotArea>
    </format>
    <format dxfId="7236">
      <pivotArea field="0" dataOnly="0" labelOnly="1" grandRow="1" outline="0" axis="axisRow" fieldPosition="0">
        <references count="1">
          <reference field="4294967294" count="1" selected="0">
            <x v="22"/>
          </reference>
        </references>
      </pivotArea>
    </format>
    <format dxfId="7235">
      <pivotArea field="0" dataOnly="0" labelOnly="1" grandRow="1" outline="0" axis="axisRow" fieldPosition="0">
        <references count="1">
          <reference field="4294967294" count="1" selected="0">
            <x v="23"/>
          </reference>
        </references>
      </pivotArea>
    </format>
    <format dxfId="7234">
      <pivotArea field="0" dataOnly="0" labelOnly="1" grandRow="1" outline="0" axis="axisRow" fieldPosition="0">
        <references count="1">
          <reference field="4294967294" count="1" selected="0">
            <x v="24"/>
          </reference>
        </references>
      </pivotArea>
    </format>
    <format dxfId="7233">
      <pivotArea field="0" dataOnly="0" labelOnly="1" grandRow="1" outline="0" axis="axisRow" fieldPosition="0">
        <references count="1">
          <reference field="4294967294" count="1" selected="0">
            <x v="25"/>
          </reference>
        </references>
      </pivotArea>
    </format>
    <format dxfId="7232">
      <pivotArea field="0" dataOnly="0" labelOnly="1" grandRow="1" outline="0" axis="axisRow" fieldPosition="0">
        <references count="1">
          <reference field="4294967294" count="1" selected="0">
            <x v="26"/>
          </reference>
        </references>
      </pivotArea>
    </format>
    <format dxfId="7231">
      <pivotArea field="0" dataOnly="0" labelOnly="1" grandRow="1" outline="0" axis="axisRow" fieldPosition="0">
        <references count="1">
          <reference field="4294967294" count="1" selected="0">
            <x v="27"/>
          </reference>
        </references>
      </pivotArea>
    </format>
    <format dxfId="7230">
      <pivotArea field="0" dataOnly="0" labelOnly="1" grandRow="1" outline="0" axis="axisRow" fieldPosition="0">
        <references count="1">
          <reference field="4294967294" count="1" selected="0">
            <x v="28"/>
          </reference>
        </references>
      </pivotArea>
    </format>
    <format dxfId="7229">
      <pivotArea field="0" dataOnly="0" labelOnly="1" grandRow="1" outline="0" axis="axisRow" fieldPosition="0">
        <references count="1">
          <reference field="4294967294" count="1" selected="0">
            <x v="29"/>
          </reference>
        </references>
      </pivotArea>
    </format>
    <format dxfId="7228">
      <pivotArea field="0" dataOnly="0" labelOnly="1" grandRow="1" outline="0" axis="axisRow" fieldPosition="0">
        <references count="1">
          <reference field="4294967294" count="1" selected="0">
            <x v="30"/>
          </reference>
        </references>
      </pivotArea>
    </format>
    <format dxfId="7227">
      <pivotArea field="0" dataOnly="0" labelOnly="1" grandRow="1" outline="0" axis="axisRow" fieldPosition="0">
        <references count="1">
          <reference field="4294967294" count="1" selected="0">
            <x v="31"/>
          </reference>
        </references>
      </pivotArea>
    </format>
    <format dxfId="7226">
      <pivotArea field="0" dataOnly="0" labelOnly="1" grandRow="1" outline="0" axis="axisRow" fieldPosition="0">
        <references count="1">
          <reference field="4294967294" count="1" selected="0">
            <x v="32"/>
          </reference>
        </references>
      </pivotArea>
    </format>
    <format dxfId="7225">
      <pivotArea field="0" dataOnly="0" labelOnly="1" grandRow="1" outline="0" axis="axisRow" fieldPosition="0">
        <references count="1">
          <reference field="4294967294" count="1" selected="0">
            <x v="33"/>
          </reference>
        </references>
      </pivotArea>
    </format>
    <format dxfId="7224">
      <pivotArea field="0" dataOnly="0" labelOnly="1" grandRow="1" outline="0" axis="axisRow" fieldPosition="0">
        <references count="1">
          <reference field="4294967294" count="1" selected="0">
            <x v="34"/>
          </reference>
        </references>
      </pivotArea>
    </format>
    <format dxfId="7223">
      <pivotArea field="0" dataOnly="0" labelOnly="1" grandRow="1" outline="0" axis="axisRow" fieldPosition="0">
        <references count="1">
          <reference field="4294967294" count="1" selected="0">
            <x v="35"/>
          </reference>
        </references>
      </pivotArea>
    </format>
    <format dxfId="7222">
      <pivotArea field="0" dataOnly="0" labelOnly="1" grandRow="1" outline="0" axis="axisRow" fieldPosition="0">
        <references count="1">
          <reference field="4294967294" count="1" selected="0">
            <x v="0"/>
          </reference>
        </references>
      </pivotArea>
    </format>
    <format dxfId="7221">
      <pivotArea field="0" dataOnly="0" labelOnly="1" grandRow="1" outline="0" axis="axisRow" fieldPosition="0">
        <references count="1">
          <reference field="4294967294" count="1" selected="0">
            <x v="1"/>
          </reference>
        </references>
      </pivotArea>
    </format>
    <format dxfId="7220">
      <pivotArea field="0" dataOnly="0" labelOnly="1" grandRow="1" outline="0" axis="axisRow" fieldPosition="0">
        <references count="1">
          <reference field="4294967294" count="1" selected="0">
            <x v="2"/>
          </reference>
        </references>
      </pivotArea>
    </format>
    <format dxfId="7219">
      <pivotArea field="0" dataOnly="0" labelOnly="1" grandRow="1" outline="0" axis="axisRow" fieldPosition="0">
        <references count="1">
          <reference field="4294967294" count="1" selected="0">
            <x v="3"/>
          </reference>
        </references>
      </pivotArea>
    </format>
    <format dxfId="7218">
      <pivotArea field="0" dataOnly="0" labelOnly="1" grandRow="1" outline="0" axis="axisRow" fieldPosition="0">
        <references count="1">
          <reference field="4294967294" count="1" selected="0">
            <x v="4"/>
          </reference>
        </references>
      </pivotArea>
    </format>
    <format dxfId="7217">
      <pivotArea field="0" dataOnly="0" labelOnly="1" grandRow="1" outline="0" axis="axisRow" fieldPosition="0">
        <references count="1">
          <reference field="4294967294" count="1" selected="0">
            <x v="5"/>
          </reference>
        </references>
      </pivotArea>
    </format>
    <format dxfId="7216">
      <pivotArea field="0" dataOnly="0" labelOnly="1" grandRow="1" outline="0" axis="axisRow" fieldPosition="0">
        <references count="1">
          <reference field="4294967294" count="1" selected="0">
            <x v="6"/>
          </reference>
        </references>
      </pivotArea>
    </format>
    <format dxfId="7215">
      <pivotArea field="0" dataOnly="0" labelOnly="1" grandRow="1" outline="0" axis="axisRow" fieldPosition="0">
        <references count="1">
          <reference field="4294967294" count="1" selected="0">
            <x v="7"/>
          </reference>
        </references>
      </pivotArea>
    </format>
    <format dxfId="7214">
      <pivotArea field="0" dataOnly="0" labelOnly="1" grandRow="1" outline="0" axis="axisRow" fieldPosition="0">
        <references count="1">
          <reference field="4294967294" count="1" selected="0">
            <x v="8"/>
          </reference>
        </references>
      </pivotArea>
    </format>
    <format dxfId="7213">
      <pivotArea field="0" dataOnly="0" labelOnly="1" grandRow="1" outline="0" axis="axisRow" fieldPosition="0">
        <references count="1">
          <reference field="4294967294" count="1" selected="0">
            <x v="9"/>
          </reference>
        </references>
      </pivotArea>
    </format>
    <format dxfId="7212">
      <pivotArea field="0" dataOnly="0" labelOnly="1" grandRow="1" outline="0" axis="axisRow" fieldPosition="0">
        <references count="1">
          <reference field="4294967294" count="1" selected="0">
            <x v="10"/>
          </reference>
        </references>
      </pivotArea>
    </format>
    <format dxfId="7211">
      <pivotArea field="0" dataOnly="0" labelOnly="1" grandRow="1" outline="0" axis="axisRow" fieldPosition="0">
        <references count="1">
          <reference field="4294967294" count="1" selected="0">
            <x v="11"/>
          </reference>
        </references>
      </pivotArea>
    </format>
    <format dxfId="7210">
      <pivotArea field="0" dataOnly="0" labelOnly="1" grandRow="1" outline="0" axis="axisRow" fieldPosition="0">
        <references count="1">
          <reference field="4294967294" count="1" selected="0">
            <x v="12"/>
          </reference>
        </references>
      </pivotArea>
    </format>
    <format dxfId="7209">
      <pivotArea field="0" dataOnly="0" labelOnly="1" grandRow="1" outline="0" axis="axisRow" fieldPosition="0">
        <references count="1">
          <reference field="4294967294" count="1" selected="0">
            <x v="13"/>
          </reference>
        </references>
      </pivotArea>
    </format>
    <format dxfId="7208">
      <pivotArea field="0" dataOnly="0" labelOnly="1" grandRow="1" outline="0" axis="axisRow" fieldPosition="0">
        <references count="1">
          <reference field="4294967294" count="1" selected="0">
            <x v="14"/>
          </reference>
        </references>
      </pivotArea>
    </format>
    <format dxfId="7207">
      <pivotArea field="0" dataOnly="0" labelOnly="1" grandRow="1" outline="0" axis="axisRow" fieldPosition="0">
        <references count="1">
          <reference field="4294967294" count="1" selected="0">
            <x v="15"/>
          </reference>
        </references>
      </pivotArea>
    </format>
    <format dxfId="7206">
      <pivotArea field="0" dataOnly="0" labelOnly="1" grandRow="1" outline="0" axis="axisRow" fieldPosition="0">
        <references count="1">
          <reference field="4294967294" count="1" selected="0">
            <x v="16"/>
          </reference>
        </references>
      </pivotArea>
    </format>
    <format dxfId="7205">
      <pivotArea field="0" dataOnly="0" labelOnly="1" grandRow="1" outline="0" axis="axisRow" fieldPosition="0">
        <references count="1">
          <reference field="4294967294" count="1" selected="0">
            <x v="17"/>
          </reference>
        </references>
      </pivotArea>
    </format>
    <format dxfId="7204">
      <pivotArea field="0" dataOnly="0" labelOnly="1" grandRow="1" outline="0" axis="axisRow" fieldPosition="0">
        <references count="1">
          <reference field="4294967294" count="1" selected="0">
            <x v="18"/>
          </reference>
        </references>
      </pivotArea>
    </format>
    <format dxfId="7203">
      <pivotArea field="0" dataOnly="0" labelOnly="1" grandRow="1" outline="0" axis="axisRow" fieldPosition="0">
        <references count="1">
          <reference field="4294967294" count="1" selected="0">
            <x v="19"/>
          </reference>
        </references>
      </pivotArea>
    </format>
    <format dxfId="7202">
      <pivotArea field="0" dataOnly="0" labelOnly="1" grandRow="1" outline="0" axis="axisRow" fieldPosition="0">
        <references count="1">
          <reference field="4294967294" count="1" selected="0">
            <x v="20"/>
          </reference>
        </references>
      </pivotArea>
    </format>
    <format dxfId="7201">
      <pivotArea field="0" dataOnly="0" labelOnly="1" grandRow="1" outline="0" axis="axisRow" fieldPosition="0">
        <references count="1">
          <reference field="4294967294" count="1" selected="0">
            <x v="21"/>
          </reference>
        </references>
      </pivotArea>
    </format>
    <format dxfId="7200">
      <pivotArea field="0" dataOnly="0" labelOnly="1" grandRow="1" outline="0" axis="axisRow" fieldPosition="0">
        <references count="1">
          <reference field="4294967294" count="1" selected="0">
            <x v="22"/>
          </reference>
        </references>
      </pivotArea>
    </format>
    <format dxfId="7199">
      <pivotArea field="0" dataOnly="0" labelOnly="1" grandRow="1" outline="0" axis="axisRow" fieldPosition="0">
        <references count="1">
          <reference field="4294967294" count="1" selected="0">
            <x v="23"/>
          </reference>
        </references>
      </pivotArea>
    </format>
    <format dxfId="7198">
      <pivotArea field="0" dataOnly="0" labelOnly="1" grandRow="1" outline="0" axis="axisRow" fieldPosition="0">
        <references count="1">
          <reference field="4294967294" count="1" selected="0">
            <x v="24"/>
          </reference>
        </references>
      </pivotArea>
    </format>
    <format dxfId="7197">
      <pivotArea field="0" dataOnly="0" labelOnly="1" grandRow="1" outline="0" axis="axisRow" fieldPosition="0">
        <references count="1">
          <reference field="4294967294" count="1" selected="0">
            <x v="25"/>
          </reference>
        </references>
      </pivotArea>
    </format>
    <format dxfId="7196">
      <pivotArea field="0" dataOnly="0" labelOnly="1" grandRow="1" outline="0" axis="axisRow" fieldPosition="0">
        <references count="1">
          <reference field="4294967294" count="1" selected="0">
            <x v="26"/>
          </reference>
        </references>
      </pivotArea>
    </format>
    <format dxfId="7195">
      <pivotArea field="0" dataOnly="0" labelOnly="1" grandRow="1" outline="0" axis="axisRow" fieldPosition="0">
        <references count="1">
          <reference field="4294967294" count="1" selected="0">
            <x v="27"/>
          </reference>
        </references>
      </pivotArea>
    </format>
    <format dxfId="7194">
      <pivotArea field="0" dataOnly="0" labelOnly="1" grandRow="1" outline="0" axis="axisRow" fieldPosition="0">
        <references count="1">
          <reference field="4294967294" count="1" selected="0">
            <x v="28"/>
          </reference>
        </references>
      </pivotArea>
    </format>
    <format dxfId="7193">
      <pivotArea field="0" dataOnly="0" labelOnly="1" grandRow="1" outline="0" axis="axisRow" fieldPosition="0">
        <references count="1">
          <reference field="4294967294" count="1" selected="0">
            <x v="29"/>
          </reference>
        </references>
      </pivotArea>
    </format>
    <format dxfId="7192">
      <pivotArea field="0" dataOnly="0" labelOnly="1" grandRow="1" outline="0" axis="axisRow" fieldPosition="0">
        <references count="1">
          <reference field="4294967294" count="1" selected="0">
            <x v="30"/>
          </reference>
        </references>
      </pivotArea>
    </format>
    <format dxfId="7191">
      <pivotArea field="0" dataOnly="0" labelOnly="1" grandRow="1" outline="0" axis="axisRow" fieldPosition="0">
        <references count="1">
          <reference field="4294967294" count="1" selected="0">
            <x v="31"/>
          </reference>
        </references>
      </pivotArea>
    </format>
    <format dxfId="7190">
      <pivotArea field="0" dataOnly="0" labelOnly="1" grandRow="1" outline="0" axis="axisRow" fieldPosition="0">
        <references count="1">
          <reference field="4294967294" count="1" selected="0">
            <x v="32"/>
          </reference>
        </references>
      </pivotArea>
    </format>
    <format dxfId="7189">
      <pivotArea field="0" dataOnly="0" labelOnly="1" grandRow="1" outline="0" axis="axisRow" fieldPosition="0">
        <references count="1">
          <reference field="4294967294" count="1" selected="0">
            <x v="33"/>
          </reference>
        </references>
      </pivotArea>
    </format>
    <format dxfId="7188">
      <pivotArea field="0" dataOnly="0" labelOnly="1" grandRow="1" outline="0" axis="axisRow" fieldPosition="0">
        <references count="1">
          <reference field="4294967294" count="1" selected="0">
            <x v="34"/>
          </reference>
        </references>
      </pivotArea>
    </format>
    <format dxfId="7187">
      <pivotArea field="0" dataOnly="0" labelOnly="1" grandRow="1" outline="0" axis="axisRow" fieldPosition="0">
        <references count="1">
          <reference field="4294967294" count="1" selected="0">
            <x v="35"/>
          </reference>
        </references>
      </pivotArea>
    </format>
    <format dxfId="7186">
      <pivotArea field="0" dataOnly="0" labelOnly="1" grandRow="1" outline="0" axis="axisRow" fieldPosition="0">
        <references count="1">
          <reference field="4294967294" count="1" selected="0">
            <x v="0"/>
          </reference>
        </references>
      </pivotArea>
    </format>
    <format dxfId="7185">
      <pivotArea field="0" dataOnly="0" labelOnly="1" grandRow="1" outline="0" axis="axisRow" fieldPosition="0">
        <references count="1">
          <reference field="4294967294" count="1" selected="0">
            <x v="1"/>
          </reference>
        </references>
      </pivotArea>
    </format>
    <format dxfId="7184">
      <pivotArea field="0" dataOnly="0" labelOnly="1" grandRow="1" outline="0" axis="axisRow" fieldPosition="0">
        <references count="1">
          <reference field="4294967294" count="1" selected="0">
            <x v="2"/>
          </reference>
        </references>
      </pivotArea>
    </format>
    <format dxfId="7183">
      <pivotArea field="0" dataOnly="0" labelOnly="1" grandRow="1" outline="0" axis="axisRow" fieldPosition="0">
        <references count="1">
          <reference field="4294967294" count="1" selected="0">
            <x v="3"/>
          </reference>
        </references>
      </pivotArea>
    </format>
    <format dxfId="7182">
      <pivotArea field="0" dataOnly="0" labelOnly="1" grandRow="1" outline="0" axis="axisRow" fieldPosition="0">
        <references count="1">
          <reference field="4294967294" count="1" selected="0">
            <x v="4"/>
          </reference>
        </references>
      </pivotArea>
    </format>
    <format dxfId="7181">
      <pivotArea field="0" dataOnly="0" labelOnly="1" grandRow="1" outline="0" axis="axisRow" fieldPosition="0">
        <references count="1">
          <reference field="4294967294" count="1" selected="0">
            <x v="5"/>
          </reference>
        </references>
      </pivotArea>
    </format>
    <format dxfId="7180">
      <pivotArea field="0" dataOnly="0" labelOnly="1" grandRow="1" outline="0" axis="axisRow" fieldPosition="0">
        <references count="1">
          <reference field="4294967294" count="1" selected="0">
            <x v="6"/>
          </reference>
        </references>
      </pivotArea>
    </format>
    <format dxfId="7179">
      <pivotArea field="0" dataOnly="0" labelOnly="1" grandRow="1" outline="0" axis="axisRow" fieldPosition="0">
        <references count="1">
          <reference field="4294967294" count="1" selected="0">
            <x v="7"/>
          </reference>
        </references>
      </pivotArea>
    </format>
    <format dxfId="7178">
      <pivotArea field="0" dataOnly="0" labelOnly="1" grandRow="1" outline="0" axis="axisRow" fieldPosition="0">
        <references count="1">
          <reference field="4294967294" count="1" selected="0">
            <x v="8"/>
          </reference>
        </references>
      </pivotArea>
    </format>
    <format dxfId="7177">
      <pivotArea field="0" dataOnly="0" labelOnly="1" grandRow="1" outline="0" axis="axisRow" fieldPosition="0">
        <references count="1">
          <reference field="4294967294" count="1" selected="0">
            <x v="9"/>
          </reference>
        </references>
      </pivotArea>
    </format>
    <format dxfId="7176">
      <pivotArea field="0" dataOnly="0" labelOnly="1" grandRow="1" outline="0" axis="axisRow" fieldPosition="0">
        <references count="1">
          <reference field="4294967294" count="1" selected="0">
            <x v="10"/>
          </reference>
        </references>
      </pivotArea>
    </format>
    <format dxfId="7175">
      <pivotArea field="0" dataOnly="0" labelOnly="1" grandRow="1" outline="0" axis="axisRow" fieldPosition="0">
        <references count="1">
          <reference field="4294967294" count="1" selected="0">
            <x v="11"/>
          </reference>
        </references>
      </pivotArea>
    </format>
    <format dxfId="7174">
      <pivotArea field="0" dataOnly="0" labelOnly="1" grandRow="1" outline="0" axis="axisRow" fieldPosition="0">
        <references count="1">
          <reference field="4294967294" count="1" selected="0">
            <x v="12"/>
          </reference>
        </references>
      </pivotArea>
    </format>
    <format dxfId="7173">
      <pivotArea field="0" dataOnly="0" labelOnly="1" grandRow="1" outline="0" axis="axisRow" fieldPosition="0">
        <references count="1">
          <reference field="4294967294" count="1" selected="0">
            <x v="13"/>
          </reference>
        </references>
      </pivotArea>
    </format>
    <format dxfId="7172">
      <pivotArea field="0" dataOnly="0" labelOnly="1" grandRow="1" outline="0" axis="axisRow" fieldPosition="0">
        <references count="1">
          <reference field="4294967294" count="1" selected="0">
            <x v="14"/>
          </reference>
        </references>
      </pivotArea>
    </format>
    <format dxfId="7171">
      <pivotArea field="0" dataOnly="0" labelOnly="1" grandRow="1" outline="0" axis="axisRow" fieldPosition="0">
        <references count="1">
          <reference field="4294967294" count="1" selected="0">
            <x v="15"/>
          </reference>
        </references>
      </pivotArea>
    </format>
    <format dxfId="7170">
      <pivotArea field="0" dataOnly="0" labelOnly="1" grandRow="1" outline="0" axis="axisRow" fieldPosition="0">
        <references count="1">
          <reference field="4294967294" count="1" selected="0">
            <x v="16"/>
          </reference>
        </references>
      </pivotArea>
    </format>
    <format dxfId="7169">
      <pivotArea field="0" dataOnly="0" labelOnly="1" grandRow="1" outline="0" axis="axisRow" fieldPosition="0">
        <references count="1">
          <reference field="4294967294" count="1" selected="0">
            <x v="17"/>
          </reference>
        </references>
      </pivotArea>
    </format>
    <format dxfId="7168">
      <pivotArea field="0" dataOnly="0" labelOnly="1" grandRow="1" outline="0" axis="axisRow" fieldPosition="0">
        <references count="1">
          <reference field="4294967294" count="1" selected="0">
            <x v="18"/>
          </reference>
        </references>
      </pivotArea>
    </format>
    <format dxfId="7167">
      <pivotArea field="0" dataOnly="0" labelOnly="1" grandRow="1" outline="0" axis="axisRow" fieldPosition="0">
        <references count="1">
          <reference field="4294967294" count="1" selected="0">
            <x v="19"/>
          </reference>
        </references>
      </pivotArea>
    </format>
    <format dxfId="7166">
      <pivotArea field="0" dataOnly="0" labelOnly="1" grandRow="1" outline="0" axis="axisRow" fieldPosition="0">
        <references count="1">
          <reference field="4294967294" count="1" selected="0">
            <x v="20"/>
          </reference>
        </references>
      </pivotArea>
    </format>
    <format dxfId="7165">
      <pivotArea field="0" dataOnly="0" labelOnly="1" grandRow="1" outline="0" axis="axisRow" fieldPosition="0">
        <references count="1">
          <reference field="4294967294" count="1" selected="0">
            <x v="21"/>
          </reference>
        </references>
      </pivotArea>
    </format>
    <format dxfId="7164">
      <pivotArea field="0" dataOnly="0" labelOnly="1" grandRow="1" outline="0" axis="axisRow" fieldPosition="0">
        <references count="1">
          <reference field="4294967294" count="1" selected="0">
            <x v="22"/>
          </reference>
        </references>
      </pivotArea>
    </format>
    <format dxfId="7163">
      <pivotArea field="0" dataOnly="0" labelOnly="1" grandRow="1" outline="0" axis="axisRow" fieldPosition="0">
        <references count="1">
          <reference field="4294967294" count="1" selected="0">
            <x v="23"/>
          </reference>
        </references>
      </pivotArea>
    </format>
    <format dxfId="7162">
      <pivotArea field="0" dataOnly="0" labelOnly="1" grandRow="1" outline="0" axis="axisRow" fieldPosition="0">
        <references count="1">
          <reference field="4294967294" count="1" selected="0">
            <x v="24"/>
          </reference>
        </references>
      </pivotArea>
    </format>
    <format dxfId="7161">
      <pivotArea field="0" dataOnly="0" labelOnly="1" grandRow="1" outline="0" axis="axisRow" fieldPosition="0">
        <references count="1">
          <reference field="4294967294" count="1" selected="0">
            <x v="25"/>
          </reference>
        </references>
      </pivotArea>
    </format>
    <format dxfId="7160">
      <pivotArea field="0" dataOnly="0" labelOnly="1" grandRow="1" outline="0" axis="axisRow" fieldPosition="0">
        <references count="1">
          <reference field="4294967294" count="1" selected="0">
            <x v="26"/>
          </reference>
        </references>
      </pivotArea>
    </format>
    <format dxfId="7159">
      <pivotArea field="0" dataOnly="0" labelOnly="1" grandRow="1" outline="0" axis="axisRow" fieldPosition="0">
        <references count="1">
          <reference field="4294967294" count="1" selected="0">
            <x v="27"/>
          </reference>
        </references>
      </pivotArea>
    </format>
    <format dxfId="7158">
      <pivotArea field="0" dataOnly="0" labelOnly="1" grandRow="1" outline="0" axis="axisRow" fieldPosition="0">
        <references count="1">
          <reference field="4294967294" count="1" selected="0">
            <x v="28"/>
          </reference>
        </references>
      </pivotArea>
    </format>
    <format dxfId="7157">
      <pivotArea field="0" dataOnly="0" labelOnly="1" grandRow="1" outline="0" axis="axisRow" fieldPosition="0">
        <references count="1">
          <reference field="4294967294" count="1" selected="0">
            <x v="29"/>
          </reference>
        </references>
      </pivotArea>
    </format>
    <format dxfId="7156">
      <pivotArea field="0" dataOnly="0" labelOnly="1" grandRow="1" outline="0" axis="axisRow" fieldPosition="0">
        <references count="1">
          <reference field="4294967294" count="1" selected="0">
            <x v="30"/>
          </reference>
        </references>
      </pivotArea>
    </format>
    <format dxfId="7155">
      <pivotArea field="0" dataOnly="0" labelOnly="1" grandRow="1" outline="0" axis="axisRow" fieldPosition="0">
        <references count="1">
          <reference field="4294967294" count="1" selected="0">
            <x v="31"/>
          </reference>
        </references>
      </pivotArea>
    </format>
    <format dxfId="7154">
      <pivotArea field="0" dataOnly="0" labelOnly="1" grandRow="1" outline="0" axis="axisRow" fieldPosition="0">
        <references count="1">
          <reference field="4294967294" count="1" selected="0">
            <x v="32"/>
          </reference>
        </references>
      </pivotArea>
    </format>
    <format dxfId="7153">
      <pivotArea field="0" dataOnly="0" labelOnly="1" grandRow="1" outline="0" axis="axisRow" fieldPosition="0">
        <references count="1">
          <reference field="4294967294" count="1" selected="0">
            <x v="33"/>
          </reference>
        </references>
      </pivotArea>
    </format>
    <format dxfId="7152">
      <pivotArea field="0" dataOnly="0" labelOnly="1" grandRow="1" outline="0" axis="axisRow" fieldPosition="0">
        <references count="1">
          <reference field="4294967294" count="1" selected="0">
            <x v="34"/>
          </reference>
        </references>
      </pivotArea>
    </format>
    <format dxfId="7151">
      <pivotArea field="0" dataOnly="0" labelOnly="1" grandRow="1" outline="0" axis="axisRow" fieldPosition="0">
        <references count="1">
          <reference field="4294967294" count="1" selected="0">
            <x v="35"/>
          </reference>
        </references>
      </pivotArea>
    </format>
    <format dxfId="7150">
      <pivotArea field="0" dataOnly="0" labelOnly="1" grandRow="1" outline="0" axis="axisRow" fieldPosition="0">
        <references count="1">
          <reference field="4294967294" count="1" selected="0">
            <x v="0"/>
          </reference>
        </references>
      </pivotArea>
    </format>
    <format dxfId="7149">
      <pivotArea field="0" dataOnly="0" labelOnly="1" grandRow="1" outline="0" axis="axisRow" fieldPosition="0">
        <references count="1">
          <reference field="4294967294" count="1" selected="0">
            <x v="1"/>
          </reference>
        </references>
      </pivotArea>
    </format>
    <format dxfId="7148">
      <pivotArea field="0" dataOnly="0" labelOnly="1" grandRow="1" outline="0" axis="axisRow" fieldPosition="0">
        <references count="1">
          <reference field="4294967294" count="1" selected="0">
            <x v="2"/>
          </reference>
        </references>
      </pivotArea>
    </format>
    <format dxfId="7147">
      <pivotArea field="0" dataOnly="0" labelOnly="1" grandRow="1" outline="0" axis="axisRow" fieldPosition="0">
        <references count="1">
          <reference field="4294967294" count="1" selected="0">
            <x v="3"/>
          </reference>
        </references>
      </pivotArea>
    </format>
    <format dxfId="7146">
      <pivotArea field="0" dataOnly="0" labelOnly="1" grandRow="1" outline="0" axis="axisRow" fieldPosition="0">
        <references count="1">
          <reference field="4294967294" count="1" selected="0">
            <x v="4"/>
          </reference>
        </references>
      </pivotArea>
    </format>
    <format dxfId="7145">
      <pivotArea field="0" dataOnly="0" labelOnly="1" grandRow="1" outline="0" axis="axisRow" fieldPosition="0">
        <references count="1">
          <reference field="4294967294" count="1" selected="0">
            <x v="5"/>
          </reference>
        </references>
      </pivotArea>
    </format>
    <format dxfId="7144">
      <pivotArea field="0" dataOnly="0" labelOnly="1" grandRow="1" outline="0" axis="axisRow" fieldPosition="0">
        <references count="1">
          <reference field="4294967294" count="1" selected="0">
            <x v="6"/>
          </reference>
        </references>
      </pivotArea>
    </format>
    <format dxfId="7143">
      <pivotArea field="0" dataOnly="0" labelOnly="1" grandRow="1" outline="0" axis="axisRow" fieldPosition="0">
        <references count="1">
          <reference field="4294967294" count="1" selected="0">
            <x v="7"/>
          </reference>
        </references>
      </pivotArea>
    </format>
    <format dxfId="7142">
      <pivotArea field="0" dataOnly="0" labelOnly="1" grandRow="1" outline="0" axis="axisRow" fieldPosition="0">
        <references count="1">
          <reference field="4294967294" count="1" selected="0">
            <x v="8"/>
          </reference>
        </references>
      </pivotArea>
    </format>
    <format dxfId="7141">
      <pivotArea field="0" dataOnly="0" labelOnly="1" grandRow="1" outline="0" axis="axisRow" fieldPosition="0">
        <references count="1">
          <reference field="4294967294" count="1" selected="0">
            <x v="9"/>
          </reference>
        </references>
      </pivotArea>
    </format>
    <format dxfId="7140">
      <pivotArea field="0" dataOnly="0" labelOnly="1" grandRow="1" outline="0" axis="axisRow" fieldPosition="0">
        <references count="1">
          <reference field="4294967294" count="1" selected="0">
            <x v="10"/>
          </reference>
        </references>
      </pivotArea>
    </format>
    <format dxfId="7139">
      <pivotArea field="0" dataOnly="0" labelOnly="1" grandRow="1" outline="0" axis="axisRow" fieldPosition="0">
        <references count="1">
          <reference field="4294967294" count="1" selected="0">
            <x v="11"/>
          </reference>
        </references>
      </pivotArea>
    </format>
    <format dxfId="7138">
      <pivotArea field="0" dataOnly="0" labelOnly="1" grandRow="1" outline="0" axis="axisRow" fieldPosition="0">
        <references count="1">
          <reference field="4294967294" count="1" selected="0">
            <x v="12"/>
          </reference>
        </references>
      </pivotArea>
    </format>
    <format dxfId="7137">
      <pivotArea field="0" dataOnly="0" labelOnly="1" grandRow="1" outline="0" axis="axisRow" fieldPosition="0">
        <references count="1">
          <reference field="4294967294" count="1" selected="0">
            <x v="13"/>
          </reference>
        </references>
      </pivotArea>
    </format>
    <format dxfId="7136">
      <pivotArea field="0" dataOnly="0" labelOnly="1" grandRow="1" outline="0" axis="axisRow" fieldPosition="0">
        <references count="1">
          <reference field="4294967294" count="1" selected="0">
            <x v="14"/>
          </reference>
        </references>
      </pivotArea>
    </format>
    <format dxfId="7135">
      <pivotArea field="0" dataOnly="0" labelOnly="1" grandRow="1" outline="0" axis="axisRow" fieldPosition="0">
        <references count="1">
          <reference field="4294967294" count="1" selected="0">
            <x v="15"/>
          </reference>
        </references>
      </pivotArea>
    </format>
    <format dxfId="7134">
      <pivotArea field="0" dataOnly="0" labelOnly="1" grandRow="1" outline="0" axis="axisRow" fieldPosition="0">
        <references count="1">
          <reference field="4294967294" count="1" selected="0">
            <x v="16"/>
          </reference>
        </references>
      </pivotArea>
    </format>
    <format dxfId="7133">
      <pivotArea field="0" dataOnly="0" labelOnly="1" grandRow="1" outline="0" axis="axisRow" fieldPosition="0">
        <references count="1">
          <reference field="4294967294" count="1" selected="0">
            <x v="17"/>
          </reference>
        </references>
      </pivotArea>
    </format>
    <format dxfId="7132">
      <pivotArea field="0" dataOnly="0" labelOnly="1" grandRow="1" outline="0" axis="axisRow" fieldPosition="0">
        <references count="1">
          <reference field="4294967294" count="1" selected="0">
            <x v="18"/>
          </reference>
        </references>
      </pivotArea>
    </format>
    <format dxfId="7131">
      <pivotArea field="0" dataOnly="0" labelOnly="1" grandRow="1" outline="0" axis="axisRow" fieldPosition="0">
        <references count="1">
          <reference field="4294967294" count="1" selected="0">
            <x v="19"/>
          </reference>
        </references>
      </pivotArea>
    </format>
    <format dxfId="7130">
      <pivotArea field="0" dataOnly="0" labelOnly="1" grandRow="1" outline="0" axis="axisRow" fieldPosition="0">
        <references count="1">
          <reference field="4294967294" count="1" selected="0">
            <x v="20"/>
          </reference>
        </references>
      </pivotArea>
    </format>
    <format dxfId="7129">
      <pivotArea field="0" dataOnly="0" labelOnly="1" grandRow="1" outline="0" axis="axisRow" fieldPosition="0">
        <references count="1">
          <reference field="4294967294" count="1" selected="0">
            <x v="21"/>
          </reference>
        </references>
      </pivotArea>
    </format>
    <format dxfId="7128">
      <pivotArea field="0" dataOnly="0" labelOnly="1" grandRow="1" outline="0" axis="axisRow" fieldPosition="0">
        <references count="1">
          <reference field="4294967294" count="1" selected="0">
            <x v="22"/>
          </reference>
        </references>
      </pivotArea>
    </format>
    <format dxfId="7127">
      <pivotArea field="0" dataOnly="0" labelOnly="1" grandRow="1" outline="0" axis="axisRow" fieldPosition="0">
        <references count="1">
          <reference field="4294967294" count="1" selected="0">
            <x v="23"/>
          </reference>
        </references>
      </pivotArea>
    </format>
    <format dxfId="7126">
      <pivotArea field="0" dataOnly="0" labelOnly="1" grandRow="1" outline="0" axis="axisRow" fieldPosition="0">
        <references count="1">
          <reference field="4294967294" count="1" selected="0">
            <x v="24"/>
          </reference>
        </references>
      </pivotArea>
    </format>
    <format dxfId="7125">
      <pivotArea field="0" dataOnly="0" labelOnly="1" grandRow="1" outline="0" axis="axisRow" fieldPosition="0">
        <references count="1">
          <reference field="4294967294" count="1" selected="0">
            <x v="25"/>
          </reference>
        </references>
      </pivotArea>
    </format>
    <format dxfId="7124">
      <pivotArea field="0" dataOnly="0" labelOnly="1" grandRow="1" outline="0" axis="axisRow" fieldPosition="0">
        <references count="1">
          <reference field="4294967294" count="1" selected="0">
            <x v="26"/>
          </reference>
        </references>
      </pivotArea>
    </format>
    <format dxfId="7123">
      <pivotArea field="0" dataOnly="0" labelOnly="1" grandRow="1" outline="0" axis="axisRow" fieldPosition="0">
        <references count="1">
          <reference field="4294967294" count="1" selected="0">
            <x v="27"/>
          </reference>
        </references>
      </pivotArea>
    </format>
    <format dxfId="7122">
      <pivotArea field="0" dataOnly="0" labelOnly="1" grandRow="1" outline="0" axis="axisRow" fieldPosition="0">
        <references count="1">
          <reference field="4294967294" count="1" selected="0">
            <x v="28"/>
          </reference>
        </references>
      </pivotArea>
    </format>
    <format dxfId="7121">
      <pivotArea field="0" dataOnly="0" labelOnly="1" grandRow="1" outline="0" axis="axisRow" fieldPosition="0">
        <references count="1">
          <reference field="4294967294" count="1" selected="0">
            <x v="29"/>
          </reference>
        </references>
      </pivotArea>
    </format>
    <format dxfId="7120">
      <pivotArea field="0" dataOnly="0" labelOnly="1" grandRow="1" outline="0" axis="axisRow" fieldPosition="0">
        <references count="1">
          <reference field="4294967294" count="1" selected="0">
            <x v="30"/>
          </reference>
        </references>
      </pivotArea>
    </format>
    <format dxfId="7119">
      <pivotArea field="0" dataOnly="0" labelOnly="1" grandRow="1" outline="0" axis="axisRow" fieldPosition="0">
        <references count="1">
          <reference field="4294967294" count="1" selected="0">
            <x v="31"/>
          </reference>
        </references>
      </pivotArea>
    </format>
    <format dxfId="7118">
      <pivotArea field="0" dataOnly="0" labelOnly="1" grandRow="1" outline="0" axis="axisRow" fieldPosition="0">
        <references count="1">
          <reference field="4294967294" count="1" selected="0">
            <x v="32"/>
          </reference>
        </references>
      </pivotArea>
    </format>
    <format dxfId="7117">
      <pivotArea field="0" dataOnly="0" labelOnly="1" grandRow="1" outline="0" axis="axisRow" fieldPosition="0">
        <references count="1">
          <reference field="4294967294" count="1" selected="0">
            <x v="33"/>
          </reference>
        </references>
      </pivotArea>
    </format>
    <format dxfId="7116">
      <pivotArea field="0" dataOnly="0" labelOnly="1" grandRow="1" outline="0" axis="axisRow" fieldPosition="0">
        <references count="1">
          <reference field="4294967294" count="1" selected="0">
            <x v="34"/>
          </reference>
        </references>
      </pivotArea>
    </format>
    <format dxfId="7115">
      <pivotArea field="0" dataOnly="0" labelOnly="1" grandRow="1" outline="0" axis="axisRow" fieldPosition="0">
        <references count="1">
          <reference field="4294967294" count="1" selected="0">
            <x v="35"/>
          </reference>
        </references>
      </pivotArea>
    </format>
    <format dxfId="7114">
      <pivotArea field="0" dataOnly="0" labelOnly="1" grandRow="1" outline="0" axis="axisRow" fieldPosition="0">
        <references count="1">
          <reference field="4294967294" count="1" selected="0">
            <x v="0"/>
          </reference>
        </references>
      </pivotArea>
    </format>
    <format dxfId="7113">
      <pivotArea field="0" dataOnly="0" labelOnly="1" grandRow="1" outline="0" axis="axisRow" fieldPosition="0">
        <references count="1">
          <reference field="4294967294" count="1" selected="0">
            <x v="1"/>
          </reference>
        </references>
      </pivotArea>
    </format>
    <format dxfId="7112">
      <pivotArea field="0" dataOnly="0" labelOnly="1" grandRow="1" outline="0" axis="axisRow" fieldPosition="0">
        <references count="1">
          <reference field="4294967294" count="1" selected="0">
            <x v="2"/>
          </reference>
        </references>
      </pivotArea>
    </format>
    <format dxfId="7111">
      <pivotArea field="0" dataOnly="0" labelOnly="1" grandRow="1" outline="0" axis="axisRow" fieldPosition="0">
        <references count="1">
          <reference field="4294967294" count="1" selected="0">
            <x v="3"/>
          </reference>
        </references>
      </pivotArea>
    </format>
    <format dxfId="7110">
      <pivotArea field="0" dataOnly="0" labelOnly="1" grandRow="1" outline="0" axis="axisRow" fieldPosition="0">
        <references count="1">
          <reference field="4294967294" count="1" selected="0">
            <x v="4"/>
          </reference>
        </references>
      </pivotArea>
    </format>
    <format dxfId="7109">
      <pivotArea field="0" dataOnly="0" labelOnly="1" grandRow="1" outline="0" axis="axisRow" fieldPosition="0">
        <references count="1">
          <reference field="4294967294" count="1" selected="0">
            <x v="5"/>
          </reference>
        </references>
      </pivotArea>
    </format>
    <format dxfId="7108">
      <pivotArea field="0" dataOnly="0" labelOnly="1" grandRow="1" outline="0" axis="axisRow" fieldPosition="0">
        <references count="1">
          <reference field="4294967294" count="1" selected="0">
            <x v="6"/>
          </reference>
        </references>
      </pivotArea>
    </format>
    <format dxfId="7107">
      <pivotArea field="0" dataOnly="0" labelOnly="1" grandRow="1" outline="0" axis="axisRow" fieldPosition="0">
        <references count="1">
          <reference field="4294967294" count="1" selected="0">
            <x v="7"/>
          </reference>
        </references>
      </pivotArea>
    </format>
    <format dxfId="7106">
      <pivotArea field="0" dataOnly="0" labelOnly="1" grandRow="1" outline="0" axis="axisRow" fieldPosition="0">
        <references count="1">
          <reference field="4294967294" count="1" selected="0">
            <x v="8"/>
          </reference>
        </references>
      </pivotArea>
    </format>
    <format dxfId="7105">
      <pivotArea field="0" dataOnly="0" labelOnly="1" grandRow="1" outline="0" axis="axisRow" fieldPosition="0">
        <references count="1">
          <reference field="4294967294" count="1" selected="0">
            <x v="9"/>
          </reference>
        </references>
      </pivotArea>
    </format>
    <format dxfId="7104">
      <pivotArea field="0" dataOnly="0" labelOnly="1" grandRow="1" outline="0" axis="axisRow" fieldPosition="0">
        <references count="1">
          <reference field="4294967294" count="1" selected="0">
            <x v="10"/>
          </reference>
        </references>
      </pivotArea>
    </format>
    <format dxfId="7103">
      <pivotArea field="0" dataOnly="0" labelOnly="1" grandRow="1" outline="0" axis="axisRow" fieldPosition="0">
        <references count="1">
          <reference field="4294967294" count="1" selected="0">
            <x v="11"/>
          </reference>
        </references>
      </pivotArea>
    </format>
    <format dxfId="7102">
      <pivotArea field="0" dataOnly="0" labelOnly="1" grandRow="1" outline="0" axis="axisRow" fieldPosition="0">
        <references count="1">
          <reference field="4294967294" count="1" selected="0">
            <x v="12"/>
          </reference>
        </references>
      </pivotArea>
    </format>
    <format dxfId="7101">
      <pivotArea field="0" dataOnly="0" labelOnly="1" grandRow="1" outline="0" axis="axisRow" fieldPosition="0">
        <references count="1">
          <reference field="4294967294" count="1" selected="0">
            <x v="13"/>
          </reference>
        </references>
      </pivotArea>
    </format>
    <format dxfId="7100">
      <pivotArea field="0" dataOnly="0" labelOnly="1" grandRow="1" outline="0" axis="axisRow" fieldPosition="0">
        <references count="1">
          <reference field="4294967294" count="1" selected="0">
            <x v="14"/>
          </reference>
        </references>
      </pivotArea>
    </format>
    <format dxfId="7099">
      <pivotArea field="0" dataOnly="0" labelOnly="1" grandRow="1" outline="0" axis="axisRow" fieldPosition="0">
        <references count="1">
          <reference field="4294967294" count="1" selected="0">
            <x v="15"/>
          </reference>
        </references>
      </pivotArea>
    </format>
    <format dxfId="7098">
      <pivotArea field="0" dataOnly="0" labelOnly="1" grandRow="1" outline="0" axis="axisRow" fieldPosition="0">
        <references count="1">
          <reference field="4294967294" count="1" selected="0">
            <x v="16"/>
          </reference>
        </references>
      </pivotArea>
    </format>
    <format dxfId="7097">
      <pivotArea field="0" dataOnly="0" labelOnly="1" grandRow="1" outline="0" axis="axisRow" fieldPosition="0">
        <references count="1">
          <reference field="4294967294" count="1" selected="0">
            <x v="17"/>
          </reference>
        </references>
      </pivotArea>
    </format>
    <format dxfId="7096">
      <pivotArea field="0" dataOnly="0" labelOnly="1" grandRow="1" outline="0" axis="axisRow" fieldPosition="0">
        <references count="1">
          <reference field="4294967294" count="1" selected="0">
            <x v="18"/>
          </reference>
        </references>
      </pivotArea>
    </format>
    <format dxfId="7095">
      <pivotArea field="0" dataOnly="0" labelOnly="1" grandRow="1" outline="0" axis="axisRow" fieldPosition="0">
        <references count="1">
          <reference field="4294967294" count="1" selected="0">
            <x v="19"/>
          </reference>
        </references>
      </pivotArea>
    </format>
    <format dxfId="7094">
      <pivotArea field="0" dataOnly="0" labelOnly="1" grandRow="1" outline="0" axis="axisRow" fieldPosition="0">
        <references count="1">
          <reference field="4294967294" count="1" selected="0">
            <x v="20"/>
          </reference>
        </references>
      </pivotArea>
    </format>
    <format dxfId="7093">
      <pivotArea field="0" dataOnly="0" labelOnly="1" grandRow="1" outline="0" axis="axisRow" fieldPosition="0">
        <references count="1">
          <reference field="4294967294" count="1" selected="0">
            <x v="21"/>
          </reference>
        </references>
      </pivotArea>
    </format>
    <format dxfId="7092">
      <pivotArea field="0" dataOnly="0" labelOnly="1" grandRow="1" outline="0" axis="axisRow" fieldPosition="0">
        <references count="1">
          <reference field="4294967294" count="1" selected="0">
            <x v="22"/>
          </reference>
        </references>
      </pivotArea>
    </format>
    <format dxfId="7091">
      <pivotArea field="0" dataOnly="0" labelOnly="1" grandRow="1" outline="0" axis="axisRow" fieldPosition="0">
        <references count="1">
          <reference field="4294967294" count="1" selected="0">
            <x v="23"/>
          </reference>
        </references>
      </pivotArea>
    </format>
    <format dxfId="7090">
      <pivotArea field="0" dataOnly="0" labelOnly="1" grandRow="1" outline="0" axis="axisRow" fieldPosition="0">
        <references count="1">
          <reference field="4294967294" count="1" selected="0">
            <x v="24"/>
          </reference>
        </references>
      </pivotArea>
    </format>
    <format dxfId="7089">
      <pivotArea field="0" dataOnly="0" labelOnly="1" grandRow="1" outline="0" axis="axisRow" fieldPosition="0">
        <references count="1">
          <reference field="4294967294" count="1" selected="0">
            <x v="25"/>
          </reference>
        </references>
      </pivotArea>
    </format>
    <format dxfId="7088">
      <pivotArea field="0" dataOnly="0" labelOnly="1" grandRow="1" outline="0" axis="axisRow" fieldPosition="0">
        <references count="1">
          <reference field="4294967294" count="1" selected="0">
            <x v="26"/>
          </reference>
        </references>
      </pivotArea>
    </format>
    <format dxfId="7087">
      <pivotArea field="0" dataOnly="0" labelOnly="1" grandRow="1" outline="0" axis="axisRow" fieldPosition="0">
        <references count="1">
          <reference field="4294967294" count="1" selected="0">
            <x v="27"/>
          </reference>
        </references>
      </pivotArea>
    </format>
    <format dxfId="7086">
      <pivotArea field="0" dataOnly="0" labelOnly="1" grandRow="1" outline="0" axis="axisRow" fieldPosition="0">
        <references count="1">
          <reference field="4294967294" count="1" selected="0">
            <x v="28"/>
          </reference>
        </references>
      </pivotArea>
    </format>
    <format dxfId="7085">
      <pivotArea field="0" dataOnly="0" labelOnly="1" grandRow="1" outline="0" axis="axisRow" fieldPosition="0">
        <references count="1">
          <reference field="4294967294" count="1" selected="0">
            <x v="29"/>
          </reference>
        </references>
      </pivotArea>
    </format>
    <format dxfId="7084">
      <pivotArea field="0" dataOnly="0" labelOnly="1" grandRow="1" outline="0" axis="axisRow" fieldPosition="0">
        <references count="1">
          <reference field="4294967294" count="1" selected="0">
            <x v="30"/>
          </reference>
        </references>
      </pivotArea>
    </format>
    <format dxfId="7083">
      <pivotArea field="0" dataOnly="0" labelOnly="1" grandRow="1" outline="0" axis="axisRow" fieldPosition="0">
        <references count="1">
          <reference field="4294967294" count="1" selected="0">
            <x v="31"/>
          </reference>
        </references>
      </pivotArea>
    </format>
    <format dxfId="7082">
      <pivotArea field="0" dataOnly="0" labelOnly="1" grandRow="1" outline="0" axis="axisRow" fieldPosition="0">
        <references count="1">
          <reference field="4294967294" count="1" selected="0">
            <x v="32"/>
          </reference>
        </references>
      </pivotArea>
    </format>
    <format dxfId="7081">
      <pivotArea field="0" dataOnly="0" labelOnly="1" grandRow="1" outline="0" axis="axisRow" fieldPosition="0">
        <references count="1">
          <reference field="4294967294" count="1" selected="0">
            <x v="33"/>
          </reference>
        </references>
      </pivotArea>
    </format>
    <format dxfId="7080">
      <pivotArea field="0" dataOnly="0" labelOnly="1" grandRow="1" outline="0" axis="axisRow" fieldPosition="0">
        <references count="1">
          <reference field="4294967294" count="1" selected="0">
            <x v="34"/>
          </reference>
        </references>
      </pivotArea>
    </format>
    <format dxfId="7079">
      <pivotArea field="0" dataOnly="0" labelOnly="1" grandRow="1" outline="0" axis="axisRow" fieldPosition="0">
        <references count="1">
          <reference field="4294967294" count="1" selected="0">
            <x v="35"/>
          </reference>
        </references>
      </pivotArea>
    </format>
    <format dxfId="7078">
      <pivotArea field="0" dataOnly="0" labelOnly="1" grandRow="1" outline="0" axis="axisRow" fieldPosition="0">
        <references count="1">
          <reference field="4294967294" count="1" selected="0">
            <x v="0"/>
          </reference>
        </references>
      </pivotArea>
    </format>
    <format dxfId="7077">
      <pivotArea field="0" dataOnly="0" labelOnly="1" grandRow="1" outline="0" axis="axisRow" fieldPosition="0">
        <references count="1">
          <reference field="4294967294" count="1" selected="0">
            <x v="1"/>
          </reference>
        </references>
      </pivotArea>
    </format>
    <format dxfId="7076">
      <pivotArea field="0" dataOnly="0" labelOnly="1" grandRow="1" outline="0" axis="axisRow" fieldPosition="0">
        <references count="1">
          <reference field="4294967294" count="1" selected="0">
            <x v="2"/>
          </reference>
        </references>
      </pivotArea>
    </format>
    <format dxfId="7075">
      <pivotArea field="0" dataOnly="0" labelOnly="1" grandRow="1" outline="0" axis="axisRow" fieldPosition="0">
        <references count="1">
          <reference field="4294967294" count="1" selected="0">
            <x v="3"/>
          </reference>
        </references>
      </pivotArea>
    </format>
    <format dxfId="7074">
      <pivotArea field="0" dataOnly="0" labelOnly="1" grandRow="1" outline="0" axis="axisRow" fieldPosition="0">
        <references count="1">
          <reference field="4294967294" count="1" selected="0">
            <x v="4"/>
          </reference>
        </references>
      </pivotArea>
    </format>
    <format dxfId="7073">
      <pivotArea field="0" dataOnly="0" labelOnly="1" grandRow="1" outline="0" axis="axisRow" fieldPosition="0">
        <references count="1">
          <reference field="4294967294" count="1" selected="0">
            <x v="5"/>
          </reference>
        </references>
      </pivotArea>
    </format>
    <format dxfId="7072">
      <pivotArea field="0" dataOnly="0" labelOnly="1" grandRow="1" outline="0" axis="axisRow" fieldPosition="0">
        <references count="1">
          <reference field="4294967294" count="1" selected="0">
            <x v="6"/>
          </reference>
        </references>
      </pivotArea>
    </format>
    <format dxfId="7071">
      <pivotArea field="0" dataOnly="0" labelOnly="1" grandRow="1" outline="0" axis="axisRow" fieldPosition="0">
        <references count="1">
          <reference field="4294967294" count="1" selected="0">
            <x v="7"/>
          </reference>
        </references>
      </pivotArea>
    </format>
    <format dxfId="7070">
      <pivotArea field="0" dataOnly="0" labelOnly="1" grandRow="1" outline="0" axis="axisRow" fieldPosition="0">
        <references count="1">
          <reference field="4294967294" count="1" selected="0">
            <x v="8"/>
          </reference>
        </references>
      </pivotArea>
    </format>
    <format dxfId="7069">
      <pivotArea field="0" dataOnly="0" labelOnly="1" grandRow="1" outline="0" axis="axisRow" fieldPosition="0">
        <references count="1">
          <reference field="4294967294" count="1" selected="0">
            <x v="9"/>
          </reference>
        </references>
      </pivotArea>
    </format>
    <format dxfId="7068">
      <pivotArea field="0" dataOnly="0" labelOnly="1" grandRow="1" outline="0" axis="axisRow" fieldPosition="0">
        <references count="1">
          <reference field="4294967294" count="1" selected="0">
            <x v="10"/>
          </reference>
        </references>
      </pivotArea>
    </format>
    <format dxfId="7067">
      <pivotArea field="0" dataOnly="0" labelOnly="1" grandRow="1" outline="0" axis="axisRow" fieldPosition="0">
        <references count="1">
          <reference field="4294967294" count="1" selected="0">
            <x v="11"/>
          </reference>
        </references>
      </pivotArea>
    </format>
    <format dxfId="7066">
      <pivotArea field="0" dataOnly="0" labelOnly="1" grandRow="1" outline="0" axis="axisRow" fieldPosition="0">
        <references count="1">
          <reference field="4294967294" count="1" selected="0">
            <x v="12"/>
          </reference>
        </references>
      </pivotArea>
    </format>
    <format dxfId="7065">
      <pivotArea field="0" dataOnly="0" labelOnly="1" grandRow="1" outline="0" axis="axisRow" fieldPosition="0">
        <references count="1">
          <reference field="4294967294" count="1" selected="0">
            <x v="13"/>
          </reference>
        </references>
      </pivotArea>
    </format>
    <format dxfId="7064">
      <pivotArea field="0" dataOnly="0" labelOnly="1" grandRow="1" outline="0" axis="axisRow" fieldPosition="0">
        <references count="1">
          <reference field="4294967294" count="1" selected="0">
            <x v="14"/>
          </reference>
        </references>
      </pivotArea>
    </format>
    <format dxfId="7063">
      <pivotArea field="0" dataOnly="0" labelOnly="1" grandRow="1" outline="0" axis="axisRow" fieldPosition="0">
        <references count="1">
          <reference field="4294967294" count="1" selected="0">
            <x v="15"/>
          </reference>
        </references>
      </pivotArea>
    </format>
    <format dxfId="7062">
      <pivotArea field="0" dataOnly="0" labelOnly="1" grandRow="1" outline="0" axis="axisRow" fieldPosition="0">
        <references count="1">
          <reference field="4294967294" count="1" selected="0">
            <x v="16"/>
          </reference>
        </references>
      </pivotArea>
    </format>
    <format dxfId="7061">
      <pivotArea field="0" dataOnly="0" labelOnly="1" grandRow="1" outline="0" axis="axisRow" fieldPosition="0">
        <references count="1">
          <reference field="4294967294" count="1" selected="0">
            <x v="17"/>
          </reference>
        </references>
      </pivotArea>
    </format>
    <format dxfId="7060">
      <pivotArea field="0" dataOnly="0" labelOnly="1" grandRow="1" outline="0" axis="axisRow" fieldPosition="0">
        <references count="1">
          <reference field="4294967294" count="1" selected="0">
            <x v="18"/>
          </reference>
        </references>
      </pivotArea>
    </format>
    <format dxfId="7059">
      <pivotArea field="0" dataOnly="0" labelOnly="1" grandRow="1" outline="0" axis="axisRow" fieldPosition="0">
        <references count="1">
          <reference field="4294967294" count="1" selected="0">
            <x v="19"/>
          </reference>
        </references>
      </pivotArea>
    </format>
    <format dxfId="7058">
      <pivotArea field="0" dataOnly="0" labelOnly="1" grandRow="1" outline="0" axis="axisRow" fieldPosition="0">
        <references count="1">
          <reference field="4294967294" count="1" selected="0">
            <x v="20"/>
          </reference>
        </references>
      </pivotArea>
    </format>
    <format dxfId="7057">
      <pivotArea field="0" dataOnly="0" labelOnly="1" grandRow="1" outline="0" axis="axisRow" fieldPosition="0">
        <references count="1">
          <reference field="4294967294" count="1" selected="0">
            <x v="21"/>
          </reference>
        </references>
      </pivotArea>
    </format>
    <format dxfId="7056">
      <pivotArea field="0" dataOnly="0" labelOnly="1" grandRow="1" outline="0" axis="axisRow" fieldPosition="0">
        <references count="1">
          <reference field="4294967294" count="1" selected="0">
            <x v="22"/>
          </reference>
        </references>
      </pivotArea>
    </format>
    <format dxfId="7055">
      <pivotArea field="0" dataOnly="0" labelOnly="1" grandRow="1" outline="0" axis="axisRow" fieldPosition="0">
        <references count="1">
          <reference field="4294967294" count="1" selected="0">
            <x v="23"/>
          </reference>
        </references>
      </pivotArea>
    </format>
    <format dxfId="7054">
      <pivotArea field="0" dataOnly="0" labelOnly="1" grandRow="1" outline="0" axis="axisRow" fieldPosition="0">
        <references count="1">
          <reference field="4294967294" count="1" selected="0">
            <x v="24"/>
          </reference>
        </references>
      </pivotArea>
    </format>
    <format dxfId="7053">
      <pivotArea field="0" dataOnly="0" labelOnly="1" grandRow="1" outline="0" axis="axisRow" fieldPosition="0">
        <references count="1">
          <reference field="4294967294" count="1" selected="0">
            <x v="25"/>
          </reference>
        </references>
      </pivotArea>
    </format>
    <format dxfId="7052">
      <pivotArea field="0" dataOnly="0" labelOnly="1" grandRow="1" outline="0" axis="axisRow" fieldPosition="0">
        <references count="1">
          <reference field="4294967294" count="1" selected="0">
            <x v="26"/>
          </reference>
        </references>
      </pivotArea>
    </format>
    <format dxfId="7051">
      <pivotArea field="0" dataOnly="0" labelOnly="1" grandRow="1" outline="0" axis="axisRow" fieldPosition="0">
        <references count="1">
          <reference field="4294967294" count="1" selected="0">
            <x v="27"/>
          </reference>
        </references>
      </pivotArea>
    </format>
    <format dxfId="7050">
      <pivotArea field="0" dataOnly="0" labelOnly="1" grandRow="1" outline="0" axis="axisRow" fieldPosition="0">
        <references count="1">
          <reference field="4294967294" count="1" selected="0">
            <x v="28"/>
          </reference>
        </references>
      </pivotArea>
    </format>
    <format dxfId="7049">
      <pivotArea field="0" dataOnly="0" labelOnly="1" grandRow="1" outline="0" axis="axisRow" fieldPosition="0">
        <references count="1">
          <reference field="4294967294" count="1" selected="0">
            <x v="29"/>
          </reference>
        </references>
      </pivotArea>
    </format>
    <format dxfId="7048">
      <pivotArea field="0" dataOnly="0" labelOnly="1" grandRow="1" outline="0" axis="axisRow" fieldPosition="0">
        <references count="1">
          <reference field="4294967294" count="1" selected="0">
            <x v="30"/>
          </reference>
        </references>
      </pivotArea>
    </format>
    <format dxfId="7047">
      <pivotArea field="0" dataOnly="0" labelOnly="1" grandRow="1" outline="0" axis="axisRow" fieldPosition="0">
        <references count="1">
          <reference field="4294967294" count="1" selected="0">
            <x v="31"/>
          </reference>
        </references>
      </pivotArea>
    </format>
    <format dxfId="7046">
      <pivotArea field="0" dataOnly="0" labelOnly="1" grandRow="1" outline="0" axis="axisRow" fieldPosition="0">
        <references count="1">
          <reference field="4294967294" count="1" selected="0">
            <x v="32"/>
          </reference>
        </references>
      </pivotArea>
    </format>
    <format dxfId="7045">
      <pivotArea field="0" dataOnly="0" labelOnly="1" grandRow="1" outline="0" axis="axisRow" fieldPosition="0">
        <references count="1">
          <reference field="4294967294" count="1" selected="0">
            <x v="33"/>
          </reference>
        </references>
      </pivotArea>
    </format>
    <format dxfId="7044">
      <pivotArea field="0" dataOnly="0" labelOnly="1" grandRow="1" outline="0" axis="axisRow" fieldPosition="0">
        <references count="1">
          <reference field="4294967294" count="1" selected="0">
            <x v="34"/>
          </reference>
        </references>
      </pivotArea>
    </format>
    <format dxfId="7043">
      <pivotArea field="0" dataOnly="0" labelOnly="1" grandRow="1" outline="0" axis="axisRow" fieldPosition="0">
        <references count="1">
          <reference field="4294967294" count="1" selected="0">
            <x v="35"/>
          </reference>
        </references>
      </pivotArea>
    </format>
    <format dxfId="7042">
      <pivotArea field="0" dataOnly="0" labelOnly="1" grandRow="1" outline="0" axis="axisRow" fieldPosition="0">
        <references count="1">
          <reference field="4294967294" count="1" selected="0">
            <x v="0"/>
          </reference>
        </references>
      </pivotArea>
    </format>
    <format dxfId="7041">
      <pivotArea field="0" dataOnly="0" labelOnly="1" grandRow="1" outline="0" axis="axisRow" fieldPosition="0">
        <references count="1">
          <reference field="4294967294" count="1" selected="0">
            <x v="1"/>
          </reference>
        </references>
      </pivotArea>
    </format>
    <format dxfId="7040">
      <pivotArea field="0" dataOnly="0" labelOnly="1" grandRow="1" outline="0" axis="axisRow" fieldPosition="0">
        <references count="1">
          <reference field="4294967294" count="1" selected="0">
            <x v="2"/>
          </reference>
        </references>
      </pivotArea>
    </format>
    <format dxfId="7039">
      <pivotArea field="0" dataOnly="0" labelOnly="1" grandRow="1" outline="0" axis="axisRow" fieldPosition="0">
        <references count="1">
          <reference field="4294967294" count="1" selected="0">
            <x v="3"/>
          </reference>
        </references>
      </pivotArea>
    </format>
    <format dxfId="7038">
      <pivotArea field="0" dataOnly="0" labelOnly="1" grandRow="1" outline="0" axis="axisRow" fieldPosition="0">
        <references count="1">
          <reference field="4294967294" count="1" selected="0">
            <x v="4"/>
          </reference>
        </references>
      </pivotArea>
    </format>
    <format dxfId="7037">
      <pivotArea field="0" dataOnly="0" labelOnly="1" grandRow="1" outline="0" axis="axisRow" fieldPosition="0">
        <references count="1">
          <reference field="4294967294" count="1" selected="0">
            <x v="5"/>
          </reference>
        </references>
      </pivotArea>
    </format>
    <format dxfId="7036">
      <pivotArea field="0" dataOnly="0" labelOnly="1" grandRow="1" outline="0" axis="axisRow" fieldPosition="0">
        <references count="1">
          <reference field="4294967294" count="1" selected="0">
            <x v="6"/>
          </reference>
        </references>
      </pivotArea>
    </format>
    <format dxfId="7035">
      <pivotArea field="0" dataOnly="0" labelOnly="1" grandRow="1" outline="0" axis="axisRow" fieldPosition="0">
        <references count="1">
          <reference field="4294967294" count="1" selected="0">
            <x v="7"/>
          </reference>
        </references>
      </pivotArea>
    </format>
    <format dxfId="7034">
      <pivotArea field="0" dataOnly="0" labelOnly="1" grandRow="1" outline="0" axis="axisRow" fieldPosition="0">
        <references count="1">
          <reference field="4294967294" count="1" selected="0">
            <x v="8"/>
          </reference>
        </references>
      </pivotArea>
    </format>
    <format dxfId="7033">
      <pivotArea field="0" dataOnly="0" labelOnly="1" grandRow="1" outline="0" axis="axisRow" fieldPosition="0">
        <references count="1">
          <reference field="4294967294" count="1" selected="0">
            <x v="9"/>
          </reference>
        </references>
      </pivotArea>
    </format>
    <format dxfId="7032">
      <pivotArea field="0" dataOnly="0" labelOnly="1" grandRow="1" outline="0" axis="axisRow" fieldPosition="0">
        <references count="1">
          <reference field="4294967294" count="1" selected="0">
            <x v="10"/>
          </reference>
        </references>
      </pivotArea>
    </format>
    <format dxfId="7031">
      <pivotArea field="0" dataOnly="0" labelOnly="1" grandRow="1" outline="0" axis="axisRow" fieldPosition="0">
        <references count="1">
          <reference field="4294967294" count="1" selected="0">
            <x v="11"/>
          </reference>
        </references>
      </pivotArea>
    </format>
    <format dxfId="7030">
      <pivotArea field="0" dataOnly="0" labelOnly="1" grandRow="1" outline="0" axis="axisRow" fieldPosition="0">
        <references count="1">
          <reference field="4294967294" count="1" selected="0">
            <x v="12"/>
          </reference>
        </references>
      </pivotArea>
    </format>
    <format dxfId="7029">
      <pivotArea field="0" dataOnly="0" labelOnly="1" grandRow="1" outline="0" axis="axisRow" fieldPosition="0">
        <references count="1">
          <reference field="4294967294" count="1" selected="0">
            <x v="13"/>
          </reference>
        </references>
      </pivotArea>
    </format>
    <format dxfId="7028">
      <pivotArea field="0" dataOnly="0" labelOnly="1" grandRow="1" outline="0" axis="axisRow" fieldPosition="0">
        <references count="1">
          <reference field="4294967294" count="1" selected="0">
            <x v="14"/>
          </reference>
        </references>
      </pivotArea>
    </format>
    <format dxfId="7027">
      <pivotArea field="0" dataOnly="0" labelOnly="1" grandRow="1" outline="0" axis="axisRow" fieldPosition="0">
        <references count="1">
          <reference field="4294967294" count="1" selected="0">
            <x v="15"/>
          </reference>
        </references>
      </pivotArea>
    </format>
    <format dxfId="7026">
      <pivotArea field="0" dataOnly="0" labelOnly="1" grandRow="1" outline="0" axis="axisRow" fieldPosition="0">
        <references count="1">
          <reference field="4294967294" count="1" selected="0">
            <x v="16"/>
          </reference>
        </references>
      </pivotArea>
    </format>
    <format dxfId="7025">
      <pivotArea field="0" dataOnly="0" labelOnly="1" grandRow="1" outline="0" axis="axisRow" fieldPosition="0">
        <references count="1">
          <reference field="4294967294" count="1" selected="0">
            <x v="17"/>
          </reference>
        </references>
      </pivotArea>
    </format>
    <format dxfId="7024">
      <pivotArea field="0" dataOnly="0" labelOnly="1" grandRow="1" outline="0" axis="axisRow" fieldPosition="0">
        <references count="1">
          <reference field="4294967294" count="1" selected="0">
            <x v="18"/>
          </reference>
        </references>
      </pivotArea>
    </format>
    <format dxfId="7023">
      <pivotArea field="0" dataOnly="0" labelOnly="1" grandRow="1" outline="0" axis="axisRow" fieldPosition="0">
        <references count="1">
          <reference field="4294967294" count="1" selected="0">
            <x v="19"/>
          </reference>
        </references>
      </pivotArea>
    </format>
    <format dxfId="7022">
      <pivotArea field="0" dataOnly="0" labelOnly="1" grandRow="1" outline="0" axis="axisRow" fieldPosition="0">
        <references count="1">
          <reference field="4294967294" count="1" selected="0">
            <x v="20"/>
          </reference>
        </references>
      </pivotArea>
    </format>
    <format dxfId="7021">
      <pivotArea field="0" dataOnly="0" labelOnly="1" grandRow="1" outline="0" axis="axisRow" fieldPosition="0">
        <references count="1">
          <reference field="4294967294" count="1" selected="0">
            <x v="21"/>
          </reference>
        </references>
      </pivotArea>
    </format>
    <format dxfId="7020">
      <pivotArea field="0" dataOnly="0" labelOnly="1" grandRow="1" outline="0" axis="axisRow" fieldPosition="0">
        <references count="1">
          <reference field="4294967294" count="1" selected="0">
            <x v="22"/>
          </reference>
        </references>
      </pivotArea>
    </format>
    <format dxfId="7019">
      <pivotArea field="0" dataOnly="0" labelOnly="1" grandRow="1" outline="0" axis="axisRow" fieldPosition="0">
        <references count="1">
          <reference field="4294967294" count="1" selected="0">
            <x v="23"/>
          </reference>
        </references>
      </pivotArea>
    </format>
    <format dxfId="7018">
      <pivotArea field="0" dataOnly="0" labelOnly="1" grandRow="1" outline="0" axis="axisRow" fieldPosition="0">
        <references count="1">
          <reference field="4294967294" count="1" selected="0">
            <x v="24"/>
          </reference>
        </references>
      </pivotArea>
    </format>
    <format dxfId="7017">
      <pivotArea field="0" dataOnly="0" labelOnly="1" grandRow="1" outline="0" axis="axisRow" fieldPosition="0">
        <references count="1">
          <reference field="4294967294" count="1" selected="0">
            <x v="25"/>
          </reference>
        </references>
      </pivotArea>
    </format>
    <format dxfId="7016">
      <pivotArea field="0" dataOnly="0" labelOnly="1" grandRow="1" outline="0" axis="axisRow" fieldPosition="0">
        <references count="1">
          <reference field="4294967294" count="1" selected="0">
            <x v="26"/>
          </reference>
        </references>
      </pivotArea>
    </format>
    <format dxfId="7015">
      <pivotArea field="0" dataOnly="0" labelOnly="1" grandRow="1" outline="0" axis="axisRow" fieldPosition="0">
        <references count="1">
          <reference field="4294967294" count="1" selected="0">
            <x v="27"/>
          </reference>
        </references>
      </pivotArea>
    </format>
    <format dxfId="7014">
      <pivotArea field="0" dataOnly="0" labelOnly="1" grandRow="1" outline="0" axis="axisRow" fieldPosition="0">
        <references count="1">
          <reference field="4294967294" count="1" selected="0">
            <x v="28"/>
          </reference>
        </references>
      </pivotArea>
    </format>
    <format dxfId="7013">
      <pivotArea field="0" dataOnly="0" labelOnly="1" grandRow="1" outline="0" axis="axisRow" fieldPosition="0">
        <references count="1">
          <reference field="4294967294" count="1" selected="0">
            <x v="29"/>
          </reference>
        </references>
      </pivotArea>
    </format>
    <format dxfId="7012">
      <pivotArea field="0" dataOnly="0" labelOnly="1" grandRow="1" outline="0" axis="axisRow" fieldPosition="0">
        <references count="1">
          <reference field="4294967294" count="1" selected="0">
            <x v="30"/>
          </reference>
        </references>
      </pivotArea>
    </format>
    <format dxfId="7011">
      <pivotArea field="0" dataOnly="0" labelOnly="1" grandRow="1" outline="0" axis="axisRow" fieldPosition="0">
        <references count="1">
          <reference field="4294967294" count="1" selected="0">
            <x v="31"/>
          </reference>
        </references>
      </pivotArea>
    </format>
    <format dxfId="7010">
      <pivotArea field="0" dataOnly="0" labelOnly="1" grandRow="1" outline="0" axis="axisRow" fieldPosition="0">
        <references count="1">
          <reference field="4294967294" count="1" selected="0">
            <x v="32"/>
          </reference>
        </references>
      </pivotArea>
    </format>
    <format dxfId="7009">
      <pivotArea field="0" dataOnly="0" labelOnly="1" grandRow="1" outline="0" axis="axisRow" fieldPosition="0">
        <references count="1">
          <reference field="4294967294" count="1" selected="0">
            <x v="33"/>
          </reference>
        </references>
      </pivotArea>
    </format>
    <format dxfId="7008">
      <pivotArea field="0" dataOnly="0" labelOnly="1" grandRow="1" outline="0" axis="axisRow" fieldPosition="0">
        <references count="1">
          <reference field="4294967294" count="1" selected="0">
            <x v="34"/>
          </reference>
        </references>
      </pivotArea>
    </format>
    <format dxfId="7007">
      <pivotArea field="0" dataOnly="0" labelOnly="1" grandRow="1" outline="0" axis="axisRow" fieldPosition="0">
        <references count="1">
          <reference field="4294967294" count="1" selected="0">
            <x v="35"/>
          </reference>
        </references>
      </pivotArea>
    </format>
    <format dxfId="7006">
      <pivotArea field="0" dataOnly="0" labelOnly="1" grandRow="1" outline="0" axis="axisRow" fieldPosition="0">
        <references count="1">
          <reference field="4294967294" count="1" selected="0">
            <x v="0"/>
          </reference>
        </references>
      </pivotArea>
    </format>
    <format dxfId="7005">
      <pivotArea field="0" dataOnly="0" labelOnly="1" grandRow="1" outline="0" axis="axisRow" fieldPosition="0">
        <references count="1">
          <reference field="4294967294" count="1" selected="0">
            <x v="1"/>
          </reference>
        </references>
      </pivotArea>
    </format>
    <format dxfId="7004">
      <pivotArea field="0" dataOnly="0" labelOnly="1" grandRow="1" outline="0" axis="axisRow" fieldPosition="0">
        <references count="1">
          <reference field="4294967294" count="1" selected="0">
            <x v="2"/>
          </reference>
        </references>
      </pivotArea>
    </format>
    <format dxfId="7003">
      <pivotArea field="0" dataOnly="0" labelOnly="1" grandRow="1" outline="0" axis="axisRow" fieldPosition="0">
        <references count="1">
          <reference field="4294967294" count="1" selected="0">
            <x v="3"/>
          </reference>
        </references>
      </pivotArea>
    </format>
    <format dxfId="7002">
      <pivotArea field="0" dataOnly="0" labelOnly="1" grandRow="1" outline="0" axis="axisRow" fieldPosition="0">
        <references count="1">
          <reference field="4294967294" count="1" selected="0">
            <x v="4"/>
          </reference>
        </references>
      </pivotArea>
    </format>
    <format dxfId="7001">
      <pivotArea field="0" dataOnly="0" labelOnly="1" grandRow="1" outline="0" axis="axisRow" fieldPosition="0">
        <references count="1">
          <reference field="4294967294" count="1" selected="0">
            <x v="5"/>
          </reference>
        </references>
      </pivotArea>
    </format>
    <format dxfId="7000">
      <pivotArea field="0" dataOnly="0" labelOnly="1" grandRow="1" outline="0" axis="axisRow" fieldPosition="0">
        <references count="1">
          <reference field="4294967294" count="1" selected="0">
            <x v="6"/>
          </reference>
        </references>
      </pivotArea>
    </format>
    <format dxfId="6999">
      <pivotArea field="0" dataOnly="0" labelOnly="1" grandRow="1" outline="0" axis="axisRow" fieldPosition="0">
        <references count="1">
          <reference field="4294967294" count="1" selected="0">
            <x v="7"/>
          </reference>
        </references>
      </pivotArea>
    </format>
    <format dxfId="6998">
      <pivotArea field="0" dataOnly="0" labelOnly="1" grandRow="1" outline="0" axis="axisRow" fieldPosition="0">
        <references count="1">
          <reference field="4294967294" count="1" selected="0">
            <x v="8"/>
          </reference>
        </references>
      </pivotArea>
    </format>
    <format dxfId="6997">
      <pivotArea field="0" dataOnly="0" labelOnly="1" grandRow="1" outline="0" axis="axisRow" fieldPosition="0">
        <references count="1">
          <reference field="4294967294" count="1" selected="0">
            <x v="9"/>
          </reference>
        </references>
      </pivotArea>
    </format>
    <format dxfId="6996">
      <pivotArea field="0" dataOnly="0" labelOnly="1" grandRow="1" outline="0" axis="axisRow" fieldPosition="0">
        <references count="1">
          <reference field="4294967294" count="1" selected="0">
            <x v="10"/>
          </reference>
        </references>
      </pivotArea>
    </format>
    <format dxfId="6995">
      <pivotArea field="0" dataOnly="0" labelOnly="1" grandRow="1" outline="0" axis="axisRow" fieldPosition="0">
        <references count="1">
          <reference field="4294967294" count="1" selected="0">
            <x v="11"/>
          </reference>
        </references>
      </pivotArea>
    </format>
    <format dxfId="6994">
      <pivotArea field="0" dataOnly="0" labelOnly="1" grandRow="1" outline="0" axis="axisRow" fieldPosition="0">
        <references count="1">
          <reference field="4294967294" count="1" selected="0">
            <x v="12"/>
          </reference>
        </references>
      </pivotArea>
    </format>
    <format dxfId="6993">
      <pivotArea field="0" dataOnly="0" labelOnly="1" grandRow="1" outline="0" axis="axisRow" fieldPosition="0">
        <references count="1">
          <reference field="4294967294" count="1" selected="0">
            <x v="13"/>
          </reference>
        </references>
      </pivotArea>
    </format>
    <format dxfId="6992">
      <pivotArea field="0" dataOnly="0" labelOnly="1" grandRow="1" outline="0" axis="axisRow" fieldPosition="0">
        <references count="1">
          <reference field="4294967294" count="1" selected="0">
            <x v="14"/>
          </reference>
        </references>
      </pivotArea>
    </format>
    <format dxfId="6991">
      <pivotArea field="0" dataOnly="0" labelOnly="1" grandRow="1" outline="0" axis="axisRow" fieldPosition="0">
        <references count="1">
          <reference field="4294967294" count="1" selected="0">
            <x v="15"/>
          </reference>
        </references>
      </pivotArea>
    </format>
    <format dxfId="6990">
      <pivotArea field="0" dataOnly="0" labelOnly="1" grandRow="1" outline="0" axis="axisRow" fieldPosition="0">
        <references count="1">
          <reference field="4294967294" count="1" selected="0">
            <x v="16"/>
          </reference>
        </references>
      </pivotArea>
    </format>
    <format dxfId="6989">
      <pivotArea field="0" dataOnly="0" labelOnly="1" grandRow="1" outline="0" axis="axisRow" fieldPosition="0">
        <references count="1">
          <reference field="4294967294" count="1" selected="0">
            <x v="17"/>
          </reference>
        </references>
      </pivotArea>
    </format>
    <format dxfId="6988">
      <pivotArea field="0" dataOnly="0" labelOnly="1" grandRow="1" outline="0" axis="axisRow" fieldPosition="0">
        <references count="1">
          <reference field="4294967294" count="1" selected="0">
            <x v="18"/>
          </reference>
        </references>
      </pivotArea>
    </format>
    <format dxfId="6987">
      <pivotArea field="0" dataOnly="0" labelOnly="1" grandRow="1" outline="0" axis="axisRow" fieldPosition="0">
        <references count="1">
          <reference field="4294967294" count="1" selected="0">
            <x v="19"/>
          </reference>
        </references>
      </pivotArea>
    </format>
    <format dxfId="6986">
      <pivotArea field="0" dataOnly="0" labelOnly="1" grandRow="1" outline="0" axis="axisRow" fieldPosition="0">
        <references count="1">
          <reference field="4294967294" count="1" selected="0">
            <x v="20"/>
          </reference>
        </references>
      </pivotArea>
    </format>
    <format dxfId="6985">
      <pivotArea field="0" dataOnly="0" labelOnly="1" grandRow="1" outline="0" axis="axisRow" fieldPosition="0">
        <references count="1">
          <reference field="4294967294" count="1" selected="0">
            <x v="21"/>
          </reference>
        </references>
      </pivotArea>
    </format>
    <format dxfId="6984">
      <pivotArea field="0" dataOnly="0" labelOnly="1" grandRow="1" outline="0" axis="axisRow" fieldPosition="0">
        <references count="1">
          <reference field="4294967294" count="1" selected="0">
            <x v="22"/>
          </reference>
        </references>
      </pivotArea>
    </format>
    <format dxfId="6983">
      <pivotArea field="0" dataOnly="0" labelOnly="1" grandRow="1" outline="0" axis="axisRow" fieldPosition="0">
        <references count="1">
          <reference field="4294967294" count="1" selected="0">
            <x v="23"/>
          </reference>
        </references>
      </pivotArea>
    </format>
    <format dxfId="6982">
      <pivotArea field="0" dataOnly="0" labelOnly="1" grandRow="1" outline="0" axis="axisRow" fieldPosition="0">
        <references count="1">
          <reference field="4294967294" count="1" selected="0">
            <x v="24"/>
          </reference>
        </references>
      </pivotArea>
    </format>
    <format dxfId="6981">
      <pivotArea field="0" dataOnly="0" labelOnly="1" grandRow="1" outline="0" axis="axisRow" fieldPosition="0">
        <references count="1">
          <reference field="4294967294" count="1" selected="0">
            <x v="25"/>
          </reference>
        </references>
      </pivotArea>
    </format>
    <format dxfId="6980">
      <pivotArea field="0" dataOnly="0" labelOnly="1" grandRow="1" outline="0" axis="axisRow" fieldPosition="0">
        <references count="1">
          <reference field="4294967294" count="1" selected="0">
            <x v="26"/>
          </reference>
        </references>
      </pivotArea>
    </format>
    <format dxfId="6979">
      <pivotArea field="0" dataOnly="0" labelOnly="1" grandRow="1" outline="0" axis="axisRow" fieldPosition="0">
        <references count="1">
          <reference field="4294967294" count="1" selected="0">
            <x v="27"/>
          </reference>
        </references>
      </pivotArea>
    </format>
    <format dxfId="6978">
      <pivotArea field="0" dataOnly="0" labelOnly="1" grandRow="1" outline="0" axis="axisRow" fieldPosition="0">
        <references count="1">
          <reference field="4294967294" count="1" selected="0">
            <x v="28"/>
          </reference>
        </references>
      </pivotArea>
    </format>
    <format dxfId="6977">
      <pivotArea field="0" dataOnly="0" labelOnly="1" grandRow="1" outline="0" axis="axisRow" fieldPosition="0">
        <references count="1">
          <reference field="4294967294" count="1" selected="0">
            <x v="29"/>
          </reference>
        </references>
      </pivotArea>
    </format>
    <format dxfId="6976">
      <pivotArea field="0" dataOnly="0" labelOnly="1" grandRow="1" outline="0" axis="axisRow" fieldPosition="0">
        <references count="1">
          <reference field="4294967294" count="1" selected="0">
            <x v="30"/>
          </reference>
        </references>
      </pivotArea>
    </format>
    <format dxfId="6975">
      <pivotArea field="0" dataOnly="0" labelOnly="1" grandRow="1" outline="0" axis="axisRow" fieldPosition="0">
        <references count="1">
          <reference field="4294967294" count="1" selected="0">
            <x v="31"/>
          </reference>
        </references>
      </pivotArea>
    </format>
    <format dxfId="6974">
      <pivotArea field="0" dataOnly="0" labelOnly="1" grandRow="1" outline="0" axis="axisRow" fieldPosition="0">
        <references count="1">
          <reference field="4294967294" count="1" selected="0">
            <x v="32"/>
          </reference>
        </references>
      </pivotArea>
    </format>
    <format dxfId="6973">
      <pivotArea field="0" dataOnly="0" labelOnly="1" grandRow="1" outline="0" axis="axisRow" fieldPosition="0">
        <references count="1">
          <reference field="4294967294" count="1" selected="0">
            <x v="33"/>
          </reference>
        </references>
      </pivotArea>
    </format>
    <format dxfId="6972">
      <pivotArea field="0" dataOnly="0" labelOnly="1" grandRow="1" outline="0" axis="axisRow" fieldPosition="0">
        <references count="1">
          <reference field="4294967294" count="1" selected="0">
            <x v="34"/>
          </reference>
        </references>
      </pivotArea>
    </format>
    <format dxfId="6971">
      <pivotArea field="0" dataOnly="0" labelOnly="1" grandRow="1" outline="0" axis="axisRow" fieldPosition="0">
        <references count="1">
          <reference field="4294967294" count="1" selected="0">
            <x v="35"/>
          </reference>
        </references>
      </pivotArea>
    </format>
    <format dxfId="6970">
      <pivotArea field="0" dataOnly="0" labelOnly="1" grandRow="1" outline="0" axis="axisRow" fieldPosition="0">
        <references count="1">
          <reference field="4294967294" count="1" selected="0">
            <x v="0"/>
          </reference>
        </references>
      </pivotArea>
    </format>
    <format dxfId="6969">
      <pivotArea field="0" dataOnly="0" labelOnly="1" grandRow="1" outline="0" axis="axisRow" fieldPosition="0">
        <references count="1">
          <reference field="4294967294" count="1" selected="0">
            <x v="1"/>
          </reference>
        </references>
      </pivotArea>
    </format>
    <format dxfId="6968">
      <pivotArea field="0" dataOnly="0" labelOnly="1" grandRow="1" outline="0" axis="axisRow" fieldPosition="0">
        <references count="1">
          <reference field="4294967294" count="1" selected="0">
            <x v="2"/>
          </reference>
        </references>
      </pivotArea>
    </format>
    <format dxfId="6967">
      <pivotArea field="0" dataOnly="0" labelOnly="1" grandRow="1" outline="0" axis="axisRow" fieldPosition="0">
        <references count="1">
          <reference field="4294967294" count="1" selected="0">
            <x v="3"/>
          </reference>
        </references>
      </pivotArea>
    </format>
    <format dxfId="6966">
      <pivotArea field="0" dataOnly="0" labelOnly="1" grandRow="1" outline="0" axis="axisRow" fieldPosition="0">
        <references count="1">
          <reference field="4294967294" count="1" selected="0">
            <x v="4"/>
          </reference>
        </references>
      </pivotArea>
    </format>
    <format dxfId="6965">
      <pivotArea field="0" dataOnly="0" labelOnly="1" grandRow="1" outline="0" axis="axisRow" fieldPosition="0">
        <references count="1">
          <reference field="4294967294" count="1" selected="0">
            <x v="5"/>
          </reference>
        </references>
      </pivotArea>
    </format>
    <format dxfId="6964">
      <pivotArea field="0" dataOnly="0" labelOnly="1" grandRow="1" outline="0" axis="axisRow" fieldPosition="0">
        <references count="1">
          <reference field="4294967294" count="1" selected="0">
            <x v="6"/>
          </reference>
        </references>
      </pivotArea>
    </format>
    <format dxfId="6963">
      <pivotArea field="0" dataOnly="0" labelOnly="1" grandRow="1" outline="0" axis="axisRow" fieldPosition="0">
        <references count="1">
          <reference field="4294967294" count="1" selected="0">
            <x v="7"/>
          </reference>
        </references>
      </pivotArea>
    </format>
    <format dxfId="6962">
      <pivotArea field="0" dataOnly="0" labelOnly="1" grandRow="1" outline="0" axis="axisRow" fieldPosition="0">
        <references count="1">
          <reference field="4294967294" count="1" selected="0">
            <x v="8"/>
          </reference>
        </references>
      </pivotArea>
    </format>
    <format dxfId="6961">
      <pivotArea field="0" dataOnly="0" labelOnly="1" grandRow="1" outline="0" axis="axisRow" fieldPosition="0">
        <references count="1">
          <reference field="4294967294" count="1" selected="0">
            <x v="9"/>
          </reference>
        </references>
      </pivotArea>
    </format>
    <format dxfId="6960">
      <pivotArea field="0" dataOnly="0" labelOnly="1" grandRow="1" outline="0" axis="axisRow" fieldPosition="0">
        <references count="1">
          <reference field="4294967294" count="1" selected="0">
            <x v="10"/>
          </reference>
        </references>
      </pivotArea>
    </format>
    <format dxfId="6959">
      <pivotArea field="0" dataOnly="0" labelOnly="1" grandRow="1" outline="0" axis="axisRow" fieldPosition="0">
        <references count="1">
          <reference field="4294967294" count="1" selected="0">
            <x v="11"/>
          </reference>
        </references>
      </pivotArea>
    </format>
    <format dxfId="6958">
      <pivotArea field="0" dataOnly="0" labelOnly="1" grandRow="1" outline="0" axis="axisRow" fieldPosition="0">
        <references count="1">
          <reference field="4294967294" count="1" selected="0">
            <x v="12"/>
          </reference>
        </references>
      </pivotArea>
    </format>
    <format dxfId="6957">
      <pivotArea field="0" dataOnly="0" labelOnly="1" grandRow="1" outline="0" axis="axisRow" fieldPosition="0">
        <references count="1">
          <reference field="4294967294" count="1" selected="0">
            <x v="13"/>
          </reference>
        </references>
      </pivotArea>
    </format>
    <format dxfId="6956">
      <pivotArea field="0" dataOnly="0" labelOnly="1" grandRow="1" outline="0" axis="axisRow" fieldPosition="0">
        <references count="1">
          <reference field="4294967294" count="1" selected="0">
            <x v="14"/>
          </reference>
        </references>
      </pivotArea>
    </format>
    <format dxfId="6955">
      <pivotArea field="0" dataOnly="0" labelOnly="1" grandRow="1" outline="0" axis="axisRow" fieldPosition="0">
        <references count="1">
          <reference field="4294967294" count="1" selected="0">
            <x v="15"/>
          </reference>
        </references>
      </pivotArea>
    </format>
    <format dxfId="6954">
      <pivotArea field="0" dataOnly="0" labelOnly="1" grandRow="1" outline="0" axis="axisRow" fieldPosition="0">
        <references count="1">
          <reference field="4294967294" count="1" selected="0">
            <x v="16"/>
          </reference>
        </references>
      </pivotArea>
    </format>
    <format dxfId="6953">
      <pivotArea field="0" dataOnly="0" labelOnly="1" grandRow="1" outline="0" axis="axisRow" fieldPosition="0">
        <references count="1">
          <reference field="4294967294" count="1" selected="0">
            <x v="17"/>
          </reference>
        </references>
      </pivotArea>
    </format>
    <format dxfId="6952">
      <pivotArea field="0" dataOnly="0" labelOnly="1" grandRow="1" outline="0" axis="axisRow" fieldPosition="0">
        <references count="1">
          <reference field="4294967294" count="1" selected="0">
            <x v="18"/>
          </reference>
        </references>
      </pivotArea>
    </format>
    <format dxfId="6951">
      <pivotArea field="0" dataOnly="0" labelOnly="1" grandRow="1" outline="0" axis="axisRow" fieldPosition="0">
        <references count="1">
          <reference field="4294967294" count="1" selected="0">
            <x v="19"/>
          </reference>
        </references>
      </pivotArea>
    </format>
    <format dxfId="6950">
      <pivotArea field="0" dataOnly="0" labelOnly="1" grandRow="1" outline="0" axis="axisRow" fieldPosition="0">
        <references count="1">
          <reference field="4294967294" count="1" selected="0">
            <x v="20"/>
          </reference>
        </references>
      </pivotArea>
    </format>
    <format dxfId="6949">
      <pivotArea field="0" dataOnly="0" labelOnly="1" grandRow="1" outline="0" axis="axisRow" fieldPosition="0">
        <references count="1">
          <reference field="4294967294" count="1" selected="0">
            <x v="21"/>
          </reference>
        </references>
      </pivotArea>
    </format>
    <format dxfId="6948">
      <pivotArea field="0" dataOnly="0" labelOnly="1" grandRow="1" outline="0" axis="axisRow" fieldPosition="0">
        <references count="1">
          <reference field="4294967294" count="1" selected="0">
            <x v="22"/>
          </reference>
        </references>
      </pivotArea>
    </format>
    <format dxfId="6947">
      <pivotArea field="0" dataOnly="0" labelOnly="1" grandRow="1" outline="0" axis="axisRow" fieldPosition="0">
        <references count="1">
          <reference field="4294967294" count="1" selected="0">
            <x v="23"/>
          </reference>
        </references>
      </pivotArea>
    </format>
    <format dxfId="6946">
      <pivotArea field="0" dataOnly="0" labelOnly="1" grandRow="1" outline="0" axis="axisRow" fieldPosition="0">
        <references count="1">
          <reference field="4294967294" count="1" selected="0">
            <x v="24"/>
          </reference>
        </references>
      </pivotArea>
    </format>
    <format dxfId="6945">
      <pivotArea field="0" dataOnly="0" labelOnly="1" grandRow="1" outline="0" axis="axisRow" fieldPosition="0">
        <references count="1">
          <reference field="4294967294" count="1" selected="0">
            <x v="25"/>
          </reference>
        </references>
      </pivotArea>
    </format>
    <format dxfId="6944">
      <pivotArea field="0" dataOnly="0" labelOnly="1" grandRow="1" outline="0" axis="axisRow" fieldPosition="0">
        <references count="1">
          <reference field="4294967294" count="1" selected="0">
            <x v="26"/>
          </reference>
        </references>
      </pivotArea>
    </format>
    <format dxfId="6943">
      <pivotArea field="0" dataOnly="0" labelOnly="1" grandRow="1" outline="0" axis="axisRow" fieldPosition="0">
        <references count="1">
          <reference field="4294967294" count="1" selected="0">
            <x v="27"/>
          </reference>
        </references>
      </pivotArea>
    </format>
    <format dxfId="6942">
      <pivotArea field="0" dataOnly="0" labelOnly="1" grandRow="1" outline="0" axis="axisRow" fieldPosition="0">
        <references count="1">
          <reference field="4294967294" count="1" selected="0">
            <x v="28"/>
          </reference>
        </references>
      </pivotArea>
    </format>
    <format dxfId="6941">
      <pivotArea field="0" dataOnly="0" labelOnly="1" grandRow="1" outline="0" axis="axisRow" fieldPosition="0">
        <references count="1">
          <reference field="4294967294" count="1" selected="0">
            <x v="29"/>
          </reference>
        </references>
      </pivotArea>
    </format>
    <format dxfId="6940">
      <pivotArea field="0" dataOnly="0" labelOnly="1" grandRow="1" outline="0" axis="axisRow" fieldPosition="0">
        <references count="1">
          <reference field="4294967294" count="1" selected="0">
            <x v="30"/>
          </reference>
        </references>
      </pivotArea>
    </format>
    <format dxfId="6939">
      <pivotArea field="0" dataOnly="0" labelOnly="1" grandRow="1" outline="0" axis="axisRow" fieldPosition="0">
        <references count="1">
          <reference field="4294967294" count="1" selected="0">
            <x v="31"/>
          </reference>
        </references>
      </pivotArea>
    </format>
    <format dxfId="6938">
      <pivotArea field="0" dataOnly="0" labelOnly="1" grandRow="1" outline="0" axis="axisRow" fieldPosition="0">
        <references count="1">
          <reference field="4294967294" count="1" selected="0">
            <x v="32"/>
          </reference>
        </references>
      </pivotArea>
    </format>
    <format dxfId="6937">
      <pivotArea field="0" dataOnly="0" labelOnly="1" grandRow="1" outline="0" axis="axisRow" fieldPosition="0">
        <references count="1">
          <reference field="4294967294" count="1" selected="0">
            <x v="33"/>
          </reference>
        </references>
      </pivotArea>
    </format>
    <format dxfId="6936">
      <pivotArea field="0" dataOnly="0" labelOnly="1" grandRow="1" outline="0" axis="axisRow" fieldPosition="0">
        <references count="1">
          <reference field="4294967294" count="1" selected="0">
            <x v="34"/>
          </reference>
        </references>
      </pivotArea>
    </format>
    <format dxfId="6935">
      <pivotArea field="0" dataOnly="0" labelOnly="1" grandRow="1" outline="0" axis="axisRow" fieldPosition="0">
        <references count="1">
          <reference field="4294967294" count="1" selected="0">
            <x v="35"/>
          </reference>
        </references>
      </pivotArea>
    </format>
    <format dxfId="6934">
      <pivotArea field="0" dataOnly="0" labelOnly="1" grandRow="1" outline="0" axis="axisRow" fieldPosition="0">
        <references count="1">
          <reference field="4294967294" count="1" selected="0">
            <x v="0"/>
          </reference>
        </references>
      </pivotArea>
    </format>
    <format dxfId="6933">
      <pivotArea field="0" dataOnly="0" labelOnly="1" grandRow="1" outline="0" axis="axisRow" fieldPosition="0">
        <references count="1">
          <reference field="4294967294" count="1" selected="0">
            <x v="1"/>
          </reference>
        </references>
      </pivotArea>
    </format>
    <format dxfId="6932">
      <pivotArea field="0" dataOnly="0" labelOnly="1" grandRow="1" outline="0" axis="axisRow" fieldPosition="0">
        <references count="1">
          <reference field="4294967294" count="1" selected="0">
            <x v="2"/>
          </reference>
        </references>
      </pivotArea>
    </format>
    <format dxfId="6931">
      <pivotArea field="0" dataOnly="0" labelOnly="1" grandRow="1" outline="0" axis="axisRow" fieldPosition="0">
        <references count="1">
          <reference field="4294967294" count="1" selected="0">
            <x v="3"/>
          </reference>
        </references>
      </pivotArea>
    </format>
    <format dxfId="6930">
      <pivotArea field="0" dataOnly="0" labelOnly="1" grandRow="1" outline="0" axis="axisRow" fieldPosition="0">
        <references count="1">
          <reference field="4294967294" count="1" selected="0">
            <x v="4"/>
          </reference>
        </references>
      </pivotArea>
    </format>
    <format dxfId="6929">
      <pivotArea field="0" dataOnly="0" labelOnly="1" grandRow="1" outline="0" axis="axisRow" fieldPosition="0">
        <references count="1">
          <reference field="4294967294" count="1" selected="0">
            <x v="5"/>
          </reference>
        </references>
      </pivotArea>
    </format>
    <format dxfId="6928">
      <pivotArea field="0" dataOnly="0" labelOnly="1" grandRow="1" outline="0" axis="axisRow" fieldPosition="0">
        <references count="1">
          <reference field="4294967294" count="1" selected="0">
            <x v="6"/>
          </reference>
        </references>
      </pivotArea>
    </format>
    <format dxfId="6927">
      <pivotArea field="0" dataOnly="0" labelOnly="1" grandRow="1" outline="0" axis="axisRow" fieldPosition="0">
        <references count="1">
          <reference field="4294967294" count="1" selected="0">
            <x v="7"/>
          </reference>
        </references>
      </pivotArea>
    </format>
    <format dxfId="6926">
      <pivotArea field="0" dataOnly="0" labelOnly="1" grandRow="1" outline="0" axis="axisRow" fieldPosition="0">
        <references count="1">
          <reference field="4294967294" count="1" selected="0">
            <x v="8"/>
          </reference>
        </references>
      </pivotArea>
    </format>
    <format dxfId="6925">
      <pivotArea field="0" dataOnly="0" labelOnly="1" grandRow="1" outline="0" axis="axisRow" fieldPosition="0">
        <references count="1">
          <reference field="4294967294" count="1" selected="0">
            <x v="9"/>
          </reference>
        </references>
      </pivotArea>
    </format>
    <format dxfId="6924">
      <pivotArea field="0" dataOnly="0" labelOnly="1" grandRow="1" outline="0" axis="axisRow" fieldPosition="0">
        <references count="1">
          <reference field="4294967294" count="1" selected="0">
            <x v="10"/>
          </reference>
        </references>
      </pivotArea>
    </format>
    <format dxfId="6923">
      <pivotArea field="0" dataOnly="0" labelOnly="1" grandRow="1" outline="0" axis="axisRow" fieldPosition="0">
        <references count="1">
          <reference field="4294967294" count="1" selected="0">
            <x v="11"/>
          </reference>
        </references>
      </pivotArea>
    </format>
    <format dxfId="6922">
      <pivotArea field="0" dataOnly="0" labelOnly="1" grandRow="1" outline="0" axis="axisRow" fieldPosition="0">
        <references count="1">
          <reference field="4294967294" count="1" selected="0">
            <x v="12"/>
          </reference>
        </references>
      </pivotArea>
    </format>
    <format dxfId="6921">
      <pivotArea field="0" dataOnly="0" labelOnly="1" grandRow="1" outline="0" axis="axisRow" fieldPosition="0">
        <references count="1">
          <reference field="4294967294" count="1" selected="0">
            <x v="13"/>
          </reference>
        </references>
      </pivotArea>
    </format>
    <format dxfId="6920">
      <pivotArea field="0" dataOnly="0" labelOnly="1" grandRow="1" outline="0" axis="axisRow" fieldPosition="0">
        <references count="1">
          <reference field="4294967294" count="1" selected="0">
            <x v="14"/>
          </reference>
        </references>
      </pivotArea>
    </format>
    <format dxfId="6919">
      <pivotArea field="0" dataOnly="0" labelOnly="1" grandRow="1" outline="0" axis="axisRow" fieldPosition="0">
        <references count="1">
          <reference field="4294967294" count="1" selected="0">
            <x v="15"/>
          </reference>
        </references>
      </pivotArea>
    </format>
    <format dxfId="6918">
      <pivotArea field="0" dataOnly="0" labelOnly="1" grandRow="1" outline="0" axis="axisRow" fieldPosition="0">
        <references count="1">
          <reference field="4294967294" count="1" selected="0">
            <x v="16"/>
          </reference>
        </references>
      </pivotArea>
    </format>
    <format dxfId="6917">
      <pivotArea field="0" dataOnly="0" labelOnly="1" grandRow="1" outline="0" axis="axisRow" fieldPosition="0">
        <references count="1">
          <reference field="4294967294" count="1" selected="0">
            <x v="17"/>
          </reference>
        </references>
      </pivotArea>
    </format>
    <format dxfId="6916">
      <pivotArea field="0" dataOnly="0" labelOnly="1" grandRow="1" outline="0" axis="axisRow" fieldPosition="0">
        <references count="1">
          <reference field="4294967294" count="1" selected="0">
            <x v="18"/>
          </reference>
        </references>
      </pivotArea>
    </format>
    <format dxfId="6915">
      <pivotArea field="0" dataOnly="0" labelOnly="1" grandRow="1" outline="0" axis="axisRow" fieldPosition="0">
        <references count="1">
          <reference field="4294967294" count="1" selected="0">
            <x v="19"/>
          </reference>
        </references>
      </pivotArea>
    </format>
    <format dxfId="6914">
      <pivotArea field="0" dataOnly="0" labelOnly="1" grandRow="1" outline="0" axis="axisRow" fieldPosition="0">
        <references count="1">
          <reference field="4294967294" count="1" selected="0">
            <x v="20"/>
          </reference>
        </references>
      </pivotArea>
    </format>
    <format dxfId="6913">
      <pivotArea field="0" dataOnly="0" labelOnly="1" grandRow="1" outline="0" axis="axisRow" fieldPosition="0">
        <references count="1">
          <reference field="4294967294" count="1" selected="0">
            <x v="21"/>
          </reference>
        </references>
      </pivotArea>
    </format>
    <format dxfId="6912">
      <pivotArea field="0" dataOnly="0" labelOnly="1" grandRow="1" outline="0" axis="axisRow" fieldPosition="0">
        <references count="1">
          <reference field="4294967294" count="1" selected="0">
            <x v="22"/>
          </reference>
        </references>
      </pivotArea>
    </format>
    <format dxfId="6911">
      <pivotArea field="0" dataOnly="0" labelOnly="1" grandRow="1" outline="0" axis="axisRow" fieldPosition="0">
        <references count="1">
          <reference field="4294967294" count="1" selected="0">
            <x v="23"/>
          </reference>
        </references>
      </pivotArea>
    </format>
    <format dxfId="6910">
      <pivotArea field="0" dataOnly="0" labelOnly="1" grandRow="1" outline="0" axis="axisRow" fieldPosition="0">
        <references count="1">
          <reference field="4294967294" count="1" selected="0">
            <x v="24"/>
          </reference>
        </references>
      </pivotArea>
    </format>
    <format dxfId="6909">
      <pivotArea field="0" dataOnly="0" labelOnly="1" grandRow="1" outline="0" axis="axisRow" fieldPosition="0">
        <references count="1">
          <reference field="4294967294" count="1" selected="0">
            <x v="25"/>
          </reference>
        </references>
      </pivotArea>
    </format>
    <format dxfId="6908">
      <pivotArea field="0" dataOnly="0" labelOnly="1" grandRow="1" outline="0" axis="axisRow" fieldPosition="0">
        <references count="1">
          <reference field="4294967294" count="1" selected="0">
            <x v="26"/>
          </reference>
        </references>
      </pivotArea>
    </format>
    <format dxfId="6907">
      <pivotArea field="0" dataOnly="0" labelOnly="1" grandRow="1" outline="0" axis="axisRow" fieldPosition="0">
        <references count="1">
          <reference field="4294967294" count="1" selected="0">
            <x v="27"/>
          </reference>
        </references>
      </pivotArea>
    </format>
    <format dxfId="6906">
      <pivotArea field="0" dataOnly="0" labelOnly="1" grandRow="1" outline="0" axis="axisRow" fieldPosition="0">
        <references count="1">
          <reference field="4294967294" count="1" selected="0">
            <x v="28"/>
          </reference>
        </references>
      </pivotArea>
    </format>
    <format dxfId="6905">
      <pivotArea field="0" dataOnly="0" labelOnly="1" grandRow="1" outline="0" axis="axisRow" fieldPosition="0">
        <references count="1">
          <reference field="4294967294" count="1" selected="0">
            <x v="29"/>
          </reference>
        </references>
      </pivotArea>
    </format>
    <format dxfId="6904">
      <pivotArea field="0" dataOnly="0" labelOnly="1" grandRow="1" outline="0" axis="axisRow" fieldPosition="0">
        <references count="1">
          <reference field="4294967294" count="1" selected="0">
            <x v="30"/>
          </reference>
        </references>
      </pivotArea>
    </format>
    <format dxfId="6903">
      <pivotArea field="0" dataOnly="0" labelOnly="1" grandRow="1" outline="0" axis="axisRow" fieldPosition="0">
        <references count="1">
          <reference field="4294967294" count="1" selected="0">
            <x v="31"/>
          </reference>
        </references>
      </pivotArea>
    </format>
    <format dxfId="6902">
      <pivotArea field="0" dataOnly="0" labelOnly="1" grandRow="1" outline="0" axis="axisRow" fieldPosition="0">
        <references count="1">
          <reference field="4294967294" count="1" selected="0">
            <x v="32"/>
          </reference>
        </references>
      </pivotArea>
    </format>
    <format dxfId="6901">
      <pivotArea field="0" dataOnly="0" labelOnly="1" grandRow="1" outline="0" axis="axisRow" fieldPosition="0">
        <references count="1">
          <reference field="4294967294" count="1" selected="0">
            <x v="33"/>
          </reference>
        </references>
      </pivotArea>
    </format>
    <format dxfId="6900">
      <pivotArea field="0" dataOnly="0" labelOnly="1" grandRow="1" outline="0" axis="axisRow" fieldPosition="0">
        <references count="1">
          <reference field="4294967294" count="1" selected="0">
            <x v="34"/>
          </reference>
        </references>
      </pivotArea>
    </format>
    <format dxfId="6899">
      <pivotArea field="0" dataOnly="0" labelOnly="1" grandRow="1" outline="0" axis="axisRow" fieldPosition="0">
        <references count="1">
          <reference field="4294967294" count="1" selected="0">
            <x v="35"/>
          </reference>
        </references>
      </pivotArea>
    </format>
    <format dxfId="6898">
      <pivotArea field="0" dataOnly="0" labelOnly="1" grandRow="1" outline="0" axis="axisRow" fieldPosition="0">
        <references count="1">
          <reference field="4294967294" count="1" selected="0">
            <x v="0"/>
          </reference>
        </references>
      </pivotArea>
    </format>
    <format dxfId="6897">
      <pivotArea field="0" dataOnly="0" labelOnly="1" grandRow="1" outline="0" axis="axisRow" fieldPosition="0">
        <references count="1">
          <reference field="4294967294" count="1" selected="0">
            <x v="1"/>
          </reference>
        </references>
      </pivotArea>
    </format>
    <format dxfId="6896">
      <pivotArea field="0" dataOnly="0" labelOnly="1" grandRow="1" outline="0" axis="axisRow" fieldPosition="0">
        <references count="1">
          <reference field="4294967294" count="1" selected="0">
            <x v="2"/>
          </reference>
        </references>
      </pivotArea>
    </format>
    <format dxfId="6895">
      <pivotArea field="0" dataOnly="0" labelOnly="1" grandRow="1" outline="0" axis="axisRow" fieldPosition="0">
        <references count="1">
          <reference field="4294967294" count="1" selected="0">
            <x v="3"/>
          </reference>
        </references>
      </pivotArea>
    </format>
    <format dxfId="6894">
      <pivotArea field="0" dataOnly="0" labelOnly="1" grandRow="1" outline="0" axis="axisRow" fieldPosition="0">
        <references count="1">
          <reference field="4294967294" count="1" selected="0">
            <x v="4"/>
          </reference>
        </references>
      </pivotArea>
    </format>
    <format dxfId="6893">
      <pivotArea field="0" dataOnly="0" labelOnly="1" grandRow="1" outline="0" axis="axisRow" fieldPosition="0">
        <references count="1">
          <reference field="4294967294" count="1" selected="0">
            <x v="5"/>
          </reference>
        </references>
      </pivotArea>
    </format>
    <format dxfId="6892">
      <pivotArea field="0" dataOnly="0" labelOnly="1" grandRow="1" outline="0" axis="axisRow" fieldPosition="0">
        <references count="1">
          <reference field="4294967294" count="1" selected="0">
            <x v="6"/>
          </reference>
        </references>
      </pivotArea>
    </format>
    <format dxfId="6891">
      <pivotArea field="0" dataOnly="0" labelOnly="1" grandRow="1" outline="0" axis="axisRow" fieldPosition="0">
        <references count="1">
          <reference field="4294967294" count="1" selected="0">
            <x v="7"/>
          </reference>
        </references>
      </pivotArea>
    </format>
    <format dxfId="6890">
      <pivotArea field="0" dataOnly="0" labelOnly="1" grandRow="1" outline="0" axis="axisRow" fieldPosition="0">
        <references count="1">
          <reference field="4294967294" count="1" selected="0">
            <x v="8"/>
          </reference>
        </references>
      </pivotArea>
    </format>
    <format dxfId="6889">
      <pivotArea field="0" dataOnly="0" labelOnly="1" grandRow="1" outline="0" axis="axisRow" fieldPosition="0">
        <references count="1">
          <reference field="4294967294" count="1" selected="0">
            <x v="9"/>
          </reference>
        </references>
      </pivotArea>
    </format>
    <format dxfId="6888">
      <pivotArea field="0" dataOnly="0" labelOnly="1" grandRow="1" outline="0" axis="axisRow" fieldPosition="0">
        <references count="1">
          <reference field="4294967294" count="1" selected="0">
            <x v="10"/>
          </reference>
        </references>
      </pivotArea>
    </format>
    <format dxfId="6887">
      <pivotArea field="0" dataOnly="0" labelOnly="1" grandRow="1" outline="0" axis="axisRow" fieldPosition="0">
        <references count="1">
          <reference field="4294967294" count="1" selected="0">
            <x v="11"/>
          </reference>
        </references>
      </pivotArea>
    </format>
    <format dxfId="6886">
      <pivotArea field="0" dataOnly="0" labelOnly="1" grandRow="1" outline="0" axis="axisRow" fieldPosition="0">
        <references count="1">
          <reference field="4294967294" count="1" selected="0">
            <x v="12"/>
          </reference>
        </references>
      </pivotArea>
    </format>
    <format dxfId="6885">
      <pivotArea field="0" dataOnly="0" labelOnly="1" grandRow="1" outline="0" axis="axisRow" fieldPosition="0">
        <references count="1">
          <reference field="4294967294" count="1" selected="0">
            <x v="13"/>
          </reference>
        </references>
      </pivotArea>
    </format>
    <format dxfId="6884">
      <pivotArea field="0" dataOnly="0" labelOnly="1" grandRow="1" outline="0" axis="axisRow" fieldPosition="0">
        <references count="1">
          <reference field="4294967294" count="1" selected="0">
            <x v="14"/>
          </reference>
        </references>
      </pivotArea>
    </format>
    <format dxfId="6883">
      <pivotArea field="0" dataOnly="0" labelOnly="1" grandRow="1" outline="0" axis="axisRow" fieldPosition="0">
        <references count="1">
          <reference field="4294967294" count="1" selected="0">
            <x v="15"/>
          </reference>
        </references>
      </pivotArea>
    </format>
    <format dxfId="6882">
      <pivotArea field="0" dataOnly="0" labelOnly="1" grandRow="1" outline="0" axis="axisRow" fieldPosition="0">
        <references count="1">
          <reference field="4294967294" count="1" selected="0">
            <x v="16"/>
          </reference>
        </references>
      </pivotArea>
    </format>
    <format dxfId="6881">
      <pivotArea field="0" dataOnly="0" labelOnly="1" grandRow="1" outline="0" axis="axisRow" fieldPosition="0">
        <references count="1">
          <reference field="4294967294" count="1" selected="0">
            <x v="17"/>
          </reference>
        </references>
      </pivotArea>
    </format>
    <format dxfId="6880">
      <pivotArea field="0" dataOnly="0" labelOnly="1" grandRow="1" outline="0" axis="axisRow" fieldPosition="0">
        <references count="1">
          <reference field="4294967294" count="1" selected="0">
            <x v="18"/>
          </reference>
        </references>
      </pivotArea>
    </format>
    <format dxfId="6879">
      <pivotArea field="0" dataOnly="0" labelOnly="1" grandRow="1" outline="0" axis="axisRow" fieldPosition="0">
        <references count="1">
          <reference field="4294967294" count="1" selected="0">
            <x v="19"/>
          </reference>
        </references>
      </pivotArea>
    </format>
    <format dxfId="6878">
      <pivotArea field="0" dataOnly="0" labelOnly="1" grandRow="1" outline="0" axis="axisRow" fieldPosition="0">
        <references count="1">
          <reference field="4294967294" count="1" selected="0">
            <x v="20"/>
          </reference>
        </references>
      </pivotArea>
    </format>
    <format dxfId="6877">
      <pivotArea field="0" dataOnly="0" labelOnly="1" grandRow="1" outline="0" axis="axisRow" fieldPosition="0">
        <references count="1">
          <reference field="4294967294" count="1" selected="0">
            <x v="21"/>
          </reference>
        </references>
      </pivotArea>
    </format>
    <format dxfId="6876">
      <pivotArea field="0" dataOnly="0" labelOnly="1" grandRow="1" outline="0" axis="axisRow" fieldPosition="0">
        <references count="1">
          <reference field="4294967294" count="1" selected="0">
            <x v="22"/>
          </reference>
        </references>
      </pivotArea>
    </format>
    <format dxfId="6875">
      <pivotArea field="0" dataOnly="0" labelOnly="1" grandRow="1" outline="0" axis="axisRow" fieldPosition="0">
        <references count="1">
          <reference field="4294967294" count="1" selected="0">
            <x v="23"/>
          </reference>
        </references>
      </pivotArea>
    </format>
    <format dxfId="6874">
      <pivotArea field="0" dataOnly="0" labelOnly="1" grandRow="1" outline="0" axis="axisRow" fieldPosition="0">
        <references count="1">
          <reference field="4294967294" count="1" selected="0">
            <x v="24"/>
          </reference>
        </references>
      </pivotArea>
    </format>
    <format dxfId="6873">
      <pivotArea field="0" dataOnly="0" labelOnly="1" grandRow="1" outline="0" axis="axisRow" fieldPosition="0">
        <references count="1">
          <reference field="4294967294" count="1" selected="0">
            <x v="25"/>
          </reference>
        </references>
      </pivotArea>
    </format>
    <format dxfId="6872">
      <pivotArea field="0" dataOnly="0" labelOnly="1" grandRow="1" outline="0" axis="axisRow" fieldPosition="0">
        <references count="1">
          <reference field="4294967294" count="1" selected="0">
            <x v="26"/>
          </reference>
        </references>
      </pivotArea>
    </format>
    <format dxfId="6871">
      <pivotArea field="0" dataOnly="0" labelOnly="1" grandRow="1" outline="0" axis="axisRow" fieldPosition="0">
        <references count="1">
          <reference field="4294967294" count="1" selected="0">
            <x v="27"/>
          </reference>
        </references>
      </pivotArea>
    </format>
    <format dxfId="6870">
      <pivotArea field="0" dataOnly="0" labelOnly="1" grandRow="1" outline="0" axis="axisRow" fieldPosition="0">
        <references count="1">
          <reference field="4294967294" count="1" selected="0">
            <x v="28"/>
          </reference>
        </references>
      </pivotArea>
    </format>
    <format dxfId="6869">
      <pivotArea field="0" dataOnly="0" labelOnly="1" grandRow="1" outline="0" axis="axisRow" fieldPosition="0">
        <references count="1">
          <reference field="4294967294" count="1" selected="0">
            <x v="29"/>
          </reference>
        </references>
      </pivotArea>
    </format>
    <format dxfId="6868">
      <pivotArea field="0" dataOnly="0" labelOnly="1" grandRow="1" outline="0" axis="axisRow" fieldPosition="0">
        <references count="1">
          <reference field="4294967294" count="1" selected="0">
            <x v="30"/>
          </reference>
        </references>
      </pivotArea>
    </format>
    <format dxfId="6867">
      <pivotArea field="0" dataOnly="0" labelOnly="1" grandRow="1" outline="0" axis="axisRow" fieldPosition="0">
        <references count="1">
          <reference field="4294967294" count="1" selected="0">
            <x v="31"/>
          </reference>
        </references>
      </pivotArea>
    </format>
    <format dxfId="6866">
      <pivotArea field="0" dataOnly="0" labelOnly="1" grandRow="1" outline="0" axis="axisRow" fieldPosition="0">
        <references count="1">
          <reference field="4294967294" count="1" selected="0">
            <x v="32"/>
          </reference>
        </references>
      </pivotArea>
    </format>
    <format dxfId="6865">
      <pivotArea field="0" dataOnly="0" labelOnly="1" grandRow="1" outline="0" axis="axisRow" fieldPosition="0">
        <references count="1">
          <reference field="4294967294" count="1" selected="0">
            <x v="33"/>
          </reference>
        </references>
      </pivotArea>
    </format>
    <format dxfId="6864">
      <pivotArea field="0" dataOnly="0" labelOnly="1" grandRow="1" outline="0" axis="axisRow" fieldPosition="0">
        <references count="1">
          <reference field="4294967294" count="1" selected="0">
            <x v="34"/>
          </reference>
        </references>
      </pivotArea>
    </format>
    <format dxfId="6863">
      <pivotArea field="0" dataOnly="0" labelOnly="1" grandRow="1" outline="0" axis="axisRow" fieldPosition="0">
        <references count="1">
          <reference field="4294967294" count="1" selected="0">
            <x v="35"/>
          </reference>
        </references>
      </pivotArea>
    </format>
    <format dxfId="6862">
      <pivotArea field="0" dataOnly="0" labelOnly="1" grandRow="1" outline="0" axis="axisRow" fieldPosition="0">
        <references count="1">
          <reference field="4294967294" count="1" selected="0">
            <x v="0"/>
          </reference>
        </references>
      </pivotArea>
    </format>
    <format dxfId="6861">
      <pivotArea field="0" dataOnly="0" labelOnly="1" grandRow="1" outline="0" axis="axisRow" fieldPosition="0">
        <references count="1">
          <reference field="4294967294" count="1" selected="0">
            <x v="1"/>
          </reference>
        </references>
      </pivotArea>
    </format>
    <format dxfId="6860">
      <pivotArea field="0" dataOnly="0" labelOnly="1" grandRow="1" outline="0" axis="axisRow" fieldPosition="0">
        <references count="1">
          <reference field="4294967294" count="1" selected="0">
            <x v="2"/>
          </reference>
        </references>
      </pivotArea>
    </format>
    <format dxfId="6859">
      <pivotArea field="0" dataOnly="0" labelOnly="1" grandRow="1" outline="0" axis="axisRow" fieldPosition="0">
        <references count="1">
          <reference field="4294967294" count="1" selected="0">
            <x v="3"/>
          </reference>
        </references>
      </pivotArea>
    </format>
    <format dxfId="6858">
      <pivotArea field="0" dataOnly="0" labelOnly="1" grandRow="1" outline="0" axis="axisRow" fieldPosition="0">
        <references count="1">
          <reference field="4294967294" count="1" selected="0">
            <x v="4"/>
          </reference>
        </references>
      </pivotArea>
    </format>
    <format dxfId="6857">
      <pivotArea field="0" dataOnly="0" labelOnly="1" grandRow="1" outline="0" axis="axisRow" fieldPosition="0">
        <references count="1">
          <reference field="4294967294" count="1" selected="0">
            <x v="5"/>
          </reference>
        </references>
      </pivotArea>
    </format>
    <format dxfId="6856">
      <pivotArea field="0" dataOnly="0" labelOnly="1" grandRow="1" outline="0" axis="axisRow" fieldPosition="0">
        <references count="1">
          <reference field="4294967294" count="1" selected="0">
            <x v="6"/>
          </reference>
        </references>
      </pivotArea>
    </format>
    <format dxfId="6855">
      <pivotArea field="0" dataOnly="0" labelOnly="1" grandRow="1" outline="0" axis="axisRow" fieldPosition="0">
        <references count="1">
          <reference field="4294967294" count="1" selected="0">
            <x v="7"/>
          </reference>
        </references>
      </pivotArea>
    </format>
    <format dxfId="6854">
      <pivotArea field="0" dataOnly="0" labelOnly="1" grandRow="1" outline="0" axis="axisRow" fieldPosition="0">
        <references count="1">
          <reference field="4294967294" count="1" selected="0">
            <x v="8"/>
          </reference>
        </references>
      </pivotArea>
    </format>
    <format dxfId="6853">
      <pivotArea field="0" dataOnly="0" labelOnly="1" grandRow="1" outline="0" axis="axisRow" fieldPosition="0">
        <references count="1">
          <reference field="4294967294" count="1" selected="0">
            <x v="9"/>
          </reference>
        </references>
      </pivotArea>
    </format>
    <format dxfId="6852">
      <pivotArea field="0" dataOnly="0" labelOnly="1" grandRow="1" outline="0" axis="axisRow" fieldPosition="0">
        <references count="1">
          <reference field="4294967294" count="1" selected="0">
            <x v="10"/>
          </reference>
        </references>
      </pivotArea>
    </format>
    <format dxfId="6851">
      <pivotArea field="0" dataOnly="0" labelOnly="1" grandRow="1" outline="0" axis="axisRow" fieldPosition="0">
        <references count="1">
          <reference field="4294967294" count="1" selected="0">
            <x v="11"/>
          </reference>
        </references>
      </pivotArea>
    </format>
    <format dxfId="6850">
      <pivotArea field="0" dataOnly="0" labelOnly="1" grandRow="1" outline="0" axis="axisRow" fieldPosition="0">
        <references count="1">
          <reference field="4294967294" count="1" selected="0">
            <x v="12"/>
          </reference>
        </references>
      </pivotArea>
    </format>
    <format dxfId="6849">
      <pivotArea field="0" dataOnly="0" labelOnly="1" grandRow="1" outline="0" axis="axisRow" fieldPosition="0">
        <references count="1">
          <reference field="4294967294" count="1" selected="0">
            <x v="13"/>
          </reference>
        </references>
      </pivotArea>
    </format>
    <format dxfId="6848">
      <pivotArea field="0" dataOnly="0" labelOnly="1" grandRow="1" outline="0" axis="axisRow" fieldPosition="0">
        <references count="1">
          <reference field="4294967294" count="1" selected="0">
            <x v="14"/>
          </reference>
        </references>
      </pivotArea>
    </format>
    <format dxfId="6847">
      <pivotArea field="0" dataOnly="0" labelOnly="1" grandRow="1" outline="0" axis="axisRow" fieldPosition="0">
        <references count="1">
          <reference field="4294967294" count="1" selected="0">
            <x v="15"/>
          </reference>
        </references>
      </pivotArea>
    </format>
    <format dxfId="6846">
      <pivotArea field="0" dataOnly="0" labelOnly="1" grandRow="1" outline="0" axis="axisRow" fieldPosition="0">
        <references count="1">
          <reference field="4294967294" count="1" selected="0">
            <x v="16"/>
          </reference>
        </references>
      </pivotArea>
    </format>
    <format dxfId="6845">
      <pivotArea field="0" dataOnly="0" labelOnly="1" grandRow="1" outline="0" axis="axisRow" fieldPosition="0">
        <references count="1">
          <reference field="4294967294" count="1" selected="0">
            <x v="17"/>
          </reference>
        </references>
      </pivotArea>
    </format>
    <format dxfId="6844">
      <pivotArea field="0" dataOnly="0" labelOnly="1" grandRow="1" outline="0" axis="axisRow" fieldPosition="0">
        <references count="1">
          <reference field="4294967294" count="1" selected="0">
            <x v="18"/>
          </reference>
        </references>
      </pivotArea>
    </format>
    <format dxfId="6843">
      <pivotArea field="0" dataOnly="0" labelOnly="1" grandRow="1" outline="0" axis="axisRow" fieldPosition="0">
        <references count="1">
          <reference field="4294967294" count="1" selected="0">
            <x v="19"/>
          </reference>
        </references>
      </pivotArea>
    </format>
    <format dxfId="6842">
      <pivotArea field="0" dataOnly="0" labelOnly="1" grandRow="1" outline="0" axis="axisRow" fieldPosition="0">
        <references count="1">
          <reference field="4294967294" count="1" selected="0">
            <x v="20"/>
          </reference>
        </references>
      </pivotArea>
    </format>
    <format dxfId="6841">
      <pivotArea field="0" dataOnly="0" labelOnly="1" grandRow="1" outline="0" axis="axisRow" fieldPosition="0">
        <references count="1">
          <reference field="4294967294" count="1" selected="0">
            <x v="21"/>
          </reference>
        </references>
      </pivotArea>
    </format>
    <format dxfId="6840">
      <pivotArea field="0" dataOnly="0" labelOnly="1" grandRow="1" outline="0" axis="axisRow" fieldPosition="0">
        <references count="1">
          <reference field="4294967294" count="1" selected="0">
            <x v="22"/>
          </reference>
        </references>
      </pivotArea>
    </format>
    <format dxfId="6839">
      <pivotArea field="0" dataOnly="0" labelOnly="1" grandRow="1" outline="0" axis="axisRow" fieldPosition="0">
        <references count="1">
          <reference field="4294967294" count="1" selected="0">
            <x v="23"/>
          </reference>
        </references>
      </pivotArea>
    </format>
    <format dxfId="6838">
      <pivotArea field="0" dataOnly="0" labelOnly="1" grandRow="1" outline="0" axis="axisRow" fieldPosition="0">
        <references count="1">
          <reference field="4294967294" count="1" selected="0">
            <x v="24"/>
          </reference>
        </references>
      </pivotArea>
    </format>
    <format dxfId="6837">
      <pivotArea field="0" dataOnly="0" labelOnly="1" grandRow="1" outline="0" axis="axisRow" fieldPosition="0">
        <references count="1">
          <reference field="4294967294" count="1" selected="0">
            <x v="25"/>
          </reference>
        </references>
      </pivotArea>
    </format>
    <format dxfId="6836">
      <pivotArea field="0" dataOnly="0" labelOnly="1" grandRow="1" outline="0" axis="axisRow" fieldPosition="0">
        <references count="1">
          <reference field="4294967294" count="1" selected="0">
            <x v="26"/>
          </reference>
        </references>
      </pivotArea>
    </format>
    <format dxfId="6835">
      <pivotArea field="0" dataOnly="0" labelOnly="1" grandRow="1" outline="0" axis="axisRow" fieldPosition="0">
        <references count="1">
          <reference field="4294967294" count="1" selected="0">
            <x v="27"/>
          </reference>
        </references>
      </pivotArea>
    </format>
    <format dxfId="6834">
      <pivotArea field="0" dataOnly="0" labelOnly="1" grandRow="1" outline="0" axis="axisRow" fieldPosition="0">
        <references count="1">
          <reference field="4294967294" count="1" selected="0">
            <x v="28"/>
          </reference>
        </references>
      </pivotArea>
    </format>
    <format dxfId="6833">
      <pivotArea field="0" dataOnly="0" labelOnly="1" grandRow="1" outline="0" axis="axisRow" fieldPosition="0">
        <references count="1">
          <reference field="4294967294" count="1" selected="0">
            <x v="29"/>
          </reference>
        </references>
      </pivotArea>
    </format>
    <format dxfId="6832">
      <pivotArea field="0" dataOnly="0" labelOnly="1" grandRow="1" outline="0" axis="axisRow" fieldPosition="0">
        <references count="1">
          <reference field="4294967294" count="1" selected="0">
            <x v="30"/>
          </reference>
        </references>
      </pivotArea>
    </format>
    <format dxfId="6831">
      <pivotArea field="0" dataOnly="0" labelOnly="1" grandRow="1" outline="0" axis="axisRow" fieldPosition="0">
        <references count="1">
          <reference field="4294967294" count="1" selected="0">
            <x v="31"/>
          </reference>
        </references>
      </pivotArea>
    </format>
    <format dxfId="6830">
      <pivotArea field="0" dataOnly="0" labelOnly="1" grandRow="1" outline="0" axis="axisRow" fieldPosition="0">
        <references count="1">
          <reference field="4294967294" count="1" selected="0">
            <x v="32"/>
          </reference>
        </references>
      </pivotArea>
    </format>
    <format dxfId="6829">
      <pivotArea field="0" dataOnly="0" labelOnly="1" grandRow="1" outline="0" axis="axisRow" fieldPosition="0">
        <references count="1">
          <reference field="4294967294" count="1" selected="0">
            <x v="33"/>
          </reference>
        </references>
      </pivotArea>
    </format>
    <format dxfId="6828">
      <pivotArea field="0" dataOnly="0" labelOnly="1" grandRow="1" outline="0" axis="axisRow" fieldPosition="0">
        <references count="1">
          <reference field="4294967294" count="1" selected="0">
            <x v="34"/>
          </reference>
        </references>
      </pivotArea>
    </format>
    <format dxfId="6827">
      <pivotArea field="0" dataOnly="0" labelOnly="1" grandRow="1" outline="0" axis="axisRow" fieldPosition="0">
        <references count="1">
          <reference field="4294967294" count="1" selected="0">
            <x v="35"/>
          </reference>
        </references>
      </pivotArea>
    </format>
    <format dxfId="6826">
      <pivotArea field="0" dataOnly="0" labelOnly="1" grandRow="1" outline="0" axis="axisRow" fieldPosition="0">
        <references count="1">
          <reference field="4294967294" count="1" selected="0">
            <x v="0"/>
          </reference>
        </references>
      </pivotArea>
    </format>
    <format dxfId="6825">
      <pivotArea field="0" dataOnly="0" labelOnly="1" grandRow="1" outline="0" axis="axisRow" fieldPosition="0">
        <references count="1">
          <reference field="4294967294" count="1" selected="0">
            <x v="1"/>
          </reference>
        </references>
      </pivotArea>
    </format>
    <format dxfId="6824">
      <pivotArea field="0" dataOnly="0" labelOnly="1" grandRow="1" outline="0" axis="axisRow" fieldPosition="0">
        <references count="1">
          <reference field="4294967294" count="1" selected="0">
            <x v="2"/>
          </reference>
        </references>
      </pivotArea>
    </format>
    <format dxfId="6823">
      <pivotArea field="0" dataOnly="0" labelOnly="1" grandRow="1" outline="0" axis="axisRow" fieldPosition="0">
        <references count="1">
          <reference field="4294967294" count="1" selected="0">
            <x v="3"/>
          </reference>
        </references>
      </pivotArea>
    </format>
    <format dxfId="6822">
      <pivotArea field="0" dataOnly="0" labelOnly="1" grandRow="1" outline="0" axis="axisRow" fieldPosition="0">
        <references count="1">
          <reference field="4294967294" count="1" selected="0">
            <x v="4"/>
          </reference>
        </references>
      </pivotArea>
    </format>
    <format dxfId="6821">
      <pivotArea field="0" dataOnly="0" labelOnly="1" grandRow="1" outline="0" axis="axisRow" fieldPosition="0">
        <references count="1">
          <reference field="4294967294" count="1" selected="0">
            <x v="5"/>
          </reference>
        </references>
      </pivotArea>
    </format>
    <format dxfId="6820">
      <pivotArea field="0" dataOnly="0" labelOnly="1" grandRow="1" outline="0" axis="axisRow" fieldPosition="0">
        <references count="1">
          <reference field="4294967294" count="1" selected="0">
            <x v="6"/>
          </reference>
        </references>
      </pivotArea>
    </format>
    <format dxfId="6819">
      <pivotArea field="0" dataOnly="0" labelOnly="1" grandRow="1" outline="0" axis="axisRow" fieldPosition="0">
        <references count="1">
          <reference field="4294967294" count="1" selected="0">
            <x v="7"/>
          </reference>
        </references>
      </pivotArea>
    </format>
    <format dxfId="6818">
      <pivotArea field="0" dataOnly="0" labelOnly="1" grandRow="1" outline="0" axis="axisRow" fieldPosition="0">
        <references count="1">
          <reference field="4294967294" count="1" selected="0">
            <x v="8"/>
          </reference>
        </references>
      </pivotArea>
    </format>
    <format dxfId="6817">
      <pivotArea field="0" dataOnly="0" labelOnly="1" grandRow="1" outline="0" axis="axisRow" fieldPosition="0">
        <references count="1">
          <reference field="4294967294" count="1" selected="0">
            <x v="9"/>
          </reference>
        </references>
      </pivotArea>
    </format>
    <format dxfId="6816">
      <pivotArea field="0" dataOnly="0" labelOnly="1" grandRow="1" outline="0" axis="axisRow" fieldPosition="0">
        <references count="1">
          <reference field="4294967294" count="1" selected="0">
            <x v="10"/>
          </reference>
        </references>
      </pivotArea>
    </format>
    <format dxfId="6815">
      <pivotArea field="0" dataOnly="0" labelOnly="1" grandRow="1" outline="0" axis="axisRow" fieldPosition="0">
        <references count="1">
          <reference field="4294967294" count="1" selected="0">
            <x v="11"/>
          </reference>
        </references>
      </pivotArea>
    </format>
    <format dxfId="6814">
      <pivotArea field="0" dataOnly="0" labelOnly="1" grandRow="1" outline="0" axis="axisRow" fieldPosition="0">
        <references count="1">
          <reference field="4294967294" count="1" selected="0">
            <x v="12"/>
          </reference>
        </references>
      </pivotArea>
    </format>
    <format dxfId="6813">
      <pivotArea field="0" dataOnly="0" labelOnly="1" grandRow="1" outline="0" axis="axisRow" fieldPosition="0">
        <references count="1">
          <reference field="4294967294" count="1" selected="0">
            <x v="13"/>
          </reference>
        </references>
      </pivotArea>
    </format>
    <format dxfId="6812">
      <pivotArea field="0" dataOnly="0" labelOnly="1" grandRow="1" outline="0" axis="axisRow" fieldPosition="0">
        <references count="1">
          <reference field="4294967294" count="1" selected="0">
            <x v="14"/>
          </reference>
        </references>
      </pivotArea>
    </format>
    <format dxfId="6811">
      <pivotArea field="0" dataOnly="0" labelOnly="1" grandRow="1" outline="0" axis="axisRow" fieldPosition="0">
        <references count="1">
          <reference field="4294967294" count="1" selected="0">
            <x v="15"/>
          </reference>
        </references>
      </pivotArea>
    </format>
    <format dxfId="6810">
      <pivotArea field="0" dataOnly="0" labelOnly="1" grandRow="1" outline="0" axis="axisRow" fieldPosition="0">
        <references count="1">
          <reference field="4294967294" count="1" selected="0">
            <x v="16"/>
          </reference>
        </references>
      </pivotArea>
    </format>
    <format dxfId="6809">
      <pivotArea field="0" dataOnly="0" labelOnly="1" grandRow="1" outline="0" axis="axisRow" fieldPosition="0">
        <references count="1">
          <reference field="4294967294" count="1" selected="0">
            <x v="17"/>
          </reference>
        </references>
      </pivotArea>
    </format>
    <format dxfId="6808">
      <pivotArea field="0" dataOnly="0" labelOnly="1" grandRow="1" outline="0" axis="axisRow" fieldPosition="0">
        <references count="1">
          <reference field="4294967294" count="1" selected="0">
            <x v="18"/>
          </reference>
        </references>
      </pivotArea>
    </format>
    <format dxfId="6807">
      <pivotArea field="0" dataOnly="0" labelOnly="1" grandRow="1" outline="0" axis="axisRow" fieldPosition="0">
        <references count="1">
          <reference field="4294967294" count="1" selected="0">
            <x v="19"/>
          </reference>
        </references>
      </pivotArea>
    </format>
    <format dxfId="6806">
      <pivotArea field="0" dataOnly="0" labelOnly="1" grandRow="1" outline="0" axis="axisRow" fieldPosition="0">
        <references count="1">
          <reference field="4294967294" count="1" selected="0">
            <x v="20"/>
          </reference>
        </references>
      </pivotArea>
    </format>
    <format dxfId="6805">
      <pivotArea field="0" dataOnly="0" labelOnly="1" grandRow="1" outline="0" axis="axisRow" fieldPosition="0">
        <references count="1">
          <reference field="4294967294" count="1" selected="0">
            <x v="21"/>
          </reference>
        </references>
      </pivotArea>
    </format>
    <format dxfId="6804">
      <pivotArea field="0" dataOnly="0" labelOnly="1" grandRow="1" outline="0" axis="axisRow" fieldPosition="0">
        <references count="1">
          <reference field="4294967294" count="1" selected="0">
            <x v="22"/>
          </reference>
        </references>
      </pivotArea>
    </format>
    <format dxfId="6803">
      <pivotArea field="0" dataOnly="0" labelOnly="1" grandRow="1" outline="0" axis="axisRow" fieldPosition="0">
        <references count="1">
          <reference field="4294967294" count="1" selected="0">
            <x v="23"/>
          </reference>
        </references>
      </pivotArea>
    </format>
    <format dxfId="6802">
      <pivotArea field="0" dataOnly="0" labelOnly="1" grandRow="1" outline="0" axis="axisRow" fieldPosition="0">
        <references count="1">
          <reference field="4294967294" count="1" selected="0">
            <x v="24"/>
          </reference>
        </references>
      </pivotArea>
    </format>
    <format dxfId="6801">
      <pivotArea field="0" dataOnly="0" labelOnly="1" grandRow="1" outline="0" axis="axisRow" fieldPosition="0">
        <references count="1">
          <reference field="4294967294" count="1" selected="0">
            <x v="25"/>
          </reference>
        </references>
      </pivotArea>
    </format>
    <format dxfId="6800">
      <pivotArea field="0" dataOnly="0" labelOnly="1" grandRow="1" outline="0" axis="axisRow" fieldPosition="0">
        <references count="1">
          <reference field="4294967294" count="1" selected="0">
            <x v="26"/>
          </reference>
        </references>
      </pivotArea>
    </format>
    <format dxfId="6799">
      <pivotArea field="0" dataOnly="0" labelOnly="1" grandRow="1" outline="0" axis="axisRow" fieldPosition="0">
        <references count="1">
          <reference field="4294967294" count="1" selected="0">
            <x v="27"/>
          </reference>
        </references>
      </pivotArea>
    </format>
    <format dxfId="6798">
      <pivotArea field="0" dataOnly="0" labelOnly="1" grandRow="1" outline="0" axis="axisRow" fieldPosition="0">
        <references count="1">
          <reference field="4294967294" count="1" selected="0">
            <x v="28"/>
          </reference>
        </references>
      </pivotArea>
    </format>
    <format dxfId="6797">
      <pivotArea field="0" dataOnly="0" labelOnly="1" grandRow="1" outline="0" axis="axisRow" fieldPosition="0">
        <references count="1">
          <reference field="4294967294" count="1" selected="0">
            <x v="29"/>
          </reference>
        </references>
      </pivotArea>
    </format>
    <format dxfId="6796">
      <pivotArea field="0" dataOnly="0" labelOnly="1" grandRow="1" outline="0" axis="axisRow" fieldPosition="0">
        <references count="1">
          <reference field="4294967294" count="1" selected="0">
            <x v="30"/>
          </reference>
        </references>
      </pivotArea>
    </format>
    <format dxfId="6795">
      <pivotArea field="0" dataOnly="0" labelOnly="1" grandRow="1" outline="0" axis="axisRow" fieldPosition="0">
        <references count="1">
          <reference field="4294967294" count="1" selected="0">
            <x v="31"/>
          </reference>
        </references>
      </pivotArea>
    </format>
    <format dxfId="6794">
      <pivotArea field="0" dataOnly="0" labelOnly="1" grandRow="1" outline="0" axis="axisRow" fieldPosition="0">
        <references count="1">
          <reference field="4294967294" count="1" selected="0">
            <x v="32"/>
          </reference>
        </references>
      </pivotArea>
    </format>
    <format dxfId="6793">
      <pivotArea field="0" dataOnly="0" labelOnly="1" grandRow="1" outline="0" axis="axisRow" fieldPosition="0">
        <references count="1">
          <reference field="4294967294" count="1" selected="0">
            <x v="33"/>
          </reference>
        </references>
      </pivotArea>
    </format>
    <format dxfId="6792">
      <pivotArea field="0" dataOnly="0" labelOnly="1" grandRow="1" outline="0" axis="axisRow" fieldPosition="0">
        <references count="1">
          <reference field="4294967294" count="1" selected="0">
            <x v="34"/>
          </reference>
        </references>
      </pivotArea>
    </format>
    <format dxfId="6791">
      <pivotArea field="0" dataOnly="0" labelOnly="1" grandRow="1" outline="0" axis="axisRow" fieldPosition="0">
        <references count="1">
          <reference field="4294967294" count="1" selected="0">
            <x v="35"/>
          </reference>
        </references>
      </pivotArea>
    </format>
    <format dxfId="6790">
      <pivotArea field="0" dataOnly="0" labelOnly="1" grandRow="1" outline="0" axis="axisRow" fieldPosition="0">
        <references count="1">
          <reference field="4294967294" count="1" selected="0">
            <x v="0"/>
          </reference>
        </references>
      </pivotArea>
    </format>
    <format dxfId="6789">
      <pivotArea field="0" dataOnly="0" labelOnly="1" grandRow="1" outline="0" axis="axisRow" fieldPosition="0">
        <references count="1">
          <reference field="4294967294" count="1" selected="0">
            <x v="1"/>
          </reference>
        </references>
      </pivotArea>
    </format>
    <format dxfId="6788">
      <pivotArea field="0" dataOnly="0" labelOnly="1" grandRow="1" outline="0" axis="axisRow" fieldPosition="0">
        <references count="1">
          <reference field="4294967294" count="1" selected="0">
            <x v="2"/>
          </reference>
        </references>
      </pivotArea>
    </format>
    <format dxfId="6787">
      <pivotArea field="0" dataOnly="0" labelOnly="1" grandRow="1" outline="0" axis="axisRow" fieldPosition="0">
        <references count="1">
          <reference field="4294967294" count="1" selected="0">
            <x v="3"/>
          </reference>
        </references>
      </pivotArea>
    </format>
    <format dxfId="6786">
      <pivotArea field="0" dataOnly="0" labelOnly="1" grandRow="1" outline="0" axis="axisRow" fieldPosition="0">
        <references count="1">
          <reference field="4294967294" count="1" selected="0">
            <x v="4"/>
          </reference>
        </references>
      </pivotArea>
    </format>
    <format dxfId="6785">
      <pivotArea field="0" dataOnly="0" labelOnly="1" grandRow="1" outline="0" axis="axisRow" fieldPosition="0">
        <references count="1">
          <reference field="4294967294" count="1" selected="0">
            <x v="5"/>
          </reference>
        </references>
      </pivotArea>
    </format>
    <format dxfId="6784">
      <pivotArea field="0" dataOnly="0" labelOnly="1" grandRow="1" outline="0" axis="axisRow" fieldPosition="0">
        <references count="1">
          <reference field="4294967294" count="1" selected="0">
            <x v="6"/>
          </reference>
        </references>
      </pivotArea>
    </format>
    <format dxfId="6783">
      <pivotArea field="0" dataOnly="0" labelOnly="1" grandRow="1" outline="0" axis="axisRow" fieldPosition="0">
        <references count="1">
          <reference field="4294967294" count="1" selected="0">
            <x v="7"/>
          </reference>
        </references>
      </pivotArea>
    </format>
    <format dxfId="6782">
      <pivotArea field="0" dataOnly="0" labelOnly="1" grandRow="1" outline="0" axis="axisRow" fieldPosition="0">
        <references count="1">
          <reference field="4294967294" count="1" selected="0">
            <x v="8"/>
          </reference>
        </references>
      </pivotArea>
    </format>
    <format dxfId="6781">
      <pivotArea field="0" dataOnly="0" labelOnly="1" grandRow="1" outline="0" axis="axisRow" fieldPosition="0">
        <references count="1">
          <reference field="4294967294" count="1" selected="0">
            <x v="9"/>
          </reference>
        </references>
      </pivotArea>
    </format>
    <format dxfId="6780">
      <pivotArea field="0" dataOnly="0" labelOnly="1" grandRow="1" outline="0" axis="axisRow" fieldPosition="0">
        <references count="1">
          <reference field="4294967294" count="1" selected="0">
            <x v="10"/>
          </reference>
        </references>
      </pivotArea>
    </format>
    <format dxfId="6779">
      <pivotArea field="0" dataOnly="0" labelOnly="1" grandRow="1" outline="0" axis="axisRow" fieldPosition="0">
        <references count="1">
          <reference field="4294967294" count="1" selected="0">
            <x v="11"/>
          </reference>
        </references>
      </pivotArea>
    </format>
    <format dxfId="6778">
      <pivotArea field="0" dataOnly="0" labelOnly="1" grandRow="1" outline="0" axis="axisRow" fieldPosition="0">
        <references count="1">
          <reference field="4294967294" count="1" selected="0">
            <x v="12"/>
          </reference>
        </references>
      </pivotArea>
    </format>
    <format dxfId="6777">
      <pivotArea field="0" dataOnly="0" labelOnly="1" grandRow="1" outline="0" axis="axisRow" fieldPosition="0">
        <references count="1">
          <reference field="4294967294" count="1" selected="0">
            <x v="13"/>
          </reference>
        </references>
      </pivotArea>
    </format>
    <format dxfId="6776">
      <pivotArea field="0" dataOnly="0" labelOnly="1" grandRow="1" outline="0" axis="axisRow" fieldPosition="0">
        <references count="1">
          <reference field="4294967294" count="1" selected="0">
            <x v="14"/>
          </reference>
        </references>
      </pivotArea>
    </format>
    <format dxfId="6775">
      <pivotArea field="0" dataOnly="0" labelOnly="1" grandRow="1" outline="0" axis="axisRow" fieldPosition="0">
        <references count="1">
          <reference field="4294967294" count="1" selected="0">
            <x v="15"/>
          </reference>
        </references>
      </pivotArea>
    </format>
    <format dxfId="6774">
      <pivotArea field="0" dataOnly="0" labelOnly="1" grandRow="1" outline="0" axis="axisRow" fieldPosition="0">
        <references count="1">
          <reference field="4294967294" count="1" selected="0">
            <x v="16"/>
          </reference>
        </references>
      </pivotArea>
    </format>
    <format dxfId="6773">
      <pivotArea field="0" dataOnly="0" labelOnly="1" grandRow="1" outline="0" axis="axisRow" fieldPosition="0">
        <references count="1">
          <reference field="4294967294" count="1" selected="0">
            <x v="17"/>
          </reference>
        </references>
      </pivotArea>
    </format>
    <format dxfId="6772">
      <pivotArea field="0" dataOnly="0" labelOnly="1" grandRow="1" outline="0" axis="axisRow" fieldPosition="0">
        <references count="1">
          <reference field="4294967294" count="1" selected="0">
            <x v="18"/>
          </reference>
        </references>
      </pivotArea>
    </format>
    <format dxfId="6771">
      <pivotArea field="0" dataOnly="0" labelOnly="1" grandRow="1" outline="0" axis="axisRow" fieldPosition="0">
        <references count="1">
          <reference field="4294967294" count="1" selected="0">
            <x v="19"/>
          </reference>
        </references>
      </pivotArea>
    </format>
    <format dxfId="6770">
      <pivotArea field="0" dataOnly="0" labelOnly="1" grandRow="1" outline="0" axis="axisRow" fieldPosition="0">
        <references count="1">
          <reference field="4294967294" count="1" selected="0">
            <x v="20"/>
          </reference>
        </references>
      </pivotArea>
    </format>
    <format dxfId="6769">
      <pivotArea field="0" dataOnly="0" labelOnly="1" grandRow="1" outline="0" axis="axisRow" fieldPosition="0">
        <references count="1">
          <reference field="4294967294" count="1" selected="0">
            <x v="21"/>
          </reference>
        </references>
      </pivotArea>
    </format>
    <format dxfId="6768">
      <pivotArea field="0" dataOnly="0" labelOnly="1" grandRow="1" outline="0" axis="axisRow" fieldPosition="0">
        <references count="1">
          <reference field="4294967294" count="1" selected="0">
            <x v="22"/>
          </reference>
        </references>
      </pivotArea>
    </format>
    <format dxfId="6767">
      <pivotArea field="0" dataOnly="0" labelOnly="1" grandRow="1" outline="0" axis="axisRow" fieldPosition="0">
        <references count="1">
          <reference field="4294967294" count="1" selected="0">
            <x v="23"/>
          </reference>
        </references>
      </pivotArea>
    </format>
    <format dxfId="6766">
      <pivotArea field="0" dataOnly="0" labelOnly="1" grandRow="1" outline="0" axis="axisRow" fieldPosition="0">
        <references count="1">
          <reference field="4294967294" count="1" selected="0">
            <x v="24"/>
          </reference>
        </references>
      </pivotArea>
    </format>
    <format dxfId="6765">
      <pivotArea field="0" dataOnly="0" labelOnly="1" grandRow="1" outline="0" axis="axisRow" fieldPosition="0">
        <references count="1">
          <reference field="4294967294" count="1" selected="0">
            <x v="25"/>
          </reference>
        </references>
      </pivotArea>
    </format>
    <format dxfId="6764">
      <pivotArea field="0" dataOnly="0" labelOnly="1" grandRow="1" outline="0" axis="axisRow" fieldPosition="0">
        <references count="1">
          <reference field="4294967294" count="1" selected="0">
            <x v="26"/>
          </reference>
        </references>
      </pivotArea>
    </format>
    <format dxfId="6763">
      <pivotArea field="0" dataOnly="0" labelOnly="1" grandRow="1" outline="0" axis="axisRow" fieldPosition="0">
        <references count="1">
          <reference field="4294967294" count="1" selected="0">
            <x v="27"/>
          </reference>
        </references>
      </pivotArea>
    </format>
    <format dxfId="6762">
      <pivotArea field="0" dataOnly="0" labelOnly="1" grandRow="1" outline="0" axis="axisRow" fieldPosition="0">
        <references count="1">
          <reference field="4294967294" count="1" selected="0">
            <x v="28"/>
          </reference>
        </references>
      </pivotArea>
    </format>
    <format dxfId="6761">
      <pivotArea field="0" dataOnly="0" labelOnly="1" grandRow="1" outline="0" axis="axisRow" fieldPosition="0">
        <references count="1">
          <reference field="4294967294" count="1" selected="0">
            <x v="29"/>
          </reference>
        </references>
      </pivotArea>
    </format>
    <format dxfId="6760">
      <pivotArea field="0" dataOnly="0" labelOnly="1" grandRow="1" outline="0" axis="axisRow" fieldPosition="0">
        <references count="1">
          <reference field="4294967294" count="1" selected="0">
            <x v="30"/>
          </reference>
        </references>
      </pivotArea>
    </format>
    <format dxfId="6759">
      <pivotArea field="0" dataOnly="0" labelOnly="1" grandRow="1" outline="0" axis="axisRow" fieldPosition="0">
        <references count="1">
          <reference field="4294967294" count="1" selected="0">
            <x v="31"/>
          </reference>
        </references>
      </pivotArea>
    </format>
    <format dxfId="6758">
      <pivotArea field="0" dataOnly="0" labelOnly="1" grandRow="1" outline="0" axis="axisRow" fieldPosition="0">
        <references count="1">
          <reference field="4294967294" count="1" selected="0">
            <x v="32"/>
          </reference>
        </references>
      </pivotArea>
    </format>
    <format dxfId="6757">
      <pivotArea field="0" dataOnly="0" labelOnly="1" grandRow="1" outline="0" axis="axisRow" fieldPosition="0">
        <references count="1">
          <reference field="4294967294" count="1" selected="0">
            <x v="33"/>
          </reference>
        </references>
      </pivotArea>
    </format>
    <format dxfId="6756">
      <pivotArea field="0" dataOnly="0" labelOnly="1" grandRow="1" outline="0" axis="axisRow" fieldPosition="0">
        <references count="1">
          <reference field="4294967294" count="1" selected="0">
            <x v="34"/>
          </reference>
        </references>
      </pivotArea>
    </format>
    <format dxfId="6755">
      <pivotArea field="0" dataOnly="0" labelOnly="1" grandRow="1" outline="0" axis="axisRow" fieldPosition="0">
        <references count="1">
          <reference field="4294967294" count="1" selected="0">
            <x v="35"/>
          </reference>
        </references>
      </pivotArea>
    </format>
    <format dxfId="6754">
      <pivotArea field="0" dataOnly="0" labelOnly="1" grandRow="1" outline="0" axis="axisRow" fieldPosition="0">
        <references count="1">
          <reference field="4294967294" count="1" selected="0">
            <x v="0"/>
          </reference>
        </references>
      </pivotArea>
    </format>
    <format dxfId="6753">
      <pivotArea field="0" dataOnly="0" labelOnly="1" grandRow="1" outline="0" axis="axisRow" fieldPosition="0">
        <references count="1">
          <reference field="4294967294" count="1" selected="0">
            <x v="1"/>
          </reference>
        </references>
      </pivotArea>
    </format>
    <format dxfId="6752">
      <pivotArea field="0" dataOnly="0" labelOnly="1" grandRow="1" outline="0" axis="axisRow" fieldPosition="0">
        <references count="1">
          <reference field="4294967294" count="1" selected="0">
            <x v="2"/>
          </reference>
        </references>
      </pivotArea>
    </format>
    <format dxfId="6751">
      <pivotArea field="0" dataOnly="0" labelOnly="1" grandRow="1" outline="0" axis="axisRow" fieldPosition="0">
        <references count="1">
          <reference field="4294967294" count="1" selected="0">
            <x v="3"/>
          </reference>
        </references>
      </pivotArea>
    </format>
    <format dxfId="6750">
      <pivotArea field="0" dataOnly="0" labelOnly="1" grandRow="1" outline="0" axis="axisRow" fieldPosition="0">
        <references count="1">
          <reference field="4294967294" count="1" selected="0">
            <x v="4"/>
          </reference>
        </references>
      </pivotArea>
    </format>
    <format dxfId="6749">
      <pivotArea field="0" dataOnly="0" labelOnly="1" grandRow="1" outline="0" axis="axisRow" fieldPosition="0">
        <references count="1">
          <reference field="4294967294" count="1" selected="0">
            <x v="5"/>
          </reference>
        </references>
      </pivotArea>
    </format>
    <format dxfId="6748">
      <pivotArea field="0" dataOnly="0" labelOnly="1" grandRow="1" outline="0" axis="axisRow" fieldPosition="0">
        <references count="1">
          <reference field="4294967294" count="1" selected="0">
            <x v="6"/>
          </reference>
        </references>
      </pivotArea>
    </format>
    <format dxfId="6747">
      <pivotArea field="0" dataOnly="0" labelOnly="1" grandRow="1" outline="0" axis="axisRow" fieldPosition="0">
        <references count="1">
          <reference field="4294967294" count="1" selected="0">
            <x v="7"/>
          </reference>
        </references>
      </pivotArea>
    </format>
    <format dxfId="6746">
      <pivotArea field="0" dataOnly="0" labelOnly="1" grandRow="1" outline="0" axis="axisRow" fieldPosition="0">
        <references count="1">
          <reference field="4294967294" count="1" selected="0">
            <x v="8"/>
          </reference>
        </references>
      </pivotArea>
    </format>
    <format dxfId="6745">
      <pivotArea field="0" dataOnly="0" labelOnly="1" grandRow="1" outline="0" axis="axisRow" fieldPosition="0">
        <references count="1">
          <reference field="4294967294" count="1" selected="0">
            <x v="9"/>
          </reference>
        </references>
      </pivotArea>
    </format>
    <format dxfId="6744">
      <pivotArea field="0" dataOnly="0" labelOnly="1" grandRow="1" outline="0" axis="axisRow" fieldPosition="0">
        <references count="1">
          <reference field="4294967294" count="1" selected="0">
            <x v="10"/>
          </reference>
        </references>
      </pivotArea>
    </format>
    <format dxfId="6743">
      <pivotArea field="0" dataOnly="0" labelOnly="1" grandRow="1" outline="0" axis="axisRow" fieldPosition="0">
        <references count="1">
          <reference field="4294967294" count="1" selected="0">
            <x v="11"/>
          </reference>
        </references>
      </pivotArea>
    </format>
    <format dxfId="6742">
      <pivotArea field="0" dataOnly="0" labelOnly="1" grandRow="1" outline="0" axis="axisRow" fieldPosition="0">
        <references count="1">
          <reference field="4294967294" count="1" selected="0">
            <x v="12"/>
          </reference>
        </references>
      </pivotArea>
    </format>
    <format dxfId="6741">
      <pivotArea field="0" dataOnly="0" labelOnly="1" grandRow="1" outline="0" axis="axisRow" fieldPosition="0">
        <references count="1">
          <reference field="4294967294" count="1" selected="0">
            <x v="13"/>
          </reference>
        </references>
      </pivotArea>
    </format>
    <format dxfId="6740">
      <pivotArea field="0" dataOnly="0" labelOnly="1" grandRow="1" outline="0" axis="axisRow" fieldPosition="0">
        <references count="1">
          <reference field="4294967294" count="1" selected="0">
            <x v="14"/>
          </reference>
        </references>
      </pivotArea>
    </format>
    <format dxfId="6739">
      <pivotArea field="0" dataOnly="0" labelOnly="1" grandRow="1" outline="0" axis="axisRow" fieldPosition="0">
        <references count="1">
          <reference field="4294967294" count="1" selected="0">
            <x v="15"/>
          </reference>
        </references>
      </pivotArea>
    </format>
    <format dxfId="6738">
      <pivotArea field="0" dataOnly="0" labelOnly="1" grandRow="1" outline="0" axis="axisRow" fieldPosition="0">
        <references count="1">
          <reference field="4294967294" count="1" selected="0">
            <x v="16"/>
          </reference>
        </references>
      </pivotArea>
    </format>
    <format dxfId="6737">
      <pivotArea field="0" dataOnly="0" labelOnly="1" grandRow="1" outline="0" axis="axisRow" fieldPosition="0">
        <references count="1">
          <reference field="4294967294" count="1" selected="0">
            <x v="17"/>
          </reference>
        </references>
      </pivotArea>
    </format>
    <format dxfId="6736">
      <pivotArea field="0" dataOnly="0" labelOnly="1" grandRow="1" outline="0" axis="axisRow" fieldPosition="0">
        <references count="1">
          <reference field="4294967294" count="1" selected="0">
            <x v="18"/>
          </reference>
        </references>
      </pivotArea>
    </format>
    <format dxfId="6735">
      <pivotArea field="0" dataOnly="0" labelOnly="1" grandRow="1" outline="0" axis="axisRow" fieldPosition="0">
        <references count="1">
          <reference field="4294967294" count="1" selected="0">
            <x v="19"/>
          </reference>
        </references>
      </pivotArea>
    </format>
    <format dxfId="6734">
      <pivotArea field="0" dataOnly="0" labelOnly="1" grandRow="1" outline="0" axis="axisRow" fieldPosition="0">
        <references count="1">
          <reference field="4294967294" count="1" selected="0">
            <x v="20"/>
          </reference>
        </references>
      </pivotArea>
    </format>
    <format dxfId="6733">
      <pivotArea field="0" dataOnly="0" labelOnly="1" grandRow="1" outline="0" axis="axisRow" fieldPosition="0">
        <references count="1">
          <reference field="4294967294" count="1" selected="0">
            <x v="21"/>
          </reference>
        </references>
      </pivotArea>
    </format>
    <format dxfId="6732">
      <pivotArea field="0" dataOnly="0" labelOnly="1" grandRow="1" outline="0" axis="axisRow" fieldPosition="0">
        <references count="1">
          <reference field="4294967294" count="1" selected="0">
            <x v="22"/>
          </reference>
        </references>
      </pivotArea>
    </format>
    <format dxfId="6731">
      <pivotArea field="0" dataOnly="0" labelOnly="1" grandRow="1" outline="0" axis="axisRow" fieldPosition="0">
        <references count="1">
          <reference field="4294967294" count="1" selected="0">
            <x v="23"/>
          </reference>
        </references>
      </pivotArea>
    </format>
    <format dxfId="6730">
      <pivotArea field="0" dataOnly="0" labelOnly="1" grandRow="1" outline="0" axis="axisRow" fieldPosition="0">
        <references count="1">
          <reference field="4294967294" count="1" selected="0">
            <x v="24"/>
          </reference>
        </references>
      </pivotArea>
    </format>
    <format dxfId="6729">
      <pivotArea field="0" dataOnly="0" labelOnly="1" grandRow="1" outline="0" axis="axisRow" fieldPosition="0">
        <references count="1">
          <reference field="4294967294" count="1" selected="0">
            <x v="25"/>
          </reference>
        </references>
      </pivotArea>
    </format>
    <format dxfId="6728">
      <pivotArea field="0" dataOnly="0" labelOnly="1" grandRow="1" outline="0" axis="axisRow" fieldPosition="0">
        <references count="1">
          <reference field="4294967294" count="1" selected="0">
            <x v="26"/>
          </reference>
        </references>
      </pivotArea>
    </format>
    <format dxfId="6727">
      <pivotArea field="0" dataOnly="0" labelOnly="1" grandRow="1" outline="0" axis="axisRow" fieldPosition="0">
        <references count="1">
          <reference field="4294967294" count="1" selected="0">
            <x v="27"/>
          </reference>
        </references>
      </pivotArea>
    </format>
    <format dxfId="6726">
      <pivotArea field="0" dataOnly="0" labelOnly="1" grandRow="1" outline="0" axis="axisRow" fieldPosition="0">
        <references count="1">
          <reference field="4294967294" count="1" selected="0">
            <x v="28"/>
          </reference>
        </references>
      </pivotArea>
    </format>
    <format dxfId="6725">
      <pivotArea field="0" dataOnly="0" labelOnly="1" grandRow="1" outline="0" axis="axisRow" fieldPosition="0">
        <references count="1">
          <reference field="4294967294" count="1" selected="0">
            <x v="29"/>
          </reference>
        </references>
      </pivotArea>
    </format>
    <format dxfId="6724">
      <pivotArea field="0" dataOnly="0" labelOnly="1" grandRow="1" outline="0" axis="axisRow" fieldPosition="0">
        <references count="1">
          <reference field="4294967294" count="1" selected="0">
            <x v="30"/>
          </reference>
        </references>
      </pivotArea>
    </format>
    <format dxfId="6723">
      <pivotArea field="0" dataOnly="0" labelOnly="1" grandRow="1" outline="0" axis="axisRow" fieldPosition="0">
        <references count="1">
          <reference field="4294967294" count="1" selected="0">
            <x v="31"/>
          </reference>
        </references>
      </pivotArea>
    </format>
    <format dxfId="6722">
      <pivotArea field="0" dataOnly="0" labelOnly="1" grandRow="1" outline="0" axis="axisRow" fieldPosition="0">
        <references count="1">
          <reference field="4294967294" count="1" selected="0">
            <x v="32"/>
          </reference>
        </references>
      </pivotArea>
    </format>
    <format dxfId="6721">
      <pivotArea field="0" dataOnly="0" labelOnly="1" grandRow="1" outline="0" axis="axisRow" fieldPosition="0">
        <references count="1">
          <reference field="4294967294" count="1" selected="0">
            <x v="33"/>
          </reference>
        </references>
      </pivotArea>
    </format>
    <format dxfId="6720">
      <pivotArea field="0" dataOnly="0" labelOnly="1" grandRow="1" outline="0" axis="axisRow" fieldPosition="0">
        <references count="1">
          <reference field="4294967294" count="1" selected="0">
            <x v="34"/>
          </reference>
        </references>
      </pivotArea>
    </format>
    <format dxfId="6719">
      <pivotArea field="0" dataOnly="0" labelOnly="1" grandRow="1" outline="0" axis="axisRow" fieldPosition="0">
        <references count="1">
          <reference field="4294967294" count="1" selected="0">
            <x v="35"/>
          </reference>
        </references>
      </pivotArea>
    </format>
    <format dxfId="6718">
      <pivotArea field="0" dataOnly="0" labelOnly="1" grandRow="1" outline="0" axis="axisRow" fieldPosition="0">
        <references count="1">
          <reference field="4294967294" count="1" selected="0">
            <x v="0"/>
          </reference>
        </references>
      </pivotArea>
    </format>
    <format dxfId="6717">
      <pivotArea field="0" dataOnly="0" labelOnly="1" grandRow="1" outline="0" axis="axisRow" fieldPosition="0">
        <references count="1">
          <reference field="4294967294" count="1" selected="0">
            <x v="1"/>
          </reference>
        </references>
      </pivotArea>
    </format>
    <format dxfId="6716">
      <pivotArea field="0" dataOnly="0" labelOnly="1" grandRow="1" outline="0" axis="axisRow" fieldPosition="0">
        <references count="1">
          <reference field="4294967294" count="1" selected="0">
            <x v="2"/>
          </reference>
        </references>
      </pivotArea>
    </format>
    <format dxfId="6715">
      <pivotArea field="0" dataOnly="0" labelOnly="1" grandRow="1" outline="0" axis="axisRow" fieldPosition="0">
        <references count="1">
          <reference field="4294967294" count="1" selected="0">
            <x v="3"/>
          </reference>
        </references>
      </pivotArea>
    </format>
    <format dxfId="6714">
      <pivotArea field="0" dataOnly="0" labelOnly="1" grandRow="1" outline="0" axis="axisRow" fieldPosition="0">
        <references count="1">
          <reference field="4294967294" count="1" selected="0">
            <x v="4"/>
          </reference>
        </references>
      </pivotArea>
    </format>
    <format dxfId="6713">
      <pivotArea field="0" dataOnly="0" labelOnly="1" grandRow="1" outline="0" axis="axisRow" fieldPosition="0">
        <references count="1">
          <reference field="4294967294" count="1" selected="0">
            <x v="5"/>
          </reference>
        </references>
      </pivotArea>
    </format>
    <format dxfId="6712">
      <pivotArea field="0" dataOnly="0" labelOnly="1" grandRow="1" outline="0" axis="axisRow" fieldPosition="0">
        <references count="1">
          <reference field="4294967294" count="1" selected="0">
            <x v="6"/>
          </reference>
        </references>
      </pivotArea>
    </format>
    <format dxfId="6711">
      <pivotArea field="0" dataOnly="0" labelOnly="1" grandRow="1" outline="0" axis="axisRow" fieldPosition="0">
        <references count="1">
          <reference field="4294967294" count="1" selected="0">
            <x v="7"/>
          </reference>
        </references>
      </pivotArea>
    </format>
    <format dxfId="6710">
      <pivotArea field="0" dataOnly="0" labelOnly="1" grandRow="1" outline="0" axis="axisRow" fieldPosition="0">
        <references count="1">
          <reference field="4294967294" count="1" selected="0">
            <x v="8"/>
          </reference>
        </references>
      </pivotArea>
    </format>
    <format dxfId="6709">
      <pivotArea field="0" dataOnly="0" labelOnly="1" grandRow="1" outline="0" axis="axisRow" fieldPosition="0">
        <references count="1">
          <reference field="4294967294" count="1" selected="0">
            <x v="9"/>
          </reference>
        </references>
      </pivotArea>
    </format>
    <format dxfId="6708">
      <pivotArea field="0" dataOnly="0" labelOnly="1" grandRow="1" outline="0" axis="axisRow" fieldPosition="0">
        <references count="1">
          <reference field="4294967294" count="1" selected="0">
            <x v="10"/>
          </reference>
        </references>
      </pivotArea>
    </format>
    <format dxfId="6707">
      <pivotArea field="0" dataOnly="0" labelOnly="1" grandRow="1" outline="0" axis="axisRow" fieldPosition="0">
        <references count="1">
          <reference field="4294967294" count="1" selected="0">
            <x v="11"/>
          </reference>
        </references>
      </pivotArea>
    </format>
    <format dxfId="6706">
      <pivotArea field="0" dataOnly="0" labelOnly="1" grandRow="1" outline="0" axis="axisRow" fieldPosition="0">
        <references count="1">
          <reference field="4294967294" count="1" selected="0">
            <x v="12"/>
          </reference>
        </references>
      </pivotArea>
    </format>
    <format dxfId="6705">
      <pivotArea field="0" dataOnly="0" labelOnly="1" grandRow="1" outline="0" axis="axisRow" fieldPosition="0">
        <references count="1">
          <reference field="4294967294" count="1" selected="0">
            <x v="13"/>
          </reference>
        </references>
      </pivotArea>
    </format>
    <format dxfId="6704">
      <pivotArea field="0" dataOnly="0" labelOnly="1" grandRow="1" outline="0" axis="axisRow" fieldPosition="0">
        <references count="1">
          <reference field="4294967294" count="1" selected="0">
            <x v="14"/>
          </reference>
        </references>
      </pivotArea>
    </format>
    <format dxfId="6703">
      <pivotArea field="0" dataOnly="0" labelOnly="1" grandRow="1" outline="0" axis="axisRow" fieldPosition="0">
        <references count="1">
          <reference field="4294967294" count="1" selected="0">
            <x v="15"/>
          </reference>
        </references>
      </pivotArea>
    </format>
    <format dxfId="6702">
      <pivotArea field="0" dataOnly="0" labelOnly="1" grandRow="1" outline="0" axis="axisRow" fieldPosition="0">
        <references count="1">
          <reference field="4294967294" count="1" selected="0">
            <x v="16"/>
          </reference>
        </references>
      </pivotArea>
    </format>
    <format dxfId="6701">
      <pivotArea field="0" dataOnly="0" labelOnly="1" grandRow="1" outline="0" axis="axisRow" fieldPosition="0">
        <references count="1">
          <reference field="4294967294" count="1" selected="0">
            <x v="17"/>
          </reference>
        </references>
      </pivotArea>
    </format>
    <format dxfId="6700">
      <pivotArea field="0" dataOnly="0" labelOnly="1" grandRow="1" outline="0" axis="axisRow" fieldPosition="0">
        <references count="1">
          <reference field="4294967294" count="1" selected="0">
            <x v="18"/>
          </reference>
        </references>
      </pivotArea>
    </format>
    <format dxfId="6699">
      <pivotArea field="0" dataOnly="0" labelOnly="1" grandRow="1" outline="0" axis="axisRow" fieldPosition="0">
        <references count="1">
          <reference field="4294967294" count="1" selected="0">
            <x v="19"/>
          </reference>
        </references>
      </pivotArea>
    </format>
    <format dxfId="6698">
      <pivotArea field="0" dataOnly="0" labelOnly="1" grandRow="1" outline="0" axis="axisRow" fieldPosition="0">
        <references count="1">
          <reference field="4294967294" count="1" selected="0">
            <x v="20"/>
          </reference>
        </references>
      </pivotArea>
    </format>
    <format dxfId="6697">
      <pivotArea field="0" dataOnly="0" labelOnly="1" grandRow="1" outline="0" axis="axisRow" fieldPosition="0">
        <references count="1">
          <reference field="4294967294" count="1" selected="0">
            <x v="21"/>
          </reference>
        </references>
      </pivotArea>
    </format>
    <format dxfId="6696">
      <pivotArea field="0" dataOnly="0" labelOnly="1" grandRow="1" outline="0" axis="axisRow" fieldPosition="0">
        <references count="1">
          <reference field="4294967294" count="1" selected="0">
            <x v="22"/>
          </reference>
        </references>
      </pivotArea>
    </format>
    <format dxfId="6695">
      <pivotArea field="0" dataOnly="0" labelOnly="1" grandRow="1" outline="0" axis="axisRow" fieldPosition="0">
        <references count="1">
          <reference field="4294967294" count="1" selected="0">
            <x v="23"/>
          </reference>
        </references>
      </pivotArea>
    </format>
    <format dxfId="6694">
      <pivotArea field="0" dataOnly="0" labelOnly="1" grandRow="1" outline="0" axis="axisRow" fieldPosition="0">
        <references count="1">
          <reference field="4294967294" count="1" selected="0">
            <x v="24"/>
          </reference>
        </references>
      </pivotArea>
    </format>
    <format dxfId="6693">
      <pivotArea field="0" dataOnly="0" labelOnly="1" grandRow="1" outline="0" axis="axisRow" fieldPosition="0">
        <references count="1">
          <reference field="4294967294" count="1" selected="0">
            <x v="25"/>
          </reference>
        </references>
      </pivotArea>
    </format>
    <format dxfId="6692">
      <pivotArea field="0" dataOnly="0" labelOnly="1" grandRow="1" outline="0" axis="axisRow" fieldPosition="0">
        <references count="1">
          <reference field="4294967294" count="1" selected="0">
            <x v="26"/>
          </reference>
        </references>
      </pivotArea>
    </format>
    <format dxfId="6691">
      <pivotArea field="0" dataOnly="0" labelOnly="1" grandRow="1" outline="0" axis="axisRow" fieldPosition="0">
        <references count="1">
          <reference field="4294967294" count="1" selected="0">
            <x v="27"/>
          </reference>
        </references>
      </pivotArea>
    </format>
    <format dxfId="6690">
      <pivotArea field="0" dataOnly="0" labelOnly="1" grandRow="1" outline="0" axis="axisRow" fieldPosition="0">
        <references count="1">
          <reference field="4294967294" count="1" selected="0">
            <x v="28"/>
          </reference>
        </references>
      </pivotArea>
    </format>
    <format dxfId="6689">
      <pivotArea field="0" dataOnly="0" labelOnly="1" grandRow="1" outline="0" axis="axisRow" fieldPosition="0">
        <references count="1">
          <reference field="4294967294" count="1" selected="0">
            <x v="29"/>
          </reference>
        </references>
      </pivotArea>
    </format>
    <format dxfId="6688">
      <pivotArea field="0" dataOnly="0" labelOnly="1" grandRow="1" outline="0" axis="axisRow" fieldPosition="0">
        <references count="1">
          <reference field="4294967294" count="1" selected="0">
            <x v="30"/>
          </reference>
        </references>
      </pivotArea>
    </format>
    <format dxfId="6687">
      <pivotArea field="0" dataOnly="0" labelOnly="1" grandRow="1" outline="0" axis="axisRow" fieldPosition="0">
        <references count="1">
          <reference field="4294967294" count="1" selected="0">
            <x v="31"/>
          </reference>
        </references>
      </pivotArea>
    </format>
    <format dxfId="6686">
      <pivotArea field="0" dataOnly="0" labelOnly="1" grandRow="1" outline="0" axis="axisRow" fieldPosition="0">
        <references count="1">
          <reference field="4294967294" count="1" selected="0">
            <x v="32"/>
          </reference>
        </references>
      </pivotArea>
    </format>
    <format dxfId="6685">
      <pivotArea field="0" dataOnly="0" labelOnly="1" grandRow="1" outline="0" axis="axisRow" fieldPosition="0">
        <references count="1">
          <reference field="4294967294" count="1" selected="0">
            <x v="33"/>
          </reference>
        </references>
      </pivotArea>
    </format>
    <format dxfId="6684">
      <pivotArea field="0" dataOnly="0" labelOnly="1" grandRow="1" outline="0" axis="axisRow" fieldPosition="0">
        <references count="1">
          <reference field="4294967294" count="1" selected="0">
            <x v="34"/>
          </reference>
        </references>
      </pivotArea>
    </format>
    <format dxfId="6683">
      <pivotArea field="0" dataOnly="0" labelOnly="1" grandRow="1" outline="0" axis="axisRow" fieldPosition="0">
        <references count="1">
          <reference field="4294967294" count="1" selected="0">
            <x v="35"/>
          </reference>
        </references>
      </pivotArea>
    </format>
    <format dxfId="6682">
      <pivotArea field="0" dataOnly="0" labelOnly="1" grandRow="1" outline="0" axis="axisRow" fieldPosition="0">
        <references count="1">
          <reference field="4294967294" count="1" selected="0">
            <x v="0"/>
          </reference>
        </references>
      </pivotArea>
    </format>
    <format dxfId="6681">
      <pivotArea field="0" dataOnly="0" labelOnly="1" grandRow="1" outline="0" axis="axisRow" fieldPosition="0">
        <references count="1">
          <reference field="4294967294" count="1" selected="0">
            <x v="1"/>
          </reference>
        </references>
      </pivotArea>
    </format>
    <format dxfId="6680">
      <pivotArea field="0" dataOnly="0" labelOnly="1" grandRow="1" outline="0" axis="axisRow" fieldPosition="0">
        <references count="1">
          <reference field="4294967294" count="1" selected="0">
            <x v="2"/>
          </reference>
        </references>
      </pivotArea>
    </format>
    <format dxfId="6679">
      <pivotArea field="0" dataOnly="0" labelOnly="1" grandRow="1" outline="0" axis="axisRow" fieldPosition="0">
        <references count="1">
          <reference field="4294967294" count="1" selected="0">
            <x v="3"/>
          </reference>
        </references>
      </pivotArea>
    </format>
    <format dxfId="6678">
      <pivotArea field="0" dataOnly="0" labelOnly="1" grandRow="1" outline="0" axis="axisRow" fieldPosition="0">
        <references count="1">
          <reference field="4294967294" count="1" selected="0">
            <x v="4"/>
          </reference>
        </references>
      </pivotArea>
    </format>
    <format dxfId="6677">
      <pivotArea field="0" dataOnly="0" labelOnly="1" grandRow="1" outline="0" axis="axisRow" fieldPosition="0">
        <references count="1">
          <reference field="4294967294" count="1" selected="0">
            <x v="5"/>
          </reference>
        </references>
      </pivotArea>
    </format>
    <format dxfId="6676">
      <pivotArea field="0" dataOnly="0" labelOnly="1" grandRow="1" outline="0" axis="axisRow" fieldPosition="0">
        <references count="1">
          <reference field="4294967294" count="1" selected="0">
            <x v="6"/>
          </reference>
        </references>
      </pivotArea>
    </format>
    <format dxfId="6675">
      <pivotArea field="0" dataOnly="0" labelOnly="1" grandRow="1" outline="0" axis="axisRow" fieldPosition="0">
        <references count="1">
          <reference field="4294967294" count="1" selected="0">
            <x v="7"/>
          </reference>
        </references>
      </pivotArea>
    </format>
    <format dxfId="6674">
      <pivotArea field="0" dataOnly="0" labelOnly="1" grandRow="1" outline="0" axis="axisRow" fieldPosition="0">
        <references count="1">
          <reference field="4294967294" count="1" selected="0">
            <x v="8"/>
          </reference>
        </references>
      </pivotArea>
    </format>
    <format dxfId="6673">
      <pivotArea field="0" dataOnly="0" labelOnly="1" grandRow="1" outline="0" axis="axisRow" fieldPosition="0">
        <references count="1">
          <reference field="4294967294" count="1" selected="0">
            <x v="9"/>
          </reference>
        </references>
      </pivotArea>
    </format>
    <format dxfId="6672">
      <pivotArea field="0" dataOnly="0" labelOnly="1" grandRow="1" outline="0" axis="axisRow" fieldPosition="0">
        <references count="1">
          <reference field="4294967294" count="1" selected="0">
            <x v="10"/>
          </reference>
        </references>
      </pivotArea>
    </format>
    <format dxfId="6671">
      <pivotArea field="0" dataOnly="0" labelOnly="1" grandRow="1" outline="0" axis="axisRow" fieldPosition="0">
        <references count="1">
          <reference field="4294967294" count="1" selected="0">
            <x v="11"/>
          </reference>
        </references>
      </pivotArea>
    </format>
    <format dxfId="6670">
      <pivotArea field="0" dataOnly="0" labelOnly="1" grandRow="1" outline="0" axis="axisRow" fieldPosition="0">
        <references count="1">
          <reference field="4294967294" count="1" selected="0">
            <x v="12"/>
          </reference>
        </references>
      </pivotArea>
    </format>
    <format dxfId="6669">
      <pivotArea field="0" dataOnly="0" labelOnly="1" grandRow="1" outline="0" axis="axisRow" fieldPosition="0">
        <references count="1">
          <reference field="4294967294" count="1" selected="0">
            <x v="13"/>
          </reference>
        </references>
      </pivotArea>
    </format>
    <format dxfId="6668">
      <pivotArea field="0" dataOnly="0" labelOnly="1" grandRow="1" outline="0" axis="axisRow" fieldPosition="0">
        <references count="1">
          <reference field="4294967294" count="1" selected="0">
            <x v="14"/>
          </reference>
        </references>
      </pivotArea>
    </format>
    <format dxfId="6667">
      <pivotArea field="0" dataOnly="0" labelOnly="1" grandRow="1" outline="0" axis="axisRow" fieldPosition="0">
        <references count="1">
          <reference field="4294967294" count="1" selected="0">
            <x v="15"/>
          </reference>
        </references>
      </pivotArea>
    </format>
    <format dxfId="6666">
      <pivotArea field="0" dataOnly="0" labelOnly="1" grandRow="1" outline="0" axis="axisRow" fieldPosition="0">
        <references count="1">
          <reference field="4294967294" count="1" selected="0">
            <x v="16"/>
          </reference>
        </references>
      </pivotArea>
    </format>
    <format dxfId="6665">
      <pivotArea field="0" dataOnly="0" labelOnly="1" grandRow="1" outline="0" axis="axisRow" fieldPosition="0">
        <references count="1">
          <reference field="4294967294" count="1" selected="0">
            <x v="17"/>
          </reference>
        </references>
      </pivotArea>
    </format>
    <format dxfId="6664">
      <pivotArea field="0" dataOnly="0" labelOnly="1" grandRow="1" outline="0" axis="axisRow" fieldPosition="0">
        <references count="1">
          <reference field="4294967294" count="1" selected="0">
            <x v="18"/>
          </reference>
        </references>
      </pivotArea>
    </format>
    <format dxfId="6663">
      <pivotArea field="0" dataOnly="0" labelOnly="1" grandRow="1" outline="0" axis="axisRow" fieldPosition="0">
        <references count="1">
          <reference field="4294967294" count="1" selected="0">
            <x v="19"/>
          </reference>
        </references>
      </pivotArea>
    </format>
    <format dxfId="6662">
      <pivotArea field="0" dataOnly="0" labelOnly="1" grandRow="1" outline="0" axis="axisRow" fieldPosition="0">
        <references count="1">
          <reference field="4294967294" count="1" selected="0">
            <x v="20"/>
          </reference>
        </references>
      </pivotArea>
    </format>
    <format dxfId="6661">
      <pivotArea field="0" dataOnly="0" labelOnly="1" grandRow="1" outline="0" axis="axisRow" fieldPosition="0">
        <references count="1">
          <reference field="4294967294" count="1" selected="0">
            <x v="21"/>
          </reference>
        </references>
      </pivotArea>
    </format>
    <format dxfId="6660">
      <pivotArea field="0" dataOnly="0" labelOnly="1" grandRow="1" outline="0" axis="axisRow" fieldPosition="0">
        <references count="1">
          <reference field="4294967294" count="1" selected="0">
            <x v="22"/>
          </reference>
        </references>
      </pivotArea>
    </format>
    <format dxfId="6659">
      <pivotArea field="0" dataOnly="0" labelOnly="1" grandRow="1" outline="0" axis="axisRow" fieldPosition="0">
        <references count="1">
          <reference field="4294967294" count="1" selected="0">
            <x v="23"/>
          </reference>
        </references>
      </pivotArea>
    </format>
    <format dxfId="6658">
      <pivotArea field="0" dataOnly="0" labelOnly="1" grandRow="1" outline="0" axis="axisRow" fieldPosition="0">
        <references count="1">
          <reference field="4294967294" count="1" selected="0">
            <x v="24"/>
          </reference>
        </references>
      </pivotArea>
    </format>
    <format dxfId="6657">
      <pivotArea field="0" dataOnly="0" labelOnly="1" grandRow="1" outline="0" axis="axisRow" fieldPosition="0">
        <references count="1">
          <reference field="4294967294" count="1" selected="0">
            <x v="25"/>
          </reference>
        </references>
      </pivotArea>
    </format>
    <format dxfId="6656">
      <pivotArea field="0" dataOnly="0" labelOnly="1" grandRow="1" outline="0" axis="axisRow" fieldPosition="0">
        <references count="1">
          <reference field="4294967294" count="1" selected="0">
            <x v="26"/>
          </reference>
        </references>
      </pivotArea>
    </format>
    <format dxfId="6655">
      <pivotArea field="0" dataOnly="0" labelOnly="1" grandRow="1" outline="0" axis="axisRow" fieldPosition="0">
        <references count="1">
          <reference field="4294967294" count="1" selected="0">
            <x v="27"/>
          </reference>
        </references>
      </pivotArea>
    </format>
    <format dxfId="6654">
      <pivotArea field="0" dataOnly="0" labelOnly="1" grandRow="1" outline="0" axis="axisRow" fieldPosition="0">
        <references count="1">
          <reference field="4294967294" count="1" selected="0">
            <x v="28"/>
          </reference>
        </references>
      </pivotArea>
    </format>
    <format dxfId="6653">
      <pivotArea field="0" dataOnly="0" labelOnly="1" grandRow="1" outline="0" axis="axisRow" fieldPosition="0">
        <references count="1">
          <reference field="4294967294" count="1" selected="0">
            <x v="29"/>
          </reference>
        </references>
      </pivotArea>
    </format>
    <format dxfId="6652">
      <pivotArea field="0" dataOnly="0" labelOnly="1" grandRow="1" outline="0" axis="axisRow" fieldPosition="0">
        <references count="1">
          <reference field="4294967294" count="1" selected="0">
            <x v="30"/>
          </reference>
        </references>
      </pivotArea>
    </format>
    <format dxfId="6651">
      <pivotArea field="0" dataOnly="0" labelOnly="1" grandRow="1" outline="0" axis="axisRow" fieldPosition="0">
        <references count="1">
          <reference field="4294967294" count="1" selected="0">
            <x v="31"/>
          </reference>
        </references>
      </pivotArea>
    </format>
    <format dxfId="6650">
      <pivotArea field="0" dataOnly="0" labelOnly="1" grandRow="1" outline="0" axis="axisRow" fieldPosition="0">
        <references count="1">
          <reference field="4294967294" count="1" selected="0">
            <x v="32"/>
          </reference>
        </references>
      </pivotArea>
    </format>
    <format dxfId="6649">
      <pivotArea field="0" dataOnly="0" labelOnly="1" grandRow="1" outline="0" axis="axisRow" fieldPosition="0">
        <references count="1">
          <reference field="4294967294" count="1" selected="0">
            <x v="33"/>
          </reference>
        </references>
      </pivotArea>
    </format>
    <format dxfId="6648">
      <pivotArea field="0" dataOnly="0" labelOnly="1" grandRow="1" outline="0" axis="axisRow" fieldPosition="0">
        <references count="1">
          <reference field="4294967294" count="1" selected="0">
            <x v="34"/>
          </reference>
        </references>
      </pivotArea>
    </format>
    <format dxfId="6647">
      <pivotArea field="0" dataOnly="0" labelOnly="1" grandRow="1" outline="0" axis="axisRow" fieldPosition="0">
        <references count="1">
          <reference field="4294967294" count="1" selected="0">
            <x v="35"/>
          </reference>
        </references>
      </pivotArea>
    </format>
    <format dxfId="6646">
      <pivotArea field="0" dataOnly="0" labelOnly="1" grandRow="1" outline="0" axis="axisRow" fieldPosition="0">
        <references count="1">
          <reference field="4294967294" count="1" selected="0">
            <x v="0"/>
          </reference>
        </references>
      </pivotArea>
    </format>
    <format dxfId="6645">
      <pivotArea field="0" dataOnly="0" labelOnly="1" grandRow="1" outline="0" axis="axisRow" fieldPosition="0">
        <references count="1">
          <reference field="4294967294" count="1" selected="0">
            <x v="1"/>
          </reference>
        </references>
      </pivotArea>
    </format>
    <format dxfId="6644">
      <pivotArea field="0" dataOnly="0" labelOnly="1" grandRow="1" outline="0" axis="axisRow" fieldPosition="0">
        <references count="1">
          <reference field="4294967294" count="1" selected="0">
            <x v="2"/>
          </reference>
        </references>
      </pivotArea>
    </format>
    <format dxfId="6643">
      <pivotArea field="0" dataOnly="0" labelOnly="1" grandRow="1" outline="0" axis="axisRow" fieldPosition="0">
        <references count="1">
          <reference field="4294967294" count="1" selected="0">
            <x v="3"/>
          </reference>
        </references>
      </pivotArea>
    </format>
    <format dxfId="6642">
      <pivotArea field="0" dataOnly="0" labelOnly="1" grandRow="1" outline="0" axis="axisRow" fieldPosition="0">
        <references count="1">
          <reference field="4294967294" count="1" selected="0">
            <x v="4"/>
          </reference>
        </references>
      </pivotArea>
    </format>
    <format dxfId="6641">
      <pivotArea field="0" dataOnly="0" labelOnly="1" grandRow="1" outline="0" axis="axisRow" fieldPosition="0">
        <references count="1">
          <reference field="4294967294" count="1" selected="0">
            <x v="5"/>
          </reference>
        </references>
      </pivotArea>
    </format>
    <format dxfId="6640">
      <pivotArea field="0" dataOnly="0" labelOnly="1" grandRow="1" outline="0" axis="axisRow" fieldPosition="0">
        <references count="1">
          <reference field="4294967294" count="1" selected="0">
            <x v="6"/>
          </reference>
        </references>
      </pivotArea>
    </format>
    <format dxfId="6639">
      <pivotArea field="0" dataOnly="0" labelOnly="1" grandRow="1" outline="0" axis="axisRow" fieldPosition="0">
        <references count="1">
          <reference field="4294967294" count="1" selected="0">
            <x v="7"/>
          </reference>
        </references>
      </pivotArea>
    </format>
    <format dxfId="6638">
      <pivotArea field="0" dataOnly="0" labelOnly="1" grandRow="1" outline="0" axis="axisRow" fieldPosition="0">
        <references count="1">
          <reference field="4294967294" count="1" selected="0">
            <x v="8"/>
          </reference>
        </references>
      </pivotArea>
    </format>
    <format dxfId="6637">
      <pivotArea field="0" dataOnly="0" labelOnly="1" grandRow="1" outline="0" axis="axisRow" fieldPosition="0">
        <references count="1">
          <reference field="4294967294" count="1" selected="0">
            <x v="9"/>
          </reference>
        </references>
      </pivotArea>
    </format>
    <format dxfId="6636">
      <pivotArea field="0" dataOnly="0" labelOnly="1" grandRow="1" outline="0" axis="axisRow" fieldPosition="0">
        <references count="1">
          <reference field="4294967294" count="1" selected="0">
            <x v="10"/>
          </reference>
        </references>
      </pivotArea>
    </format>
    <format dxfId="6635">
      <pivotArea field="0" dataOnly="0" labelOnly="1" grandRow="1" outline="0" axis="axisRow" fieldPosition="0">
        <references count="1">
          <reference field="4294967294" count="1" selected="0">
            <x v="11"/>
          </reference>
        </references>
      </pivotArea>
    </format>
    <format dxfId="6634">
      <pivotArea field="0" dataOnly="0" labelOnly="1" grandRow="1" outline="0" axis="axisRow" fieldPosition="0">
        <references count="1">
          <reference field="4294967294" count="1" selected="0">
            <x v="12"/>
          </reference>
        </references>
      </pivotArea>
    </format>
    <format dxfId="6633">
      <pivotArea field="0" dataOnly="0" labelOnly="1" grandRow="1" outline="0" axis="axisRow" fieldPosition="0">
        <references count="1">
          <reference field="4294967294" count="1" selected="0">
            <x v="13"/>
          </reference>
        </references>
      </pivotArea>
    </format>
    <format dxfId="6632">
      <pivotArea field="0" dataOnly="0" labelOnly="1" grandRow="1" outline="0" axis="axisRow" fieldPosition="0">
        <references count="1">
          <reference field="4294967294" count="1" selected="0">
            <x v="14"/>
          </reference>
        </references>
      </pivotArea>
    </format>
    <format dxfId="6631">
      <pivotArea field="0" dataOnly="0" labelOnly="1" grandRow="1" outline="0" axis="axisRow" fieldPosition="0">
        <references count="1">
          <reference field="4294967294" count="1" selected="0">
            <x v="15"/>
          </reference>
        </references>
      </pivotArea>
    </format>
    <format dxfId="6630">
      <pivotArea field="0" dataOnly="0" labelOnly="1" grandRow="1" outline="0" axis="axisRow" fieldPosition="0">
        <references count="1">
          <reference field="4294967294" count="1" selected="0">
            <x v="16"/>
          </reference>
        </references>
      </pivotArea>
    </format>
    <format dxfId="6629">
      <pivotArea field="0" dataOnly="0" labelOnly="1" grandRow="1" outline="0" axis="axisRow" fieldPosition="0">
        <references count="1">
          <reference field="4294967294" count="1" selected="0">
            <x v="17"/>
          </reference>
        </references>
      </pivotArea>
    </format>
    <format dxfId="6628">
      <pivotArea field="0" dataOnly="0" labelOnly="1" grandRow="1" outline="0" axis="axisRow" fieldPosition="0">
        <references count="1">
          <reference field="4294967294" count="1" selected="0">
            <x v="18"/>
          </reference>
        </references>
      </pivotArea>
    </format>
    <format dxfId="6627">
      <pivotArea field="0" dataOnly="0" labelOnly="1" grandRow="1" outline="0" axis="axisRow" fieldPosition="0">
        <references count="1">
          <reference field="4294967294" count="1" selected="0">
            <x v="19"/>
          </reference>
        </references>
      </pivotArea>
    </format>
    <format dxfId="6626">
      <pivotArea field="0" dataOnly="0" labelOnly="1" grandRow="1" outline="0" axis="axisRow" fieldPosition="0">
        <references count="1">
          <reference field="4294967294" count="1" selected="0">
            <x v="20"/>
          </reference>
        </references>
      </pivotArea>
    </format>
    <format dxfId="6625">
      <pivotArea field="0" dataOnly="0" labelOnly="1" grandRow="1" outline="0" axis="axisRow" fieldPosition="0">
        <references count="1">
          <reference field="4294967294" count="1" selected="0">
            <x v="21"/>
          </reference>
        </references>
      </pivotArea>
    </format>
    <format dxfId="6624">
      <pivotArea field="0" dataOnly="0" labelOnly="1" grandRow="1" outline="0" axis="axisRow" fieldPosition="0">
        <references count="1">
          <reference field="4294967294" count="1" selected="0">
            <x v="22"/>
          </reference>
        </references>
      </pivotArea>
    </format>
    <format dxfId="6623">
      <pivotArea field="0" dataOnly="0" labelOnly="1" grandRow="1" outline="0" axis="axisRow" fieldPosition="0">
        <references count="1">
          <reference field="4294967294" count="1" selected="0">
            <x v="23"/>
          </reference>
        </references>
      </pivotArea>
    </format>
    <format dxfId="6622">
      <pivotArea field="0" dataOnly="0" labelOnly="1" grandRow="1" outline="0" axis="axisRow" fieldPosition="0">
        <references count="1">
          <reference field="4294967294" count="1" selected="0">
            <x v="24"/>
          </reference>
        </references>
      </pivotArea>
    </format>
    <format dxfId="6621">
      <pivotArea field="0" dataOnly="0" labelOnly="1" grandRow="1" outline="0" axis="axisRow" fieldPosition="0">
        <references count="1">
          <reference field="4294967294" count="1" selected="0">
            <x v="25"/>
          </reference>
        </references>
      </pivotArea>
    </format>
    <format dxfId="6620">
      <pivotArea field="0" dataOnly="0" labelOnly="1" grandRow="1" outline="0" axis="axisRow" fieldPosition="0">
        <references count="1">
          <reference field="4294967294" count="1" selected="0">
            <x v="26"/>
          </reference>
        </references>
      </pivotArea>
    </format>
    <format dxfId="6619">
      <pivotArea field="0" dataOnly="0" labelOnly="1" grandRow="1" outline="0" axis="axisRow" fieldPosition="0">
        <references count="1">
          <reference field="4294967294" count="1" selected="0">
            <x v="27"/>
          </reference>
        </references>
      </pivotArea>
    </format>
    <format dxfId="6618">
      <pivotArea field="0" dataOnly="0" labelOnly="1" grandRow="1" outline="0" axis="axisRow" fieldPosition="0">
        <references count="1">
          <reference field="4294967294" count="1" selected="0">
            <x v="28"/>
          </reference>
        </references>
      </pivotArea>
    </format>
    <format dxfId="6617">
      <pivotArea field="0" dataOnly="0" labelOnly="1" grandRow="1" outline="0" axis="axisRow" fieldPosition="0">
        <references count="1">
          <reference field="4294967294" count="1" selected="0">
            <x v="29"/>
          </reference>
        </references>
      </pivotArea>
    </format>
    <format dxfId="6616">
      <pivotArea field="0" dataOnly="0" labelOnly="1" grandRow="1" outline="0" axis="axisRow" fieldPosition="0">
        <references count="1">
          <reference field="4294967294" count="1" selected="0">
            <x v="30"/>
          </reference>
        </references>
      </pivotArea>
    </format>
    <format dxfId="6615">
      <pivotArea field="0" dataOnly="0" labelOnly="1" grandRow="1" outline="0" axis="axisRow" fieldPosition="0">
        <references count="1">
          <reference field="4294967294" count="1" selected="0">
            <x v="31"/>
          </reference>
        </references>
      </pivotArea>
    </format>
    <format dxfId="6614">
      <pivotArea field="0" dataOnly="0" labelOnly="1" grandRow="1" outline="0" axis="axisRow" fieldPosition="0">
        <references count="1">
          <reference field="4294967294" count="1" selected="0">
            <x v="32"/>
          </reference>
        </references>
      </pivotArea>
    </format>
    <format dxfId="6613">
      <pivotArea field="0" dataOnly="0" labelOnly="1" grandRow="1" outline="0" axis="axisRow" fieldPosition="0">
        <references count="1">
          <reference field="4294967294" count="1" selected="0">
            <x v="33"/>
          </reference>
        </references>
      </pivotArea>
    </format>
    <format dxfId="6612">
      <pivotArea field="0" dataOnly="0" labelOnly="1" grandRow="1" outline="0" axis="axisRow" fieldPosition="0">
        <references count="1">
          <reference field="4294967294" count="1" selected="0">
            <x v="34"/>
          </reference>
        </references>
      </pivotArea>
    </format>
    <format dxfId="6611">
      <pivotArea field="0" dataOnly="0" labelOnly="1" grandRow="1" outline="0" axis="axisRow" fieldPosition="0">
        <references count="1">
          <reference field="4294967294" count="1" selected="0">
            <x v="35"/>
          </reference>
        </references>
      </pivotArea>
    </format>
    <format dxfId="6610">
      <pivotArea field="0" dataOnly="0" labelOnly="1" grandRow="1" outline="0" axis="axisRow" fieldPosition="0">
        <references count="1">
          <reference field="4294967294" count="1" selected="0">
            <x v="0"/>
          </reference>
        </references>
      </pivotArea>
    </format>
    <format dxfId="6609">
      <pivotArea field="0" dataOnly="0" labelOnly="1" grandRow="1" outline="0" axis="axisRow" fieldPosition="0">
        <references count="1">
          <reference field="4294967294" count="1" selected="0">
            <x v="1"/>
          </reference>
        </references>
      </pivotArea>
    </format>
    <format dxfId="6608">
      <pivotArea field="0" dataOnly="0" labelOnly="1" grandRow="1" outline="0" axis="axisRow" fieldPosition="0">
        <references count="1">
          <reference field="4294967294" count="1" selected="0">
            <x v="2"/>
          </reference>
        </references>
      </pivotArea>
    </format>
    <format dxfId="6607">
      <pivotArea field="0" dataOnly="0" labelOnly="1" grandRow="1" outline="0" axis="axisRow" fieldPosition="0">
        <references count="1">
          <reference field="4294967294" count="1" selected="0">
            <x v="3"/>
          </reference>
        </references>
      </pivotArea>
    </format>
    <format dxfId="6606">
      <pivotArea field="0" dataOnly="0" labelOnly="1" grandRow="1" outline="0" axis="axisRow" fieldPosition="0">
        <references count="1">
          <reference field="4294967294" count="1" selected="0">
            <x v="4"/>
          </reference>
        </references>
      </pivotArea>
    </format>
    <format dxfId="6605">
      <pivotArea field="0" dataOnly="0" labelOnly="1" grandRow="1" outline="0" axis="axisRow" fieldPosition="0">
        <references count="1">
          <reference field="4294967294" count="1" selected="0">
            <x v="5"/>
          </reference>
        </references>
      </pivotArea>
    </format>
    <format dxfId="6604">
      <pivotArea field="0" dataOnly="0" labelOnly="1" grandRow="1" outline="0" axis="axisRow" fieldPosition="0">
        <references count="1">
          <reference field="4294967294" count="1" selected="0">
            <x v="6"/>
          </reference>
        </references>
      </pivotArea>
    </format>
    <format dxfId="6603">
      <pivotArea field="0" dataOnly="0" labelOnly="1" grandRow="1" outline="0" axis="axisRow" fieldPosition="0">
        <references count="1">
          <reference field="4294967294" count="1" selected="0">
            <x v="7"/>
          </reference>
        </references>
      </pivotArea>
    </format>
    <format dxfId="6602">
      <pivotArea field="0" dataOnly="0" labelOnly="1" grandRow="1" outline="0" axis="axisRow" fieldPosition="0">
        <references count="1">
          <reference field="4294967294" count="1" selected="0">
            <x v="8"/>
          </reference>
        </references>
      </pivotArea>
    </format>
    <format dxfId="6601">
      <pivotArea field="0" dataOnly="0" labelOnly="1" grandRow="1" outline="0" axis="axisRow" fieldPosition="0">
        <references count="1">
          <reference field="4294967294" count="1" selected="0">
            <x v="9"/>
          </reference>
        </references>
      </pivotArea>
    </format>
    <format dxfId="6600">
      <pivotArea field="0" dataOnly="0" labelOnly="1" grandRow="1" outline="0" axis="axisRow" fieldPosition="0">
        <references count="1">
          <reference field="4294967294" count="1" selected="0">
            <x v="10"/>
          </reference>
        </references>
      </pivotArea>
    </format>
    <format dxfId="6599">
      <pivotArea field="0" dataOnly="0" labelOnly="1" grandRow="1" outline="0" axis="axisRow" fieldPosition="0">
        <references count="1">
          <reference field="4294967294" count="1" selected="0">
            <x v="11"/>
          </reference>
        </references>
      </pivotArea>
    </format>
    <format dxfId="6598">
      <pivotArea field="0" dataOnly="0" labelOnly="1" grandRow="1" outline="0" axis="axisRow" fieldPosition="0">
        <references count="1">
          <reference field="4294967294" count="1" selected="0">
            <x v="12"/>
          </reference>
        </references>
      </pivotArea>
    </format>
    <format dxfId="6597">
      <pivotArea field="0" dataOnly="0" labelOnly="1" grandRow="1" outline="0" axis="axisRow" fieldPosition="0">
        <references count="1">
          <reference field="4294967294" count="1" selected="0">
            <x v="13"/>
          </reference>
        </references>
      </pivotArea>
    </format>
    <format dxfId="6596">
      <pivotArea field="0" dataOnly="0" labelOnly="1" grandRow="1" outline="0" axis="axisRow" fieldPosition="0">
        <references count="1">
          <reference field="4294967294" count="1" selected="0">
            <x v="14"/>
          </reference>
        </references>
      </pivotArea>
    </format>
    <format dxfId="6595">
      <pivotArea field="0" dataOnly="0" labelOnly="1" grandRow="1" outline="0" axis="axisRow" fieldPosition="0">
        <references count="1">
          <reference field="4294967294" count="1" selected="0">
            <x v="15"/>
          </reference>
        </references>
      </pivotArea>
    </format>
    <format dxfId="6594">
      <pivotArea field="0" dataOnly="0" labelOnly="1" grandRow="1" outline="0" axis="axisRow" fieldPosition="0">
        <references count="1">
          <reference field="4294967294" count="1" selected="0">
            <x v="16"/>
          </reference>
        </references>
      </pivotArea>
    </format>
    <format dxfId="6593">
      <pivotArea field="0" dataOnly="0" labelOnly="1" grandRow="1" outline="0" axis="axisRow" fieldPosition="0">
        <references count="1">
          <reference field="4294967294" count="1" selected="0">
            <x v="17"/>
          </reference>
        </references>
      </pivotArea>
    </format>
    <format dxfId="6592">
      <pivotArea field="0" dataOnly="0" labelOnly="1" grandRow="1" outline="0" axis="axisRow" fieldPosition="0">
        <references count="1">
          <reference field="4294967294" count="1" selected="0">
            <x v="18"/>
          </reference>
        </references>
      </pivotArea>
    </format>
    <format dxfId="6591">
      <pivotArea field="0" dataOnly="0" labelOnly="1" grandRow="1" outline="0" axis="axisRow" fieldPosition="0">
        <references count="1">
          <reference field="4294967294" count="1" selected="0">
            <x v="19"/>
          </reference>
        </references>
      </pivotArea>
    </format>
    <format dxfId="6590">
      <pivotArea field="0" dataOnly="0" labelOnly="1" grandRow="1" outline="0" axis="axisRow" fieldPosition="0">
        <references count="1">
          <reference field="4294967294" count="1" selected="0">
            <x v="20"/>
          </reference>
        </references>
      </pivotArea>
    </format>
    <format dxfId="6589">
      <pivotArea field="0" dataOnly="0" labelOnly="1" grandRow="1" outline="0" axis="axisRow" fieldPosition="0">
        <references count="1">
          <reference field="4294967294" count="1" selected="0">
            <x v="21"/>
          </reference>
        </references>
      </pivotArea>
    </format>
    <format dxfId="6588">
      <pivotArea field="0" dataOnly="0" labelOnly="1" grandRow="1" outline="0" axis="axisRow" fieldPosition="0">
        <references count="1">
          <reference field="4294967294" count="1" selected="0">
            <x v="22"/>
          </reference>
        </references>
      </pivotArea>
    </format>
    <format dxfId="6587">
      <pivotArea field="0" dataOnly="0" labelOnly="1" grandRow="1" outline="0" axis="axisRow" fieldPosition="0">
        <references count="1">
          <reference field="4294967294" count="1" selected="0">
            <x v="23"/>
          </reference>
        </references>
      </pivotArea>
    </format>
    <format dxfId="6586">
      <pivotArea field="0" dataOnly="0" labelOnly="1" grandRow="1" outline="0" axis="axisRow" fieldPosition="0">
        <references count="1">
          <reference field="4294967294" count="1" selected="0">
            <x v="24"/>
          </reference>
        </references>
      </pivotArea>
    </format>
    <format dxfId="6585">
      <pivotArea field="0" dataOnly="0" labelOnly="1" grandRow="1" outline="0" axis="axisRow" fieldPosition="0">
        <references count="1">
          <reference field="4294967294" count="1" selected="0">
            <x v="25"/>
          </reference>
        </references>
      </pivotArea>
    </format>
    <format dxfId="6584">
      <pivotArea field="0" dataOnly="0" labelOnly="1" grandRow="1" outline="0" axis="axisRow" fieldPosition="0">
        <references count="1">
          <reference field="4294967294" count="1" selected="0">
            <x v="26"/>
          </reference>
        </references>
      </pivotArea>
    </format>
    <format dxfId="6583">
      <pivotArea field="0" dataOnly="0" labelOnly="1" grandRow="1" outline="0" axis="axisRow" fieldPosition="0">
        <references count="1">
          <reference field="4294967294" count="1" selected="0">
            <x v="27"/>
          </reference>
        </references>
      </pivotArea>
    </format>
    <format dxfId="6582">
      <pivotArea field="0" dataOnly="0" labelOnly="1" grandRow="1" outline="0" axis="axisRow" fieldPosition="0">
        <references count="1">
          <reference field="4294967294" count="1" selected="0">
            <x v="28"/>
          </reference>
        </references>
      </pivotArea>
    </format>
    <format dxfId="6581">
      <pivotArea field="0" dataOnly="0" labelOnly="1" grandRow="1" outline="0" axis="axisRow" fieldPosition="0">
        <references count="1">
          <reference field="4294967294" count="1" selected="0">
            <x v="29"/>
          </reference>
        </references>
      </pivotArea>
    </format>
    <format dxfId="6580">
      <pivotArea field="0" dataOnly="0" labelOnly="1" grandRow="1" outline="0" axis="axisRow" fieldPosition="0">
        <references count="1">
          <reference field="4294967294" count="1" selected="0">
            <x v="30"/>
          </reference>
        </references>
      </pivotArea>
    </format>
    <format dxfId="6579">
      <pivotArea field="0" dataOnly="0" labelOnly="1" grandRow="1" outline="0" axis="axisRow" fieldPosition="0">
        <references count="1">
          <reference field="4294967294" count="1" selected="0">
            <x v="31"/>
          </reference>
        </references>
      </pivotArea>
    </format>
    <format dxfId="6578">
      <pivotArea field="0" dataOnly="0" labelOnly="1" grandRow="1" outline="0" axis="axisRow" fieldPosition="0">
        <references count="1">
          <reference field="4294967294" count="1" selected="0">
            <x v="32"/>
          </reference>
        </references>
      </pivotArea>
    </format>
    <format dxfId="6577">
      <pivotArea field="0" dataOnly="0" labelOnly="1" grandRow="1" outline="0" axis="axisRow" fieldPosition="0">
        <references count="1">
          <reference field="4294967294" count="1" selected="0">
            <x v="33"/>
          </reference>
        </references>
      </pivotArea>
    </format>
    <format dxfId="6576">
      <pivotArea field="0" dataOnly="0" labelOnly="1" grandRow="1" outline="0" axis="axisRow" fieldPosition="0">
        <references count="1">
          <reference field="4294967294" count="1" selected="0">
            <x v="34"/>
          </reference>
        </references>
      </pivotArea>
    </format>
    <format dxfId="6575">
      <pivotArea field="0" dataOnly="0" labelOnly="1" grandRow="1" outline="0" axis="axisRow" fieldPosition="0">
        <references count="1">
          <reference field="4294967294" count="1" selected="0">
            <x v="35"/>
          </reference>
        </references>
      </pivotArea>
    </format>
    <format dxfId="6574">
      <pivotArea field="0" dataOnly="0" labelOnly="1" grandRow="1" outline="0" axis="axisRow" fieldPosition="0">
        <references count="1">
          <reference field="4294967294" count="1" selected="0">
            <x v="0"/>
          </reference>
        </references>
      </pivotArea>
    </format>
    <format dxfId="6573">
      <pivotArea field="0" dataOnly="0" labelOnly="1" grandRow="1" outline="0" axis="axisRow" fieldPosition="0">
        <references count="1">
          <reference field="4294967294" count="1" selected="0">
            <x v="1"/>
          </reference>
        </references>
      </pivotArea>
    </format>
    <format dxfId="6572">
      <pivotArea field="0" dataOnly="0" labelOnly="1" grandRow="1" outline="0" axis="axisRow" fieldPosition="0">
        <references count="1">
          <reference field="4294967294" count="1" selected="0">
            <x v="2"/>
          </reference>
        </references>
      </pivotArea>
    </format>
    <format dxfId="6571">
      <pivotArea field="0" dataOnly="0" labelOnly="1" grandRow="1" outline="0" axis="axisRow" fieldPosition="0">
        <references count="1">
          <reference field="4294967294" count="1" selected="0">
            <x v="3"/>
          </reference>
        </references>
      </pivotArea>
    </format>
    <format dxfId="6570">
      <pivotArea field="0" dataOnly="0" labelOnly="1" grandRow="1" outline="0" axis="axisRow" fieldPosition="0">
        <references count="1">
          <reference field="4294967294" count="1" selected="0">
            <x v="4"/>
          </reference>
        </references>
      </pivotArea>
    </format>
    <format dxfId="6569">
      <pivotArea field="0" dataOnly="0" labelOnly="1" grandRow="1" outline="0" axis="axisRow" fieldPosition="0">
        <references count="1">
          <reference field="4294967294" count="1" selected="0">
            <x v="5"/>
          </reference>
        </references>
      </pivotArea>
    </format>
    <format dxfId="6568">
      <pivotArea field="0" dataOnly="0" labelOnly="1" grandRow="1" outline="0" axis="axisRow" fieldPosition="0">
        <references count="1">
          <reference field="4294967294" count="1" selected="0">
            <x v="6"/>
          </reference>
        </references>
      </pivotArea>
    </format>
    <format dxfId="6567">
      <pivotArea field="0" dataOnly="0" labelOnly="1" grandRow="1" outline="0" axis="axisRow" fieldPosition="0">
        <references count="1">
          <reference field="4294967294" count="1" selected="0">
            <x v="7"/>
          </reference>
        </references>
      </pivotArea>
    </format>
    <format dxfId="6566">
      <pivotArea field="0" dataOnly="0" labelOnly="1" grandRow="1" outline="0" axis="axisRow" fieldPosition="0">
        <references count="1">
          <reference field="4294967294" count="1" selected="0">
            <x v="8"/>
          </reference>
        </references>
      </pivotArea>
    </format>
    <format dxfId="6565">
      <pivotArea field="0" dataOnly="0" labelOnly="1" grandRow="1" outline="0" axis="axisRow" fieldPosition="0">
        <references count="1">
          <reference field="4294967294" count="1" selected="0">
            <x v="9"/>
          </reference>
        </references>
      </pivotArea>
    </format>
    <format dxfId="6564">
      <pivotArea field="0" dataOnly="0" labelOnly="1" grandRow="1" outline="0" axis="axisRow" fieldPosition="0">
        <references count="1">
          <reference field="4294967294" count="1" selected="0">
            <x v="10"/>
          </reference>
        </references>
      </pivotArea>
    </format>
    <format dxfId="6563">
      <pivotArea field="0" dataOnly="0" labelOnly="1" grandRow="1" outline="0" axis="axisRow" fieldPosition="0">
        <references count="1">
          <reference field="4294967294" count="1" selected="0">
            <x v="11"/>
          </reference>
        </references>
      </pivotArea>
    </format>
    <format dxfId="6562">
      <pivotArea field="0" dataOnly="0" labelOnly="1" grandRow="1" outline="0" axis="axisRow" fieldPosition="0">
        <references count="1">
          <reference field="4294967294" count="1" selected="0">
            <x v="12"/>
          </reference>
        </references>
      </pivotArea>
    </format>
    <format dxfId="6561">
      <pivotArea field="0" dataOnly="0" labelOnly="1" grandRow="1" outline="0" axis="axisRow" fieldPosition="0">
        <references count="1">
          <reference field="4294967294" count="1" selected="0">
            <x v="13"/>
          </reference>
        </references>
      </pivotArea>
    </format>
    <format dxfId="6560">
      <pivotArea field="0" dataOnly="0" labelOnly="1" grandRow="1" outline="0" axis="axisRow" fieldPosition="0">
        <references count="1">
          <reference field="4294967294" count="1" selected="0">
            <x v="14"/>
          </reference>
        </references>
      </pivotArea>
    </format>
    <format dxfId="6559">
      <pivotArea field="0" dataOnly="0" labelOnly="1" grandRow="1" outline="0" axis="axisRow" fieldPosition="0">
        <references count="1">
          <reference field="4294967294" count="1" selected="0">
            <x v="15"/>
          </reference>
        </references>
      </pivotArea>
    </format>
    <format dxfId="6558">
      <pivotArea field="0" dataOnly="0" labelOnly="1" grandRow="1" outline="0" axis="axisRow" fieldPosition="0">
        <references count="1">
          <reference field="4294967294" count="1" selected="0">
            <x v="16"/>
          </reference>
        </references>
      </pivotArea>
    </format>
    <format dxfId="6557">
      <pivotArea field="0" dataOnly="0" labelOnly="1" grandRow="1" outline="0" axis="axisRow" fieldPosition="0">
        <references count="1">
          <reference field="4294967294" count="1" selected="0">
            <x v="17"/>
          </reference>
        </references>
      </pivotArea>
    </format>
    <format dxfId="6556">
      <pivotArea field="0" dataOnly="0" labelOnly="1" grandRow="1" outline="0" axis="axisRow" fieldPosition="0">
        <references count="1">
          <reference field="4294967294" count="1" selected="0">
            <x v="18"/>
          </reference>
        </references>
      </pivotArea>
    </format>
    <format dxfId="6555">
      <pivotArea field="0" dataOnly="0" labelOnly="1" grandRow="1" outline="0" axis="axisRow" fieldPosition="0">
        <references count="1">
          <reference field="4294967294" count="1" selected="0">
            <x v="19"/>
          </reference>
        </references>
      </pivotArea>
    </format>
    <format dxfId="6554">
      <pivotArea field="0" dataOnly="0" labelOnly="1" grandRow="1" outline="0" axis="axisRow" fieldPosition="0">
        <references count="1">
          <reference field="4294967294" count="1" selected="0">
            <x v="20"/>
          </reference>
        </references>
      </pivotArea>
    </format>
    <format dxfId="6553">
      <pivotArea field="0" dataOnly="0" labelOnly="1" grandRow="1" outline="0" axis="axisRow" fieldPosition="0">
        <references count="1">
          <reference field="4294967294" count="1" selected="0">
            <x v="21"/>
          </reference>
        </references>
      </pivotArea>
    </format>
    <format dxfId="6552">
      <pivotArea field="0" dataOnly="0" labelOnly="1" grandRow="1" outline="0" axis="axisRow" fieldPosition="0">
        <references count="1">
          <reference field="4294967294" count="1" selected="0">
            <x v="22"/>
          </reference>
        </references>
      </pivotArea>
    </format>
    <format dxfId="6551">
      <pivotArea field="0" dataOnly="0" labelOnly="1" grandRow="1" outline="0" axis="axisRow" fieldPosition="0">
        <references count="1">
          <reference field="4294967294" count="1" selected="0">
            <x v="23"/>
          </reference>
        </references>
      </pivotArea>
    </format>
    <format dxfId="6550">
      <pivotArea field="0" dataOnly="0" labelOnly="1" grandRow="1" outline="0" axis="axisRow" fieldPosition="0">
        <references count="1">
          <reference field="4294967294" count="1" selected="0">
            <x v="24"/>
          </reference>
        </references>
      </pivotArea>
    </format>
    <format dxfId="6549">
      <pivotArea field="0" dataOnly="0" labelOnly="1" grandRow="1" outline="0" axis="axisRow" fieldPosition="0">
        <references count="1">
          <reference field="4294967294" count="1" selected="0">
            <x v="25"/>
          </reference>
        </references>
      </pivotArea>
    </format>
    <format dxfId="6548">
      <pivotArea field="0" dataOnly="0" labelOnly="1" grandRow="1" outline="0" axis="axisRow" fieldPosition="0">
        <references count="1">
          <reference field="4294967294" count="1" selected="0">
            <x v="26"/>
          </reference>
        </references>
      </pivotArea>
    </format>
    <format dxfId="6547">
      <pivotArea field="0" dataOnly="0" labelOnly="1" grandRow="1" outline="0" axis="axisRow" fieldPosition="0">
        <references count="1">
          <reference field="4294967294" count="1" selected="0">
            <x v="27"/>
          </reference>
        </references>
      </pivotArea>
    </format>
    <format dxfId="6546">
      <pivotArea field="0" dataOnly="0" labelOnly="1" grandRow="1" outline="0" axis="axisRow" fieldPosition="0">
        <references count="1">
          <reference field="4294967294" count="1" selected="0">
            <x v="28"/>
          </reference>
        </references>
      </pivotArea>
    </format>
    <format dxfId="6545">
      <pivotArea field="0" dataOnly="0" labelOnly="1" grandRow="1" outline="0" axis="axisRow" fieldPosition="0">
        <references count="1">
          <reference field="4294967294" count="1" selected="0">
            <x v="29"/>
          </reference>
        </references>
      </pivotArea>
    </format>
    <format dxfId="6544">
      <pivotArea field="0" dataOnly="0" labelOnly="1" grandRow="1" outline="0" axis="axisRow" fieldPosition="0">
        <references count="1">
          <reference field="4294967294" count="1" selected="0">
            <x v="30"/>
          </reference>
        </references>
      </pivotArea>
    </format>
    <format dxfId="6543">
      <pivotArea field="0" dataOnly="0" labelOnly="1" grandRow="1" outline="0" axis="axisRow" fieldPosition="0">
        <references count="1">
          <reference field="4294967294" count="1" selected="0">
            <x v="31"/>
          </reference>
        </references>
      </pivotArea>
    </format>
    <format dxfId="6542">
      <pivotArea field="0" dataOnly="0" labelOnly="1" grandRow="1" outline="0" axis="axisRow" fieldPosition="0">
        <references count="1">
          <reference field="4294967294" count="1" selected="0">
            <x v="32"/>
          </reference>
        </references>
      </pivotArea>
    </format>
    <format dxfId="6541">
      <pivotArea field="0" dataOnly="0" labelOnly="1" grandRow="1" outline="0" axis="axisRow" fieldPosition="0">
        <references count="1">
          <reference field="4294967294" count="1" selected="0">
            <x v="33"/>
          </reference>
        </references>
      </pivotArea>
    </format>
    <format dxfId="6540">
      <pivotArea field="0" dataOnly="0" labelOnly="1" grandRow="1" outline="0" axis="axisRow" fieldPosition="0">
        <references count="1">
          <reference field="4294967294" count="1" selected="0">
            <x v="34"/>
          </reference>
        </references>
      </pivotArea>
    </format>
    <format dxfId="6539">
      <pivotArea field="0" dataOnly="0" labelOnly="1" grandRow="1" outline="0" axis="axisRow" fieldPosition="0">
        <references count="1">
          <reference field="4294967294" count="1" selected="0">
            <x v="35"/>
          </reference>
        </references>
      </pivotArea>
    </format>
    <format dxfId="6538">
      <pivotArea field="0" dataOnly="0" labelOnly="1" grandRow="1" outline="0" axis="axisRow" fieldPosition="0">
        <references count="1">
          <reference field="4294967294" count="1" selected="0">
            <x v="0"/>
          </reference>
        </references>
      </pivotArea>
    </format>
    <format dxfId="6537">
      <pivotArea field="0" dataOnly="0" labelOnly="1" grandRow="1" outline="0" axis="axisRow" fieldPosition="0">
        <references count="1">
          <reference field="4294967294" count="1" selected="0">
            <x v="1"/>
          </reference>
        </references>
      </pivotArea>
    </format>
    <format dxfId="6536">
      <pivotArea field="0" dataOnly="0" labelOnly="1" grandRow="1" outline="0" axis="axisRow" fieldPosition="0">
        <references count="1">
          <reference field="4294967294" count="1" selected="0">
            <x v="2"/>
          </reference>
        </references>
      </pivotArea>
    </format>
    <format dxfId="6535">
      <pivotArea field="0" dataOnly="0" labelOnly="1" grandRow="1" outline="0" axis="axisRow" fieldPosition="0">
        <references count="1">
          <reference field="4294967294" count="1" selected="0">
            <x v="3"/>
          </reference>
        </references>
      </pivotArea>
    </format>
    <format dxfId="6534">
      <pivotArea field="0" dataOnly="0" labelOnly="1" grandRow="1" outline="0" axis="axisRow" fieldPosition="0">
        <references count="1">
          <reference field="4294967294" count="1" selected="0">
            <x v="4"/>
          </reference>
        </references>
      </pivotArea>
    </format>
    <format dxfId="6533">
      <pivotArea field="0" dataOnly="0" labelOnly="1" grandRow="1" outline="0" axis="axisRow" fieldPosition="0">
        <references count="1">
          <reference field="4294967294" count="1" selected="0">
            <x v="5"/>
          </reference>
        </references>
      </pivotArea>
    </format>
    <format dxfId="6532">
      <pivotArea field="0" dataOnly="0" labelOnly="1" grandRow="1" outline="0" axis="axisRow" fieldPosition="0">
        <references count="1">
          <reference field="4294967294" count="1" selected="0">
            <x v="6"/>
          </reference>
        </references>
      </pivotArea>
    </format>
    <format dxfId="6531">
      <pivotArea field="0" dataOnly="0" labelOnly="1" grandRow="1" outline="0" axis="axisRow" fieldPosition="0">
        <references count="1">
          <reference field="4294967294" count="1" selected="0">
            <x v="7"/>
          </reference>
        </references>
      </pivotArea>
    </format>
    <format dxfId="6530">
      <pivotArea field="0" dataOnly="0" labelOnly="1" grandRow="1" outline="0" axis="axisRow" fieldPosition="0">
        <references count="1">
          <reference field="4294967294" count="1" selected="0">
            <x v="8"/>
          </reference>
        </references>
      </pivotArea>
    </format>
    <format dxfId="6529">
      <pivotArea field="0" dataOnly="0" labelOnly="1" grandRow="1" outline="0" axis="axisRow" fieldPosition="0">
        <references count="1">
          <reference field="4294967294" count="1" selected="0">
            <x v="9"/>
          </reference>
        </references>
      </pivotArea>
    </format>
    <format dxfId="6528">
      <pivotArea field="0" dataOnly="0" labelOnly="1" grandRow="1" outline="0" axis="axisRow" fieldPosition="0">
        <references count="1">
          <reference field="4294967294" count="1" selected="0">
            <x v="10"/>
          </reference>
        </references>
      </pivotArea>
    </format>
    <format dxfId="6527">
      <pivotArea field="0" dataOnly="0" labelOnly="1" grandRow="1" outline="0" axis="axisRow" fieldPosition="0">
        <references count="1">
          <reference field="4294967294" count="1" selected="0">
            <x v="11"/>
          </reference>
        </references>
      </pivotArea>
    </format>
    <format dxfId="6526">
      <pivotArea field="0" dataOnly="0" labelOnly="1" grandRow="1" outline="0" axis="axisRow" fieldPosition="0">
        <references count="1">
          <reference field="4294967294" count="1" selected="0">
            <x v="12"/>
          </reference>
        </references>
      </pivotArea>
    </format>
    <format dxfId="6525">
      <pivotArea field="0" dataOnly="0" labelOnly="1" grandRow="1" outline="0" axis="axisRow" fieldPosition="0">
        <references count="1">
          <reference field="4294967294" count="1" selected="0">
            <x v="13"/>
          </reference>
        </references>
      </pivotArea>
    </format>
    <format dxfId="6524">
      <pivotArea field="0" dataOnly="0" labelOnly="1" grandRow="1" outline="0" axis="axisRow" fieldPosition="0">
        <references count="1">
          <reference field="4294967294" count="1" selected="0">
            <x v="14"/>
          </reference>
        </references>
      </pivotArea>
    </format>
    <format dxfId="6523">
      <pivotArea field="0" dataOnly="0" labelOnly="1" grandRow="1" outline="0" axis="axisRow" fieldPosition="0">
        <references count="1">
          <reference field="4294967294" count="1" selected="0">
            <x v="15"/>
          </reference>
        </references>
      </pivotArea>
    </format>
    <format dxfId="6522">
      <pivotArea field="0" dataOnly="0" labelOnly="1" grandRow="1" outline="0" axis="axisRow" fieldPosition="0">
        <references count="1">
          <reference field="4294967294" count="1" selected="0">
            <x v="16"/>
          </reference>
        </references>
      </pivotArea>
    </format>
    <format dxfId="6521">
      <pivotArea field="0" dataOnly="0" labelOnly="1" grandRow="1" outline="0" axis="axisRow" fieldPosition="0">
        <references count="1">
          <reference field="4294967294" count="1" selected="0">
            <x v="17"/>
          </reference>
        </references>
      </pivotArea>
    </format>
    <format dxfId="6520">
      <pivotArea field="0" dataOnly="0" labelOnly="1" grandRow="1" outline="0" axis="axisRow" fieldPosition="0">
        <references count="1">
          <reference field="4294967294" count="1" selected="0">
            <x v="18"/>
          </reference>
        </references>
      </pivotArea>
    </format>
    <format dxfId="6519">
      <pivotArea field="0" dataOnly="0" labelOnly="1" grandRow="1" outline="0" axis="axisRow" fieldPosition="0">
        <references count="1">
          <reference field="4294967294" count="1" selected="0">
            <x v="19"/>
          </reference>
        </references>
      </pivotArea>
    </format>
    <format dxfId="6518">
      <pivotArea field="0" dataOnly="0" labelOnly="1" grandRow="1" outline="0" axis="axisRow" fieldPosition="0">
        <references count="1">
          <reference field="4294967294" count="1" selected="0">
            <x v="20"/>
          </reference>
        </references>
      </pivotArea>
    </format>
    <format dxfId="6517">
      <pivotArea field="0" dataOnly="0" labelOnly="1" grandRow="1" outline="0" axis="axisRow" fieldPosition="0">
        <references count="1">
          <reference field="4294967294" count="1" selected="0">
            <x v="21"/>
          </reference>
        </references>
      </pivotArea>
    </format>
    <format dxfId="6516">
      <pivotArea field="0" dataOnly="0" labelOnly="1" grandRow="1" outline="0" axis="axisRow" fieldPosition="0">
        <references count="1">
          <reference field="4294967294" count="1" selected="0">
            <x v="22"/>
          </reference>
        </references>
      </pivotArea>
    </format>
    <format dxfId="6515">
      <pivotArea field="0" dataOnly="0" labelOnly="1" grandRow="1" outline="0" axis="axisRow" fieldPosition="0">
        <references count="1">
          <reference field="4294967294" count="1" selected="0">
            <x v="23"/>
          </reference>
        </references>
      </pivotArea>
    </format>
    <format dxfId="6514">
      <pivotArea field="0" dataOnly="0" labelOnly="1" grandRow="1" outline="0" axis="axisRow" fieldPosition="0">
        <references count="1">
          <reference field="4294967294" count="1" selected="0">
            <x v="24"/>
          </reference>
        </references>
      </pivotArea>
    </format>
    <format dxfId="6513">
      <pivotArea field="0" dataOnly="0" labelOnly="1" grandRow="1" outline="0" axis="axisRow" fieldPosition="0">
        <references count="1">
          <reference field="4294967294" count="1" selected="0">
            <x v="25"/>
          </reference>
        </references>
      </pivotArea>
    </format>
    <format dxfId="6512">
      <pivotArea field="0" dataOnly="0" labelOnly="1" grandRow="1" outline="0" axis="axisRow" fieldPosition="0">
        <references count="1">
          <reference field="4294967294" count="1" selected="0">
            <x v="26"/>
          </reference>
        </references>
      </pivotArea>
    </format>
    <format dxfId="6511">
      <pivotArea field="0" dataOnly="0" labelOnly="1" grandRow="1" outline="0" axis="axisRow" fieldPosition="0">
        <references count="1">
          <reference field="4294967294" count="1" selected="0">
            <x v="27"/>
          </reference>
        </references>
      </pivotArea>
    </format>
    <format dxfId="6510">
      <pivotArea field="0" dataOnly="0" labelOnly="1" grandRow="1" outline="0" axis="axisRow" fieldPosition="0">
        <references count="1">
          <reference field="4294967294" count="1" selected="0">
            <x v="28"/>
          </reference>
        </references>
      </pivotArea>
    </format>
    <format dxfId="6509">
      <pivotArea field="0" dataOnly="0" labelOnly="1" grandRow="1" outline="0" axis="axisRow" fieldPosition="0">
        <references count="1">
          <reference field="4294967294" count="1" selected="0">
            <x v="29"/>
          </reference>
        </references>
      </pivotArea>
    </format>
    <format dxfId="6508">
      <pivotArea field="0" dataOnly="0" labelOnly="1" grandRow="1" outline="0" axis="axisRow" fieldPosition="0">
        <references count="1">
          <reference field="4294967294" count="1" selected="0">
            <x v="30"/>
          </reference>
        </references>
      </pivotArea>
    </format>
    <format dxfId="6507">
      <pivotArea field="0" dataOnly="0" labelOnly="1" grandRow="1" outline="0" axis="axisRow" fieldPosition="0">
        <references count="1">
          <reference field="4294967294" count="1" selected="0">
            <x v="31"/>
          </reference>
        </references>
      </pivotArea>
    </format>
    <format dxfId="6506">
      <pivotArea field="0" dataOnly="0" labelOnly="1" grandRow="1" outline="0" axis="axisRow" fieldPosition="0">
        <references count="1">
          <reference field="4294967294" count="1" selected="0">
            <x v="32"/>
          </reference>
        </references>
      </pivotArea>
    </format>
    <format dxfId="6505">
      <pivotArea field="0" dataOnly="0" labelOnly="1" grandRow="1" outline="0" axis="axisRow" fieldPosition="0">
        <references count="1">
          <reference field="4294967294" count="1" selected="0">
            <x v="33"/>
          </reference>
        </references>
      </pivotArea>
    </format>
    <format dxfId="6504">
      <pivotArea field="0" dataOnly="0" labelOnly="1" grandRow="1" outline="0" axis="axisRow" fieldPosition="0">
        <references count="1">
          <reference field="4294967294" count="1" selected="0">
            <x v="34"/>
          </reference>
        </references>
      </pivotArea>
    </format>
    <format dxfId="6503">
      <pivotArea field="0" dataOnly="0" labelOnly="1" grandRow="1" outline="0" axis="axisRow" fieldPosition="0">
        <references count="1">
          <reference field="4294967294" count="1" selected="0">
            <x v="35"/>
          </reference>
        </references>
      </pivotArea>
    </format>
    <format dxfId="6502">
      <pivotArea field="0" dataOnly="0" labelOnly="1" grandRow="1" outline="0" axis="axisRow" fieldPosition="0">
        <references count="1">
          <reference field="4294967294" count="1" selected="0">
            <x v="35"/>
          </reference>
        </references>
      </pivotArea>
    </format>
    <format dxfId="650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0"/>
          </reference>
        </references>
      </pivotArea>
    </format>
    <format dxfId="6500">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
          </reference>
        </references>
      </pivotArea>
    </format>
    <format dxfId="6499">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2"/>
          </reference>
        </references>
      </pivotArea>
    </format>
    <format dxfId="6498">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3"/>
          </reference>
        </references>
      </pivotArea>
    </format>
    <format dxfId="6497">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4"/>
          </reference>
        </references>
      </pivotArea>
    </format>
    <format dxfId="6496">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5"/>
          </reference>
        </references>
      </pivotArea>
    </format>
    <format dxfId="6495">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6"/>
          </reference>
        </references>
      </pivotArea>
    </format>
    <format dxfId="6494">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7"/>
          </reference>
        </references>
      </pivotArea>
    </format>
    <format dxfId="6493">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8"/>
          </reference>
        </references>
      </pivotArea>
    </format>
    <format dxfId="6492">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9"/>
          </reference>
        </references>
      </pivotArea>
    </format>
    <format dxfId="6491">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0"/>
          </reference>
        </references>
      </pivotArea>
    </format>
    <format dxfId="6490">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1"/>
          </reference>
        </references>
      </pivotArea>
    </format>
    <format dxfId="6489">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2"/>
          </reference>
        </references>
      </pivotArea>
    </format>
    <format dxfId="6488">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3"/>
          </reference>
        </references>
      </pivotArea>
    </format>
    <format dxfId="6487">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4"/>
          </reference>
        </references>
      </pivotArea>
    </format>
    <format dxfId="6486">
      <pivotArea dataOnly="0" labelOnly="1" outline="0" fieldPosition="0">
        <references count="2">
          <reference field="4294967294" count="36">
            <x v="0"/>
            <x v="1"/>
            <x v="2"/>
            <x v="3"/>
            <x v="4"/>
            <x v="5"/>
            <x v="6"/>
            <x v="7"/>
            <x v="8"/>
            <x v="9"/>
            <x v="10"/>
            <x v="11"/>
            <x v="12"/>
            <x v="13"/>
            <x v="14"/>
            <x v="15"/>
            <x v="16"/>
            <x v="17"/>
            <x v="18"/>
            <x v="19"/>
            <x v="20"/>
            <x v="21"/>
            <x v="22"/>
            <x v="23"/>
            <x v="24"/>
            <x v="25"/>
            <x v="26"/>
            <x v="27"/>
            <x v="28"/>
            <x v="29"/>
            <x v="30"/>
            <x v="31"/>
            <x v="32"/>
            <x v="33"/>
            <x v="34"/>
            <x v="35"/>
          </reference>
          <reference field="0" count="1" selected="0">
            <x v="15"/>
          </reference>
        </references>
      </pivotArea>
    </format>
    <format dxfId="6485">
      <pivotArea dataOnly="0" labelOnly="1" outline="0" fieldPosition="0">
        <references count="1">
          <reference field="70" count="0"/>
        </references>
      </pivotArea>
    </format>
    <format dxfId="6484">
      <pivotArea dataOnly="0" labelOnly="1" outline="0" fieldPosition="0">
        <references count="1">
          <reference field="70" count="0" defaultSubtotal="1"/>
        </references>
      </pivotArea>
    </format>
    <format dxfId="6483">
      <pivotArea dataOnly="0" labelOnly="1" grandCol="1" outline="0" fieldPosition="0"/>
    </format>
    <format dxfId="6482">
      <pivotArea dataOnly="0" labelOnly="1" outline="0" fieldPosition="0">
        <references count="2">
          <reference field="4" count="7">
            <x v="0"/>
            <x v="1"/>
            <x v="2"/>
            <x v="3"/>
            <x v="4"/>
            <x v="5"/>
            <x v="6"/>
          </reference>
          <reference field="70" count="1" selected="0">
            <x v="0"/>
          </reference>
        </references>
      </pivotArea>
    </format>
    <format dxfId="6481">
      <pivotArea dataOnly="0" labelOnly="1" outline="0" fieldPosition="0">
        <references count="2">
          <reference field="4" count="4">
            <x v="7"/>
            <x v="8"/>
            <x v="9"/>
            <x v="10"/>
          </reference>
          <reference field="70" count="1" selected="0">
            <x v="1"/>
          </reference>
        </references>
      </pivotArea>
    </format>
    <format dxfId="6480">
      <pivotArea dataOnly="0" labelOnly="1" outline="0" fieldPosition="0">
        <references count="2">
          <reference field="4" count="2">
            <x v="11"/>
            <x v="12"/>
          </reference>
          <reference field="70" count="1" selected="0">
            <x v="2"/>
          </reference>
        </references>
      </pivotArea>
    </format>
    <format dxfId="6479">
      <pivotArea dataOnly="0" labelOnly="1" outline="0" fieldPosition="0">
        <references count="2">
          <reference field="4" count="1">
            <x v="16"/>
          </reference>
          <reference field="70" count="1" selected="0">
            <x v="6"/>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73B6D76-339B-4CAC-8DC9-7D919456D826}" name="PivotTable2" cacheId="1017" dataOnRows="1" applyNumberFormats="0" applyBorderFormats="0" applyFontFormats="0" applyPatternFormats="0" applyAlignmentFormats="0" applyWidthHeightFormats="1" dataCaption="Data" updatedVersion="8" asteriskTotals="1" showMemberPropertyTips="0" useAutoFormatting="1" rowGrandTotals="0" colGrandTotals="0" itemPrintTitles="1" createdVersion="1" indent="0" compact="0" compactData="0" gridDropZones="1">
  <location ref="A3:V133" firstHeaderRow="1" firstDataRow="3" firstDataCol="2"/>
  <pivotFields count="74">
    <pivotField axis="axisRow" compact="0" outline="0" subtotalTop="0" showAll="0" includeNewItemsInFilter="1" sortType="ascending">
      <items count="17">
        <item x="0"/>
        <item x="1"/>
        <item x="2"/>
        <item x="3"/>
        <item x="4"/>
        <item x="5"/>
        <item x="6"/>
        <item x="7"/>
        <item x="8"/>
        <item x="9"/>
        <item x="10"/>
        <item x="11"/>
        <item x="12"/>
        <item x="13"/>
        <item x="14"/>
        <item x="15"/>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axis="axisCol" compact="0" outline="0" subtotalTop="0" showAll="0" includeNewItemsInFilter="1" defaultSubtotal="0">
      <items count="17">
        <item x="0"/>
        <item x="1"/>
        <item x="2"/>
        <item x="3"/>
        <item x="4"/>
        <item x="11"/>
        <item x="10"/>
        <item m="1" x="16"/>
        <item x="14"/>
        <item m="1" x="15"/>
        <item x="12"/>
        <item x="5"/>
        <item x="6"/>
        <item x="7"/>
        <item x="8"/>
        <item x="9"/>
        <item x="13"/>
      </items>
    </pivotField>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axis="axisCol" compact="0" outline="0" subtotalTop="0" showAll="0" includeNewItemsInFilter="1">
      <items count="8">
        <item n="Four-Year" x="3"/>
        <item x="2"/>
        <item x="1"/>
        <item n="Two-Year" x="4"/>
        <item n="Techncial" x="5"/>
        <item x="0"/>
        <item x="6"/>
        <item t="default"/>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2"/>
  </rowFields>
  <rowItems count="128">
    <i>
      <x/>
      <x/>
    </i>
    <i r="1" i="1">
      <x v="1"/>
    </i>
    <i r="1" i="2">
      <x v="2"/>
    </i>
    <i r="1" i="3">
      <x v="3"/>
    </i>
    <i r="1" i="4">
      <x v="4"/>
    </i>
    <i r="1" i="5">
      <x v="5"/>
    </i>
    <i r="1" i="6">
      <x v="6"/>
    </i>
    <i r="1" i="7">
      <x v="7"/>
    </i>
    <i>
      <x v="1"/>
      <x/>
    </i>
    <i r="1" i="1">
      <x v="1"/>
    </i>
    <i r="1" i="2">
      <x v="2"/>
    </i>
    <i r="1" i="3">
      <x v="3"/>
    </i>
    <i r="1" i="4">
      <x v="4"/>
    </i>
    <i r="1" i="5">
      <x v="5"/>
    </i>
    <i r="1" i="6">
      <x v="6"/>
    </i>
    <i r="1" i="7">
      <x v="7"/>
    </i>
    <i>
      <x v="2"/>
      <x/>
    </i>
    <i r="1" i="1">
      <x v="1"/>
    </i>
    <i r="1" i="2">
      <x v="2"/>
    </i>
    <i r="1" i="3">
      <x v="3"/>
    </i>
    <i r="1" i="4">
      <x v="4"/>
    </i>
    <i r="1" i="5">
      <x v="5"/>
    </i>
    <i r="1" i="6">
      <x v="6"/>
    </i>
    <i r="1" i="7">
      <x v="7"/>
    </i>
    <i>
      <x v="3"/>
      <x/>
    </i>
    <i r="1" i="1">
      <x v="1"/>
    </i>
    <i r="1" i="2">
      <x v="2"/>
    </i>
    <i r="1" i="3">
      <x v="3"/>
    </i>
    <i r="1" i="4">
      <x v="4"/>
    </i>
    <i r="1" i="5">
      <x v="5"/>
    </i>
    <i r="1" i="6">
      <x v="6"/>
    </i>
    <i r="1" i="7">
      <x v="7"/>
    </i>
    <i>
      <x v="4"/>
      <x/>
    </i>
    <i r="1" i="1">
      <x v="1"/>
    </i>
    <i r="1" i="2">
      <x v="2"/>
    </i>
    <i r="1" i="3">
      <x v="3"/>
    </i>
    <i r="1" i="4">
      <x v="4"/>
    </i>
    <i r="1" i="5">
      <x v="5"/>
    </i>
    <i r="1" i="6">
      <x v="6"/>
    </i>
    <i r="1" i="7">
      <x v="7"/>
    </i>
    <i>
      <x v="5"/>
      <x/>
    </i>
    <i r="1" i="1">
      <x v="1"/>
    </i>
    <i r="1" i="2">
      <x v="2"/>
    </i>
    <i r="1" i="3">
      <x v="3"/>
    </i>
    <i r="1" i="4">
      <x v="4"/>
    </i>
    <i r="1" i="5">
      <x v="5"/>
    </i>
    <i r="1" i="6">
      <x v="6"/>
    </i>
    <i r="1" i="7">
      <x v="7"/>
    </i>
    <i>
      <x v="6"/>
      <x/>
    </i>
    <i r="1" i="1">
      <x v="1"/>
    </i>
    <i r="1" i="2">
      <x v="2"/>
    </i>
    <i r="1" i="3">
      <x v="3"/>
    </i>
    <i r="1" i="4">
      <x v="4"/>
    </i>
    <i r="1" i="5">
      <x v="5"/>
    </i>
    <i r="1" i="6">
      <x v="6"/>
    </i>
    <i r="1" i="7">
      <x v="7"/>
    </i>
    <i>
      <x v="7"/>
      <x/>
    </i>
    <i r="1" i="1">
      <x v="1"/>
    </i>
    <i r="1" i="2">
      <x v="2"/>
    </i>
    <i r="1" i="3">
      <x v="3"/>
    </i>
    <i r="1" i="4">
      <x v="4"/>
    </i>
    <i r="1" i="5">
      <x v="5"/>
    </i>
    <i r="1" i="6">
      <x v="6"/>
    </i>
    <i r="1" i="7">
      <x v="7"/>
    </i>
    <i>
      <x v="8"/>
      <x/>
    </i>
    <i r="1" i="1">
      <x v="1"/>
    </i>
    <i r="1" i="2">
      <x v="2"/>
    </i>
    <i r="1" i="3">
      <x v="3"/>
    </i>
    <i r="1" i="4">
      <x v="4"/>
    </i>
    <i r="1" i="5">
      <x v="5"/>
    </i>
    <i r="1" i="6">
      <x v="6"/>
    </i>
    <i r="1" i="7">
      <x v="7"/>
    </i>
    <i>
      <x v="9"/>
      <x/>
    </i>
    <i r="1" i="1">
      <x v="1"/>
    </i>
    <i r="1" i="2">
      <x v="2"/>
    </i>
    <i r="1" i="3">
      <x v="3"/>
    </i>
    <i r="1" i="4">
      <x v="4"/>
    </i>
    <i r="1" i="5">
      <x v="5"/>
    </i>
    <i r="1" i="6">
      <x v="6"/>
    </i>
    <i r="1" i="7">
      <x v="7"/>
    </i>
    <i>
      <x v="10"/>
      <x/>
    </i>
    <i r="1" i="1">
      <x v="1"/>
    </i>
    <i r="1" i="2">
      <x v="2"/>
    </i>
    <i r="1" i="3">
      <x v="3"/>
    </i>
    <i r="1" i="4">
      <x v="4"/>
    </i>
    <i r="1" i="5">
      <x v="5"/>
    </i>
    <i r="1" i="6">
      <x v="6"/>
    </i>
    <i r="1" i="7">
      <x v="7"/>
    </i>
    <i>
      <x v="11"/>
      <x/>
    </i>
    <i r="1" i="1">
      <x v="1"/>
    </i>
    <i r="1" i="2">
      <x v="2"/>
    </i>
    <i r="1" i="3">
      <x v="3"/>
    </i>
    <i r="1" i="4">
      <x v="4"/>
    </i>
    <i r="1" i="5">
      <x v="5"/>
    </i>
    <i r="1" i="6">
      <x v="6"/>
    </i>
    <i r="1" i="7">
      <x v="7"/>
    </i>
    <i>
      <x v="12"/>
      <x/>
    </i>
    <i r="1" i="1">
      <x v="1"/>
    </i>
    <i r="1" i="2">
      <x v="2"/>
    </i>
    <i r="1" i="3">
      <x v="3"/>
    </i>
    <i r="1" i="4">
      <x v="4"/>
    </i>
    <i r="1" i="5">
      <x v="5"/>
    </i>
    <i r="1" i="6">
      <x v="6"/>
    </i>
    <i r="1" i="7">
      <x v="7"/>
    </i>
    <i>
      <x v="13"/>
      <x/>
    </i>
    <i r="1" i="1">
      <x v="1"/>
    </i>
    <i r="1" i="2">
      <x v="2"/>
    </i>
    <i r="1" i="3">
      <x v="3"/>
    </i>
    <i r="1" i="4">
      <x v="4"/>
    </i>
    <i r="1" i="5">
      <x v="5"/>
    </i>
    <i r="1" i="6">
      <x v="6"/>
    </i>
    <i r="1" i="7">
      <x v="7"/>
    </i>
    <i>
      <x v="14"/>
      <x/>
    </i>
    <i r="1" i="1">
      <x v="1"/>
    </i>
    <i r="1" i="2">
      <x v="2"/>
    </i>
    <i r="1" i="3">
      <x v="3"/>
    </i>
    <i r="1" i="4">
      <x v="4"/>
    </i>
    <i r="1" i="5">
      <x v="5"/>
    </i>
    <i r="1" i="6">
      <x v="6"/>
    </i>
    <i r="1" i="7">
      <x v="7"/>
    </i>
    <i>
      <x v="15"/>
      <x/>
    </i>
    <i r="1" i="1">
      <x v="1"/>
    </i>
    <i r="1" i="2">
      <x v="2"/>
    </i>
    <i r="1" i="3">
      <x v="3"/>
    </i>
    <i r="1" i="4">
      <x v="4"/>
    </i>
    <i r="1" i="5">
      <x v="5"/>
    </i>
    <i r="1" i="6">
      <x v="6"/>
    </i>
    <i r="1" i="7">
      <x v="7"/>
    </i>
  </rowItems>
  <colFields count="2">
    <field x="70"/>
    <field x="4"/>
  </colFields>
  <colItems count="20">
    <i>
      <x/>
      <x/>
    </i>
    <i r="1">
      <x v="1"/>
    </i>
    <i r="1">
      <x v="2"/>
    </i>
    <i r="1">
      <x v="3"/>
    </i>
    <i r="1">
      <x v="4"/>
    </i>
    <i r="1">
      <x v="5"/>
    </i>
    <i r="1">
      <x v="6"/>
    </i>
    <i t="default">
      <x/>
    </i>
    <i>
      <x v="2"/>
      <x v="8"/>
    </i>
    <i t="default">
      <x v="2"/>
    </i>
    <i>
      <x v="3"/>
      <x v="10"/>
    </i>
    <i r="1">
      <x v="11"/>
    </i>
    <i r="1">
      <x v="12"/>
    </i>
    <i r="1">
      <x v="13"/>
    </i>
    <i t="default">
      <x v="3"/>
    </i>
    <i>
      <x v="4"/>
      <x v="14"/>
    </i>
    <i r="1">
      <x v="15"/>
    </i>
    <i t="default">
      <x v="4"/>
    </i>
    <i>
      <x v="6"/>
      <x v="16"/>
    </i>
    <i t="default">
      <x v="6"/>
    </i>
  </colItems>
  <dataFields count="8">
    <dataField name="Sum of OLD-Tot UG SCH Calc" fld="5" baseField="0" baseItem="0"/>
    <dataField name="Sum of NEW-Tot UG SCH Calc" fld="6" baseField="0" baseItem="0"/>
    <dataField name="Sum of Old UG E-Learning" fld="63" baseField="0" baseItem="0"/>
    <dataField name="Sum of New UG E-Learning" fld="65" baseField="0" baseItem="0"/>
    <dataField name="Sum of Old-Tot G SCH Calc" fld="19" baseField="0" baseItem="0"/>
    <dataField name="Sum of New-Tot G SCH Calc" fld="20" baseField="0" baseItem="0"/>
    <dataField name="Sum of Old G E-Learning" fld="64" baseField="0" baseItem="0"/>
    <dataField name="Sum of New G E-Learning" fld="66" baseField="0" baseItem="0"/>
  </dataFields>
  <formats count="147">
    <format dxfId="6478">
      <pivotArea field="4" type="button" dataOnly="0" labelOnly="1" outline="0" axis="axisCol" fieldPosition="1"/>
    </format>
    <format dxfId="6477">
      <pivotArea type="topRight" dataOnly="0" labelOnly="1" outline="0" fieldPosition="0"/>
    </format>
    <format dxfId="6476">
      <pivotArea dataOnly="0" labelOnly="1" grandCol="1" outline="0" fieldPosition="0"/>
    </format>
    <format dxfId="6475">
      <pivotArea dataOnly="0" labelOnly="1" outline="0" offset="IV256" fieldPosition="0">
        <references count="1">
          <reference field="0" count="1">
            <x v="3"/>
          </reference>
        </references>
      </pivotArea>
    </format>
    <format dxfId="6474">
      <pivotArea dataOnly="0" labelOnly="1" outline="0" offset="IV256" fieldPosition="0">
        <references count="1">
          <reference field="0" count="1">
            <x v="4"/>
          </reference>
        </references>
      </pivotArea>
    </format>
    <format dxfId="6473">
      <pivotArea dataOnly="0" labelOnly="1" outline="0" offset="IV256" fieldPosition="0">
        <references count="1">
          <reference field="0" count="1">
            <x v="5"/>
          </reference>
        </references>
      </pivotArea>
    </format>
    <format dxfId="6472">
      <pivotArea dataOnly="0" labelOnly="1" outline="0" offset="IV256" fieldPosition="0">
        <references count="1">
          <reference field="0" count="1">
            <x v="7"/>
          </reference>
        </references>
      </pivotArea>
    </format>
    <format dxfId="6471">
      <pivotArea dataOnly="0" labelOnly="1" outline="0" offset="IV256" fieldPosition="0">
        <references count="1">
          <reference field="0" count="1">
            <x v="8"/>
          </reference>
        </references>
      </pivotArea>
    </format>
    <format dxfId="6470">
      <pivotArea dataOnly="0" labelOnly="1" outline="0" offset="IV256" fieldPosition="0">
        <references count="1">
          <reference field="0" count="1">
            <x v="9"/>
          </reference>
        </references>
      </pivotArea>
    </format>
    <format dxfId="6469">
      <pivotArea dataOnly="0" labelOnly="1" outline="0" offset="IV256" fieldPosition="0">
        <references count="1">
          <reference field="0" count="1">
            <x v="10"/>
          </reference>
        </references>
      </pivotArea>
    </format>
    <format dxfId="6468">
      <pivotArea dataOnly="0" labelOnly="1" outline="0" offset="IV256" fieldPosition="0">
        <references count="1">
          <reference field="0" count="1">
            <x v="11"/>
          </reference>
        </references>
      </pivotArea>
    </format>
    <format dxfId="6467">
      <pivotArea dataOnly="0" labelOnly="1" outline="0" offset="IV256" fieldPosition="0">
        <references count="1">
          <reference field="0" count="1">
            <x v="12"/>
          </reference>
        </references>
      </pivotArea>
    </format>
    <format dxfId="6466">
      <pivotArea dataOnly="0" labelOnly="1" outline="0" offset="IV256" fieldPosition="0">
        <references count="1">
          <reference field="0" count="1">
            <x v="13"/>
          </reference>
        </references>
      </pivotArea>
    </format>
    <format dxfId="6465">
      <pivotArea type="origin" dataOnly="0" labelOnly="1" outline="0" offset="A2:B2" fieldPosition="0"/>
    </format>
    <format dxfId="6464">
      <pivotArea dataOnly="0" labelOnly="1" outline="0" fieldPosition="0">
        <references count="1">
          <reference field="0" count="0"/>
        </references>
      </pivotArea>
    </format>
    <format dxfId="6463">
      <pivotArea dataOnly="0" labelOnly="1" outline="0" offset="IV1" fieldPosition="0">
        <references count="1">
          <reference field="0" count="1">
            <x v="0"/>
          </reference>
        </references>
      </pivotArea>
    </format>
    <format dxfId="6462">
      <pivotArea type="origin" dataOnly="0" labelOnly="1" outline="0" fieldPosition="0"/>
    </format>
    <format dxfId="6461">
      <pivotArea field="0" type="button" dataOnly="0" labelOnly="1" outline="0" axis="axisRow" fieldPosition="0"/>
    </format>
    <format dxfId="6460">
      <pivotArea dataOnly="0" labelOnly="1" outline="0" offset="IV5:IV6" fieldPosition="0">
        <references count="1">
          <reference field="0" count="1">
            <x v="1"/>
          </reference>
        </references>
      </pivotArea>
    </format>
    <format dxfId="6459">
      <pivotArea dataOnly="0" labelOnly="1" outline="0" offset="IV7:IV8" fieldPosition="0">
        <references count="1">
          <reference field="0" count="1">
            <x v="1"/>
          </reference>
        </references>
      </pivotArea>
    </format>
    <format dxfId="6458">
      <pivotArea dataOnly="0" labelOnly="1" outline="0" offset="IV9:IV10" fieldPosition="0">
        <references count="1">
          <reference field="0" count="1">
            <x v="1"/>
          </reference>
        </references>
      </pivotArea>
    </format>
    <format dxfId="6457">
      <pivotArea dataOnly="0" labelOnly="1" outline="0" offset="IV11:IV12" fieldPosition="0">
        <references count="1">
          <reference field="0" count="1">
            <x v="1"/>
          </reference>
        </references>
      </pivotArea>
    </format>
    <format dxfId="6456">
      <pivotArea dataOnly="0" labelOnly="1" outline="0" offset="IV256" fieldPosition="0">
        <references count="1">
          <reference field="0" count="1">
            <x v="0"/>
          </reference>
        </references>
      </pivotArea>
    </format>
    <format dxfId="6455">
      <pivotArea dataOnly="0" labelOnly="1" grandCol="1" outline="0" offset="IV256" fieldPosition="0"/>
    </format>
    <format dxfId="6454">
      <pivotArea dataOnly="0" labelOnly="1" outline="0" offset="IV256" fieldPosition="0">
        <references count="1">
          <reference field="0" count="1">
            <x v="1"/>
          </reference>
        </references>
      </pivotArea>
    </format>
    <format dxfId="6453">
      <pivotArea dataOnly="0" labelOnly="1" outline="0" offset="IV1" fieldPosition="0">
        <references count="1">
          <reference field="0" count="1">
            <x v="0"/>
          </reference>
        </references>
      </pivotArea>
    </format>
    <format dxfId="6452">
      <pivotArea dataOnly="0" labelOnly="1" outline="0" offset="IV1" fieldPosition="0">
        <references count="1">
          <reference field="0" count="1">
            <x v="1"/>
          </reference>
        </references>
      </pivotArea>
    </format>
    <format dxfId="6451">
      <pivotArea dataOnly="0" labelOnly="1" outline="0" offset="IV1" fieldPosition="0">
        <references count="1">
          <reference field="0" count="1">
            <x v="3"/>
          </reference>
        </references>
      </pivotArea>
    </format>
    <format dxfId="6450">
      <pivotArea dataOnly="0" labelOnly="1" outline="0" offset="IV1" fieldPosition="0">
        <references count="1">
          <reference field="0" count="1">
            <x v="4"/>
          </reference>
        </references>
      </pivotArea>
    </format>
    <format dxfId="6449">
      <pivotArea dataOnly="0" labelOnly="1" outline="0" offset="IV256" fieldPosition="0">
        <references count="1">
          <reference field="0" count="1">
            <x v="15"/>
          </reference>
        </references>
      </pivotArea>
    </format>
    <format dxfId="6448">
      <pivotArea outline="0" fieldPosition="0">
        <references count="1">
          <reference field="0" count="1" selected="0">
            <x v="0"/>
          </reference>
        </references>
      </pivotArea>
    </format>
    <format dxfId="6447">
      <pivotArea dataOnly="0" labelOnly="1" outline="0" fieldPosition="0">
        <references count="1">
          <reference field="0" count="1">
            <x v="0"/>
          </reference>
        </references>
      </pivotArea>
    </format>
    <format dxfId="6446">
      <pivotArea dataOnly="0" labelOnly="1" outline="0" fieldPosition="0">
        <references count="2">
          <reference field="4294967294" count="0"/>
          <reference field="0" count="1" selected="0">
            <x v="0"/>
          </reference>
        </references>
      </pivotArea>
    </format>
    <format dxfId="6445">
      <pivotArea type="all" dataOnly="0" outline="0" fieldPosition="0"/>
    </format>
    <format dxfId="6444">
      <pivotArea outline="0" fieldPosition="0"/>
    </format>
    <format dxfId="6443">
      <pivotArea outline="0" fieldPosition="0">
        <references count="2">
          <reference field="4294967294" count="1" selected="0">
            <x v="0"/>
          </reference>
          <reference field="0" count="1" selected="0">
            <x v="4"/>
          </reference>
        </references>
      </pivotArea>
    </format>
    <format dxfId="6442">
      <pivotArea outline="0" fieldPosition="0">
        <references count="2">
          <reference field="4294967294" count="1" selected="0">
            <x v="0"/>
          </reference>
          <reference field="0" count="1" selected="0">
            <x v="5"/>
          </reference>
        </references>
      </pivotArea>
    </format>
    <format dxfId="6441">
      <pivotArea outline="0" fieldPosition="0">
        <references count="2">
          <reference field="4294967294" count="1" selected="0">
            <x v="0"/>
          </reference>
          <reference field="0" count="1" selected="0">
            <x v="7"/>
          </reference>
        </references>
      </pivotArea>
    </format>
    <format dxfId="6440">
      <pivotArea outline="0" fieldPosition="0">
        <references count="2">
          <reference field="4294967294" count="1" selected="0">
            <x v="1"/>
          </reference>
          <reference field="0" count="1" selected="0">
            <x v="4"/>
          </reference>
        </references>
      </pivotArea>
    </format>
    <format dxfId="6439">
      <pivotArea outline="0" fieldPosition="0">
        <references count="2">
          <reference field="4294967294" count="1" selected="0">
            <x v="1"/>
          </reference>
          <reference field="0" count="1" selected="0">
            <x v="5"/>
          </reference>
        </references>
      </pivotArea>
    </format>
    <format dxfId="6438">
      <pivotArea outline="0" fieldPosition="0">
        <references count="2">
          <reference field="4294967294" count="1" selected="0">
            <x v="2"/>
          </reference>
          <reference field="0" count="1" selected="0">
            <x v="4"/>
          </reference>
        </references>
      </pivotArea>
    </format>
    <format dxfId="6437">
      <pivotArea outline="0" fieldPosition="0">
        <references count="2">
          <reference field="4294967294" count="1" selected="0">
            <x v="2"/>
          </reference>
          <reference field="0" count="1" selected="0">
            <x v="5"/>
          </reference>
        </references>
      </pivotArea>
    </format>
    <format dxfId="6436">
      <pivotArea outline="0" fieldPosition="0">
        <references count="2">
          <reference field="4294967294" count="1" selected="0">
            <x v="2"/>
          </reference>
          <reference field="0" count="1" selected="0">
            <x v="7"/>
          </reference>
        </references>
      </pivotArea>
    </format>
    <format dxfId="6435">
      <pivotArea outline="0" fieldPosition="0">
        <references count="2">
          <reference field="4294967294" count="1" selected="0">
            <x v="3"/>
          </reference>
          <reference field="0" count="1" selected="0">
            <x v="5"/>
          </reference>
        </references>
      </pivotArea>
    </format>
    <format dxfId="6434">
      <pivotArea outline="0" fieldPosition="0">
        <references count="2">
          <reference field="4294967294" count="1" selected="0">
            <x v="3"/>
          </reference>
          <reference field="0" count="1" selected="0">
            <x v="4"/>
          </reference>
        </references>
      </pivotArea>
    </format>
    <format dxfId="6433">
      <pivotArea outline="0" fieldPosition="0">
        <references count="1">
          <reference field="0" count="1" selected="0">
            <x v="0"/>
          </reference>
        </references>
      </pivotArea>
    </format>
    <format dxfId="6432">
      <pivotArea dataOnly="0" labelOnly="1" outline="0" fieldPosition="0">
        <references count="1">
          <reference field="0" count="1">
            <x v="0"/>
          </reference>
        </references>
      </pivotArea>
    </format>
    <format dxfId="6431">
      <pivotArea dataOnly="0" labelOnly="1" outline="0" fieldPosition="0">
        <references count="2">
          <reference field="4294967294" count="0"/>
          <reference field="0" count="1" selected="0">
            <x v="0"/>
          </reference>
        </references>
      </pivotArea>
    </format>
    <format dxfId="6430">
      <pivotArea outline="0" fieldPosition="0">
        <references count="1">
          <reference field="0" count="1" selected="0">
            <x v="15"/>
          </reference>
        </references>
      </pivotArea>
    </format>
    <format dxfId="6429">
      <pivotArea dataOnly="0" labelOnly="1" outline="0" fieldPosition="0">
        <references count="1">
          <reference field="0" count="1">
            <x v="15"/>
          </reference>
        </references>
      </pivotArea>
    </format>
    <format dxfId="6428">
      <pivotArea dataOnly="0" labelOnly="1" outline="0" fieldPosition="0">
        <references count="2">
          <reference field="4294967294" count="0"/>
          <reference field="0" count="1" selected="0">
            <x v="15"/>
          </reference>
        </references>
      </pivotArea>
    </format>
    <format dxfId="6427">
      <pivotArea outline="0" fieldPosition="0">
        <references count="1">
          <reference field="0" count="1" selected="0">
            <x v="12"/>
          </reference>
        </references>
      </pivotArea>
    </format>
    <format dxfId="6426">
      <pivotArea dataOnly="0" labelOnly="1" outline="0" fieldPosition="0">
        <references count="1">
          <reference field="0" count="1">
            <x v="12"/>
          </reference>
        </references>
      </pivotArea>
    </format>
    <format dxfId="6425">
      <pivotArea dataOnly="0" labelOnly="1" outline="0" fieldPosition="0">
        <references count="2">
          <reference field="4294967294" count="0"/>
          <reference field="0" count="1" selected="0">
            <x v="12"/>
          </reference>
        </references>
      </pivotArea>
    </format>
    <format dxfId="6424">
      <pivotArea outline="0" fieldPosition="0"/>
    </format>
    <format dxfId="6423">
      <pivotArea field="-2" type="button" dataOnly="0" labelOnly="1" outline="0" axis="axisRow" fieldPosition="1"/>
    </format>
    <format dxfId="6422">
      <pivotArea field="4" type="button" dataOnly="0" labelOnly="1" outline="0" axis="axisCol" fieldPosition="1"/>
    </format>
    <format dxfId="6421">
      <pivotArea type="topRight" dataOnly="0" labelOnly="1" outline="0" fieldPosition="0"/>
    </format>
    <format dxfId="6420">
      <pivotArea dataOnly="0" labelOnly="1" outline="0" fieldPosition="0">
        <references count="2">
          <reference field="4294967294" count="8">
            <x v="0"/>
            <x v="1"/>
            <x v="2"/>
            <x v="3"/>
            <x v="4"/>
            <x v="5"/>
            <x v="6"/>
            <x v="7"/>
          </reference>
          <reference field="0" count="1" selected="0">
            <x v="0"/>
          </reference>
        </references>
      </pivotArea>
    </format>
    <format dxfId="6419">
      <pivotArea dataOnly="0" labelOnly="1" outline="0" fieldPosition="0">
        <references count="2">
          <reference field="4294967294" count="8">
            <x v="0"/>
            <x v="1"/>
            <x v="2"/>
            <x v="3"/>
            <x v="4"/>
            <x v="5"/>
            <x v="6"/>
            <x v="7"/>
          </reference>
          <reference field="0" count="1" selected="0">
            <x v="1"/>
          </reference>
        </references>
      </pivotArea>
    </format>
    <format dxfId="6418">
      <pivotArea dataOnly="0" labelOnly="1" outline="0" fieldPosition="0">
        <references count="2">
          <reference field="4294967294" count="8">
            <x v="0"/>
            <x v="1"/>
            <x v="2"/>
            <x v="3"/>
            <x v="4"/>
            <x v="5"/>
            <x v="6"/>
            <x v="7"/>
          </reference>
          <reference field="0" count="1" selected="0">
            <x v="3"/>
          </reference>
        </references>
      </pivotArea>
    </format>
    <format dxfId="6417">
      <pivotArea dataOnly="0" labelOnly="1" outline="0" fieldPosition="0">
        <references count="2">
          <reference field="4294967294" count="8">
            <x v="0"/>
            <x v="1"/>
            <x v="2"/>
            <x v="3"/>
            <x v="4"/>
            <x v="5"/>
            <x v="6"/>
            <x v="7"/>
          </reference>
          <reference field="0" count="1" selected="0">
            <x v="4"/>
          </reference>
        </references>
      </pivotArea>
    </format>
    <format dxfId="6416">
      <pivotArea dataOnly="0" labelOnly="1" outline="0" fieldPosition="0">
        <references count="2">
          <reference field="4294967294" count="8">
            <x v="0"/>
            <x v="1"/>
            <x v="2"/>
            <x v="3"/>
            <x v="4"/>
            <x v="5"/>
            <x v="6"/>
            <x v="7"/>
          </reference>
          <reference field="0" count="1" selected="0">
            <x v="5"/>
          </reference>
        </references>
      </pivotArea>
    </format>
    <format dxfId="6415">
      <pivotArea dataOnly="0" labelOnly="1" outline="0" fieldPosition="0">
        <references count="2">
          <reference field="4294967294" count="8">
            <x v="0"/>
            <x v="1"/>
            <x v="2"/>
            <x v="3"/>
            <x v="4"/>
            <x v="5"/>
            <x v="6"/>
            <x v="7"/>
          </reference>
          <reference field="0" count="1" selected="0">
            <x v="7"/>
          </reference>
        </references>
      </pivotArea>
    </format>
    <format dxfId="6414">
      <pivotArea dataOnly="0" labelOnly="1" outline="0" fieldPosition="0">
        <references count="2">
          <reference field="4294967294" count="8">
            <x v="0"/>
            <x v="1"/>
            <x v="2"/>
            <x v="3"/>
            <x v="4"/>
            <x v="5"/>
            <x v="6"/>
            <x v="7"/>
          </reference>
          <reference field="0" count="1" selected="0">
            <x v="8"/>
          </reference>
        </references>
      </pivotArea>
    </format>
    <format dxfId="6413">
      <pivotArea dataOnly="0" labelOnly="1" outline="0" fieldPosition="0">
        <references count="2">
          <reference field="4294967294" count="8">
            <x v="0"/>
            <x v="1"/>
            <x v="2"/>
            <x v="3"/>
            <x v="4"/>
            <x v="5"/>
            <x v="6"/>
            <x v="7"/>
          </reference>
          <reference field="0" count="1" selected="0">
            <x v="9"/>
          </reference>
        </references>
      </pivotArea>
    </format>
    <format dxfId="6412">
      <pivotArea dataOnly="0" labelOnly="1" outline="0" fieldPosition="0">
        <references count="2">
          <reference field="4294967294" count="8">
            <x v="0"/>
            <x v="1"/>
            <x v="2"/>
            <x v="3"/>
            <x v="4"/>
            <x v="5"/>
            <x v="6"/>
            <x v="7"/>
          </reference>
          <reference field="0" count="1" selected="0">
            <x v="10"/>
          </reference>
        </references>
      </pivotArea>
    </format>
    <format dxfId="6411">
      <pivotArea dataOnly="0" labelOnly="1" outline="0" fieldPosition="0">
        <references count="2">
          <reference field="4294967294" count="8">
            <x v="0"/>
            <x v="1"/>
            <x v="2"/>
            <x v="3"/>
            <x v="4"/>
            <x v="5"/>
            <x v="6"/>
            <x v="7"/>
          </reference>
          <reference field="0" count="1" selected="0">
            <x v="11"/>
          </reference>
        </references>
      </pivotArea>
    </format>
    <format dxfId="6410">
      <pivotArea dataOnly="0" labelOnly="1" outline="0" fieldPosition="0">
        <references count="2">
          <reference field="4294967294" count="8">
            <x v="0"/>
            <x v="1"/>
            <x v="2"/>
            <x v="3"/>
            <x v="4"/>
            <x v="5"/>
            <x v="6"/>
            <x v="7"/>
          </reference>
          <reference field="0" count="1" selected="0">
            <x v="12"/>
          </reference>
        </references>
      </pivotArea>
    </format>
    <format dxfId="6409">
      <pivotArea dataOnly="0" labelOnly="1" outline="0" fieldPosition="0">
        <references count="2">
          <reference field="4294967294" count="8">
            <x v="0"/>
            <x v="1"/>
            <x v="2"/>
            <x v="3"/>
            <x v="4"/>
            <x v="5"/>
            <x v="6"/>
            <x v="7"/>
          </reference>
          <reference field="0" count="1" selected="0">
            <x v="13"/>
          </reference>
        </references>
      </pivotArea>
    </format>
    <format dxfId="6408">
      <pivotArea dataOnly="0" labelOnly="1" outline="0" fieldPosition="0">
        <references count="2">
          <reference field="4294967294" count="8">
            <x v="0"/>
            <x v="1"/>
            <x v="2"/>
            <x v="3"/>
            <x v="4"/>
            <x v="5"/>
            <x v="6"/>
            <x v="7"/>
          </reference>
          <reference field="0" count="1" selected="0">
            <x v="15"/>
          </reference>
        </references>
      </pivotArea>
    </format>
    <format dxfId="6407">
      <pivotArea outline="0" fieldPosition="0"/>
    </format>
    <format dxfId="6406">
      <pivotArea field="-2" type="button" dataOnly="0" labelOnly="1" outline="0" axis="axisRow" fieldPosition="1"/>
    </format>
    <format dxfId="6405">
      <pivotArea field="4" type="button" dataOnly="0" labelOnly="1" outline="0" axis="axisCol" fieldPosition="1"/>
    </format>
    <format dxfId="6404">
      <pivotArea type="topRight" dataOnly="0" labelOnly="1" outline="0" fieldPosition="0"/>
    </format>
    <format dxfId="6403">
      <pivotArea dataOnly="0" labelOnly="1" outline="0" fieldPosition="0">
        <references count="2">
          <reference field="4294967294" count="8">
            <x v="0"/>
            <x v="1"/>
            <x v="2"/>
            <x v="3"/>
            <x v="4"/>
            <x v="5"/>
            <x v="6"/>
            <x v="7"/>
          </reference>
          <reference field="0" count="1" selected="0">
            <x v="0"/>
          </reference>
        </references>
      </pivotArea>
    </format>
    <format dxfId="6402">
      <pivotArea dataOnly="0" labelOnly="1" outline="0" fieldPosition="0">
        <references count="2">
          <reference field="4294967294" count="8">
            <x v="0"/>
            <x v="1"/>
            <x v="2"/>
            <x v="3"/>
            <x v="4"/>
            <x v="5"/>
            <x v="6"/>
            <x v="7"/>
          </reference>
          <reference field="0" count="1" selected="0">
            <x v="1"/>
          </reference>
        </references>
      </pivotArea>
    </format>
    <format dxfId="6401">
      <pivotArea dataOnly="0" labelOnly="1" outline="0" fieldPosition="0">
        <references count="2">
          <reference field="4294967294" count="8">
            <x v="0"/>
            <x v="1"/>
            <x v="2"/>
            <x v="3"/>
            <x v="4"/>
            <x v="5"/>
            <x v="6"/>
            <x v="7"/>
          </reference>
          <reference field="0" count="1" selected="0">
            <x v="3"/>
          </reference>
        </references>
      </pivotArea>
    </format>
    <format dxfId="6400">
      <pivotArea dataOnly="0" labelOnly="1" outline="0" fieldPosition="0">
        <references count="2">
          <reference field="4294967294" count="8">
            <x v="0"/>
            <x v="1"/>
            <x v="2"/>
            <x v="3"/>
            <x v="4"/>
            <x v="5"/>
            <x v="6"/>
            <x v="7"/>
          </reference>
          <reference field="0" count="1" selected="0">
            <x v="4"/>
          </reference>
        </references>
      </pivotArea>
    </format>
    <format dxfId="6399">
      <pivotArea dataOnly="0" labelOnly="1" outline="0" fieldPosition="0">
        <references count="2">
          <reference field="4294967294" count="8">
            <x v="0"/>
            <x v="1"/>
            <x v="2"/>
            <x v="3"/>
            <x v="4"/>
            <x v="5"/>
            <x v="6"/>
            <x v="7"/>
          </reference>
          <reference field="0" count="1" selected="0">
            <x v="5"/>
          </reference>
        </references>
      </pivotArea>
    </format>
    <format dxfId="6398">
      <pivotArea dataOnly="0" labelOnly="1" outline="0" fieldPosition="0">
        <references count="2">
          <reference field="4294967294" count="8">
            <x v="0"/>
            <x v="1"/>
            <x v="2"/>
            <x v="3"/>
            <x v="4"/>
            <x v="5"/>
            <x v="6"/>
            <x v="7"/>
          </reference>
          <reference field="0" count="1" selected="0">
            <x v="7"/>
          </reference>
        </references>
      </pivotArea>
    </format>
    <format dxfId="6397">
      <pivotArea dataOnly="0" labelOnly="1" outline="0" fieldPosition="0">
        <references count="2">
          <reference field="4294967294" count="8">
            <x v="0"/>
            <x v="1"/>
            <x v="2"/>
            <x v="3"/>
            <x v="4"/>
            <x v="5"/>
            <x v="6"/>
            <x v="7"/>
          </reference>
          <reference field="0" count="1" selected="0">
            <x v="8"/>
          </reference>
        </references>
      </pivotArea>
    </format>
    <format dxfId="6396">
      <pivotArea dataOnly="0" labelOnly="1" outline="0" fieldPosition="0">
        <references count="2">
          <reference field="4294967294" count="8">
            <x v="0"/>
            <x v="1"/>
            <x v="2"/>
            <x v="3"/>
            <x v="4"/>
            <x v="5"/>
            <x v="6"/>
            <x v="7"/>
          </reference>
          <reference field="0" count="1" selected="0">
            <x v="9"/>
          </reference>
        </references>
      </pivotArea>
    </format>
    <format dxfId="6395">
      <pivotArea dataOnly="0" labelOnly="1" outline="0" fieldPosition="0">
        <references count="2">
          <reference field="4294967294" count="8">
            <x v="0"/>
            <x v="1"/>
            <x v="2"/>
            <x v="3"/>
            <x v="4"/>
            <x v="5"/>
            <x v="6"/>
            <x v="7"/>
          </reference>
          <reference field="0" count="1" selected="0">
            <x v="10"/>
          </reference>
        </references>
      </pivotArea>
    </format>
    <format dxfId="6394">
      <pivotArea dataOnly="0" labelOnly="1" outline="0" fieldPosition="0">
        <references count="2">
          <reference field="4294967294" count="8">
            <x v="0"/>
            <x v="1"/>
            <x v="2"/>
            <x v="3"/>
            <x v="4"/>
            <x v="5"/>
            <x v="6"/>
            <x v="7"/>
          </reference>
          <reference field="0" count="1" selected="0">
            <x v="11"/>
          </reference>
        </references>
      </pivotArea>
    </format>
    <format dxfId="6393">
      <pivotArea dataOnly="0" labelOnly="1" outline="0" fieldPosition="0">
        <references count="2">
          <reference field="4294967294" count="8">
            <x v="0"/>
            <x v="1"/>
            <x v="2"/>
            <x v="3"/>
            <x v="4"/>
            <x v="5"/>
            <x v="6"/>
            <x v="7"/>
          </reference>
          <reference field="0" count="1" selected="0">
            <x v="12"/>
          </reference>
        </references>
      </pivotArea>
    </format>
    <format dxfId="6392">
      <pivotArea dataOnly="0" labelOnly="1" outline="0" fieldPosition="0">
        <references count="2">
          <reference field="4294967294" count="8">
            <x v="0"/>
            <x v="1"/>
            <x v="2"/>
            <x v="3"/>
            <x v="4"/>
            <x v="5"/>
            <x v="6"/>
            <x v="7"/>
          </reference>
          <reference field="0" count="1" selected="0">
            <x v="13"/>
          </reference>
        </references>
      </pivotArea>
    </format>
    <format dxfId="6391">
      <pivotArea dataOnly="0" labelOnly="1" outline="0" fieldPosition="0">
        <references count="2">
          <reference field="4294967294" count="8">
            <x v="0"/>
            <x v="1"/>
            <x v="2"/>
            <x v="3"/>
            <x v="4"/>
            <x v="5"/>
            <x v="6"/>
            <x v="7"/>
          </reference>
          <reference field="0" count="1" selected="0">
            <x v="15"/>
          </reference>
        </references>
      </pivotArea>
    </format>
    <format dxfId="6390">
      <pivotArea type="all" dataOnly="0" outline="0" fieldPosition="0"/>
    </format>
    <format dxfId="6389">
      <pivotArea type="all" dataOnly="0" outline="0" fieldPosition="0"/>
    </format>
    <format dxfId="6388">
      <pivotArea outline="0" fieldPosition="0"/>
    </format>
    <format dxfId="6387">
      <pivotArea dataOnly="0" labelOnly="1" outline="0" fieldPosition="0">
        <references count="1">
          <reference field="0" count="0"/>
        </references>
      </pivotArea>
    </format>
    <format dxfId="6386">
      <pivotArea dataOnly="0" labelOnly="1" outline="0" fieldPosition="0">
        <references count="2">
          <reference field="4294967294" count="8">
            <x v="0"/>
            <x v="1"/>
            <x v="2"/>
            <x v="3"/>
            <x v="4"/>
            <x v="5"/>
            <x v="6"/>
            <x v="7"/>
          </reference>
          <reference field="0" count="1" selected="0">
            <x v="0"/>
          </reference>
        </references>
      </pivotArea>
    </format>
    <format dxfId="6385">
      <pivotArea dataOnly="0" labelOnly="1" outline="0" fieldPosition="0">
        <references count="2">
          <reference field="4294967294" count="8">
            <x v="0"/>
            <x v="1"/>
            <x v="2"/>
            <x v="3"/>
            <x v="4"/>
            <x v="5"/>
            <x v="6"/>
            <x v="7"/>
          </reference>
          <reference field="0" count="1" selected="0">
            <x v="1"/>
          </reference>
        </references>
      </pivotArea>
    </format>
    <format dxfId="6384">
      <pivotArea dataOnly="0" labelOnly="1" outline="0" fieldPosition="0">
        <references count="2">
          <reference field="4294967294" count="8">
            <x v="0"/>
            <x v="1"/>
            <x v="2"/>
            <x v="3"/>
            <x v="4"/>
            <x v="5"/>
            <x v="6"/>
            <x v="7"/>
          </reference>
          <reference field="0" count="1" selected="0">
            <x v="2"/>
          </reference>
        </references>
      </pivotArea>
    </format>
    <format dxfId="6383">
      <pivotArea dataOnly="0" labelOnly="1" outline="0" fieldPosition="0">
        <references count="2">
          <reference field="4294967294" count="8">
            <x v="0"/>
            <x v="1"/>
            <x v="2"/>
            <x v="3"/>
            <x v="4"/>
            <x v="5"/>
            <x v="6"/>
            <x v="7"/>
          </reference>
          <reference field="0" count="1" selected="0">
            <x v="3"/>
          </reference>
        </references>
      </pivotArea>
    </format>
    <format dxfId="6382">
      <pivotArea dataOnly="0" labelOnly="1" outline="0" fieldPosition="0">
        <references count="2">
          <reference field="4294967294" count="8">
            <x v="0"/>
            <x v="1"/>
            <x v="2"/>
            <x v="3"/>
            <x v="4"/>
            <x v="5"/>
            <x v="6"/>
            <x v="7"/>
          </reference>
          <reference field="0" count="1" selected="0">
            <x v="4"/>
          </reference>
        </references>
      </pivotArea>
    </format>
    <format dxfId="6381">
      <pivotArea dataOnly="0" labelOnly="1" outline="0" fieldPosition="0">
        <references count="2">
          <reference field="4294967294" count="8">
            <x v="0"/>
            <x v="1"/>
            <x v="2"/>
            <x v="3"/>
            <x v="4"/>
            <x v="5"/>
            <x v="6"/>
            <x v="7"/>
          </reference>
          <reference field="0" count="1" selected="0">
            <x v="5"/>
          </reference>
        </references>
      </pivotArea>
    </format>
    <format dxfId="6380">
      <pivotArea dataOnly="0" labelOnly="1" outline="0" fieldPosition="0">
        <references count="2">
          <reference field="4294967294" count="8">
            <x v="0"/>
            <x v="1"/>
            <x v="2"/>
            <x v="3"/>
            <x v="4"/>
            <x v="5"/>
            <x v="6"/>
            <x v="7"/>
          </reference>
          <reference field="0" count="1" selected="0">
            <x v="6"/>
          </reference>
        </references>
      </pivotArea>
    </format>
    <format dxfId="6379">
      <pivotArea dataOnly="0" labelOnly="1" outline="0" fieldPosition="0">
        <references count="2">
          <reference field="4294967294" count="8">
            <x v="0"/>
            <x v="1"/>
            <x v="2"/>
            <x v="3"/>
            <x v="4"/>
            <x v="5"/>
            <x v="6"/>
            <x v="7"/>
          </reference>
          <reference field="0" count="1" selected="0">
            <x v="7"/>
          </reference>
        </references>
      </pivotArea>
    </format>
    <format dxfId="6378">
      <pivotArea dataOnly="0" labelOnly="1" outline="0" fieldPosition="0">
        <references count="2">
          <reference field="4294967294" count="8">
            <x v="0"/>
            <x v="1"/>
            <x v="2"/>
            <x v="3"/>
            <x v="4"/>
            <x v="5"/>
            <x v="6"/>
            <x v="7"/>
          </reference>
          <reference field="0" count="1" selected="0">
            <x v="8"/>
          </reference>
        </references>
      </pivotArea>
    </format>
    <format dxfId="6377">
      <pivotArea dataOnly="0" labelOnly="1" outline="0" fieldPosition="0">
        <references count="2">
          <reference field="4294967294" count="8">
            <x v="0"/>
            <x v="1"/>
            <x v="2"/>
            <x v="3"/>
            <x v="4"/>
            <x v="5"/>
            <x v="6"/>
            <x v="7"/>
          </reference>
          <reference field="0" count="1" selected="0">
            <x v="9"/>
          </reference>
        </references>
      </pivotArea>
    </format>
    <format dxfId="6376">
      <pivotArea dataOnly="0" labelOnly="1" outline="0" fieldPosition="0">
        <references count="2">
          <reference field="4294967294" count="8">
            <x v="0"/>
            <x v="1"/>
            <x v="2"/>
            <x v="3"/>
            <x v="4"/>
            <x v="5"/>
            <x v="6"/>
            <x v="7"/>
          </reference>
          <reference field="0" count="1" selected="0">
            <x v="10"/>
          </reference>
        </references>
      </pivotArea>
    </format>
    <format dxfId="6375">
      <pivotArea dataOnly="0" labelOnly="1" outline="0" fieldPosition="0">
        <references count="2">
          <reference field="4294967294" count="8">
            <x v="0"/>
            <x v="1"/>
            <x v="2"/>
            <x v="3"/>
            <x v="4"/>
            <x v="5"/>
            <x v="6"/>
            <x v="7"/>
          </reference>
          <reference field="0" count="1" selected="0">
            <x v="11"/>
          </reference>
        </references>
      </pivotArea>
    </format>
    <format dxfId="6374">
      <pivotArea dataOnly="0" labelOnly="1" outline="0" fieldPosition="0">
        <references count="2">
          <reference field="4294967294" count="8">
            <x v="0"/>
            <x v="1"/>
            <x v="2"/>
            <x v="3"/>
            <x v="4"/>
            <x v="5"/>
            <x v="6"/>
            <x v="7"/>
          </reference>
          <reference field="0" count="1" selected="0">
            <x v="12"/>
          </reference>
        </references>
      </pivotArea>
    </format>
    <format dxfId="6373">
      <pivotArea dataOnly="0" labelOnly="1" outline="0" fieldPosition="0">
        <references count="2">
          <reference field="4294967294" count="8">
            <x v="0"/>
            <x v="1"/>
            <x v="2"/>
            <x v="3"/>
            <x v="4"/>
            <x v="5"/>
            <x v="6"/>
            <x v="7"/>
          </reference>
          <reference field="0" count="1" selected="0">
            <x v="13"/>
          </reference>
        </references>
      </pivotArea>
    </format>
    <format dxfId="6372">
      <pivotArea dataOnly="0" labelOnly="1" outline="0" fieldPosition="0">
        <references count="2">
          <reference field="4294967294" count="8">
            <x v="0"/>
            <x v="1"/>
            <x v="2"/>
            <x v="3"/>
            <x v="4"/>
            <x v="5"/>
            <x v="6"/>
            <x v="7"/>
          </reference>
          <reference field="0" count="1" selected="0">
            <x v="14"/>
          </reference>
        </references>
      </pivotArea>
    </format>
    <format dxfId="6371">
      <pivotArea dataOnly="0" labelOnly="1" outline="0" fieldPosition="0">
        <references count="2">
          <reference field="4294967294" count="8">
            <x v="0"/>
            <x v="1"/>
            <x v="2"/>
            <x v="3"/>
            <x v="4"/>
            <x v="5"/>
            <x v="6"/>
            <x v="7"/>
          </reference>
          <reference field="0" count="1" selected="0">
            <x v="15"/>
          </reference>
        </references>
      </pivotArea>
    </format>
    <format dxfId="6370">
      <pivotArea outline="0" fieldPosition="0"/>
    </format>
    <format dxfId="6369">
      <pivotArea dataOnly="0" labelOnly="1" outline="0" fieldPosition="0">
        <references count="1">
          <reference field="0" count="0"/>
        </references>
      </pivotArea>
    </format>
    <format dxfId="6368">
      <pivotArea dataOnly="0" labelOnly="1" outline="0" fieldPosition="0">
        <references count="2">
          <reference field="4294967294" count="8">
            <x v="0"/>
            <x v="1"/>
            <x v="2"/>
            <x v="3"/>
            <x v="4"/>
            <x v="5"/>
            <x v="6"/>
            <x v="7"/>
          </reference>
          <reference field="0" count="1" selected="0">
            <x v="0"/>
          </reference>
        </references>
      </pivotArea>
    </format>
    <format dxfId="6367">
      <pivotArea dataOnly="0" labelOnly="1" outline="0" fieldPosition="0">
        <references count="2">
          <reference field="4294967294" count="8">
            <x v="0"/>
            <x v="1"/>
            <x v="2"/>
            <x v="3"/>
            <x v="4"/>
            <x v="5"/>
            <x v="6"/>
            <x v="7"/>
          </reference>
          <reference field="0" count="1" selected="0">
            <x v="1"/>
          </reference>
        </references>
      </pivotArea>
    </format>
    <format dxfId="6366">
      <pivotArea dataOnly="0" labelOnly="1" outline="0" fieldPosition="0">
        <references count="2">
          <reference field="4294967294" count="8">
            <x v="0"/>
            <x v="1"/>
            <x v="2"/>
            <x v="3"/>
            <x v="4"/>
            <x v="5"/>
            <x v="6"/>
            <x v="7"/>
          </reference>
          <reference field="0" count="1" selected="0">
            <x v="2"/>
          </reference>
        </references>
      </pivotArea>
    </format>
    <format dxfId="6365">
      <pivotArea dataOnly="0" labelOnly="1" outline="0" fieldPosition="0">
        <references count="2">
          <reference field="4294967294" count="8">
            <x v="0"/>
            <x v="1"/>
            <x v="2"/>
            <x v="3"/>
            <x v="4"/>
            <x v="5"/>
            <x v="6"/>
            <x v="7"/>
          </reference>
          <reference field="0" count="1" selected="0">
            <x v="3"/>
          </reference>
        </references>
      </pivotArea>
    </format>
    <format dxfId="6364">
      <pivotArea dataOnly="0" labelOnly="1" outline="0" fieldPosition="0">
        <references count="2">
          <reference field="4294967294" count="8">
            <x v="0"/>
            <x v="1"/>
            <x v="2"/>
            <x v="3"/>
            <x v="4"/>
            <x v="5"/>
            <x v="6"/>
            <x v="7"/>
          </reference>
          <reference field="0" count="1" selected="0">
            <x v="4"/>
          </reference>
        </references>
      </pivotArea>
    </format>
    <format dxfId="6363">
      <pivotArea dataOnly="0" labelOnly="1" outline="0" fieldPosition="0">
        <references count="2">
          <reference field="4294967294" count="8">
            <x v="0"/>
            <x v="1"/>
            <x v="2"/>
            <x v="3"/>
            <x v="4"/>
            <x v="5"/>
            <x v="6"/>
            <x v="7"/>
          </reference>
          <reference field="0" count="1" selected="0">
            <x v="5"/>
          </reference>
        </references>
      </pivotArea>
    </format>
    <format dxfId="6362">
      <pivotArea dataOnly="0" labelOnly="1" outline="0" fieldPosition="0">
        <references count="2">
          <reference field="4294967294" count="8">
            <x v="0"/>
            <x v="1"/>
            <x v="2"/>
            <x v="3"/>
            <x v="4"/>
            <x v="5"/>
            <x v="6"/>
            <x v="7"/>
          </reference>
          <reference field="0" count="1" selected="0">
            <x v="6"/>
          </reference>
        </references>
      </pivotArea>
    </format>
    <format dxfId="6361">
      <pivotArea dataOnly="0" labelOnly="1" outline="0" fieldPosition="0">
        <references count="2">
          <reference field="4294967294" count="8">
            <x v="0"/>
            <x v="1"/>
            <x v="2"/>
            <x v="3"/>
            <x v="4"/>
            <x v="5"/>
            <x v="6"/>
            <x v="7"/>
          </reference>
          <reference field="0" count="1" selected="0">
            <x v="7"/>
          </reference>
        </references>
      </pivotArea>
    </format>
    <format dxfId="6360">
      <pivotArea dataOnly="0" labelOnly="1" outline="0" fieldPosition="0">
        <references count="2">
          <reference field="4294967294" count="8">
            <x v="0"/>
            <x v="1"/>
            <x v="2"/>
            <x v="3"/>
            <x v="4"/>
            <x v="5"/>
            <x v="6"/>
            <x v="7"/>
          </reference>
          <reference field="0" count="1" selected="0">
            <x v="8"/>
          </reference>
        </references>
      </pivotArea>
    </format>
    <format dxfId="6359">
      <pivotArea dataOnly="0" labelOnly="1" outline="0" fieldPosition="0">
        <references count="2">
          <reference field="4294967294" count="8">
            <x v="0"/>
            <x v="1"/>
            <x v="2"/>
            <x v="3"/>
            <x v="4"/>
            <x v="5"/>
            <x v="6"/>
            <x v="7"/>
          </reference>
          <reference field="0" count="1" selected="0">
            <x v="9"/>
          </reference>
        </references>
      </pivotArea>
    </format>
    <format dxfId="6358">
      <pivotArea dataOnly="0" labelOnly="1" outline="0" fieldPosition="0">
        <references count="2">
          <reference field="4294967294" count="8">
            <x v="0"/>
            <x v="1"/>
            <x v="2"/>
            <x v="3"/>
            <x v="4"/>
            <x v="5"/>
            <x v="6"/>
            <x v="7"/>
          </reference>
          <reference field="0" count="1" selected="0">
            <x v="10"/>
          </reference>
        </references>
      </pivotArea>
    </format>
    <format dxfId="6357">
      <pivotArea dataOnly="0" labelOnly="1" outline="0" fieldPosition="0">
        <references count="2">
          <reference field="4294967294" count="8">
            <x v="0"/>
            <x v="1"/>
            <x v="2"/>
            <x v="3"/>
            <x v="4"/>
            <x v="5"/>
            <x v="6"/>
            <x v="7"/>
          </reference>
          <reference field="0" count="1" selected="0">
            <x v="11"/>
          </reference>
        </references>
      </pivotArea>
    </format>
    <format dxfId="6356">
      <pivotArea dataOnly="0" labelOnly="1" outline="0" fieldPosition="0">
        <references count="2">
          <reference field="4294967294" count="8">
            <x v="0"/>
            <x v="1"/>
            <x v="2"/>
            <x v="3"/>
            <x v="4"/>
            <x v="5"/>
            <x v="6"/>
            <x v="7"/>
          </reference>
          <reference field="0" count="1" selected="0">
            <x v="12"/>
          </reference>
        </references>
      </pivotArea>
    </format>
    <format dxfId="6355">
      <pivotArea dataOnly="0" labelOnly="1" outline="0" fieldPosition="0">
        <references count="2">
          <reference field="4294967294" count="8">
            <x v="0"/>
            <x v="1"/>
            <x v="2"/>
            <x v="3"/>
            <x v="4"/>
            <x v="5"/>
            <x v="6"/>
            <x v="7"/>
          </reference>
          <reference field="0" count="1" selected="0">
            <x v="13"/>
          </reference>
        </references>
      </pivotArea>
    </format>
    <format dxfId="6354">
      <pivotArea dataOnly="0" labelOnly="1" outline="0" fieldPosition="0">
        <references count="2">
          <reference field="4294967294" count="8">
            <x v="0"/>
            <x v="1"/>
            <x v="2"/>
            <x v="3"/>
            <x v="4"/>
            <x v="5"/>
            <x v="6"/>
            <x v="7"/>
          </reference>
          <reference field="0" count="1" selected="0">
            <x v="14"/>
          </reference>
        </references>
      </pivotArea>
    </format>
    <format dxfId="6353">
      <pivotArea dataOnly="0" labelOnly="1" outline="0" fieldPosition="0">
        <references count="2">
          <reference field="4294967294" count="8">
            <x v="0"/>
            <x v="1"/>
            <x v="2"/>
            <x v="3"/>
            <x v="4"/>
            <x v="5"/>
            <x v="6"/>
            <x v="7"/>
          </reference>
          <reference field="0" count="1" selected="0">
            <x v="15"/>
          </reference>
        </references>
      </pivotArea>
    </format>
    <format dxfId="6352">
      <pivotArea field="0" type="button" dataOnly="0" labelOnly="1" outline="0" axis="axisRow" fieldPosition="0"/>
    </format>
    <format dxfId="6351">
      <pivotArea field="-2" type="button" dataOnly="0" labelOnly="1" outline="0" axis="axisRow" fieldPosition="1"/>
    </format>
    <format dxfId="6350">
      <pivotArea outline="0" fieldPosition="0">
        <references count="2">
          <reference field="4294967294" count="1" selected="0">
            <x v="7"/>
          </reference>
          <reference field="0" count="1" selected="0">
            <x v="0"/>
          </reference>
        </references>
      </pivotArea>
    </format>
    <format dxfId="6349">
      <pivotArea dataOnly="0" labelOnly="1" outline="0" offset="IV256" fieldPosition="0">
        <references count="1">
          <reference field="0" count="1">
            <x v="0"/>
          </reference>
        </references>
      </pivotArea>
    </format>
    <format dxfId="6348">
      <pivotArea dataOnly="0" labelOnly="1" outline="0" fieldPosition="0">
        <references count="2">
          <reference field="4294967294" count="1">
            <x v="7"/>
          </reference>
          <reference field="0" count="1" selected="0">
            <x v="0"/>
          </reference>
        </references>
      </pivotArea>
    </format>
    <format dxfId="6347">
      <pivotArea outline="0" fieldPosition="0">
        <references count="2">
          <reference field="4294967294" count="1" selected="0">
            <x v="1"/>
          </reference>
          <reference field="0" count="1" selected="0">
            <x v="0"/>
          </reference>
        </references>
      </pivotArea>
    </format>
    <format dxfId="6346">
      <pivotArea dataOnly="0" labelOnly="1" outline="0" fieldPosition="0">
        <references count="2">
          <reference field="4294967294" count="1">
            <x v="1"/>
          </reference>
          <reference field="0" count="1" selected="0">
            <x v="0"/>
          </reference>
        </references>
      </pivotArea>
    </format>
    <format dxfId="6345">
      <pivotArea outline="0" fieldPosition="0">
        <references count="2">
          <reference field="4294967294" count="1" selected="0">
            <x v="3"/>
          </reference>
          <reference field="0" count="1" selected="0">
            <x v="0"/>
          </reference>
        </references>
      </pivotArea>
    </format>
    <format dxfId="6344">
      <pivotArea dataOnly="0" labelOnly="1" outline="0" fieldPosition="0">
        <references count="2">
          <reference field="4294967294" count="1">
            <x v="3"/>
          </reference>
          <reference field="0" count="1" selected="0">
            <x v="0"/>
          </reference>
        </references>
      </pivotArea>
    </format>
    <format dxfId="6343">
      <pivotArea outline="0" fieldPosition="0">
        <references count="2">
          <reference field="4294967294" count="1" selected="0">
            <x v="5"/>
          </reference>
          <reference field="0" count="1" selected="0">
            <x v="0"/>
          </reference>
        </references>
      </pivotArea>
    </format>
    <format dxfId="6342">
      <pivotArea dataOnly="0" labelOnly="1" outline="0" fieldPosition="0">
        <references count="2">
          <reference field="4294967294" count="1">
            <x v="5"/>
          </reference>
          <reference field="0" count="1" selected="0">
            <x v="0"/>
          </reference>
        </references>
      </pivotArea>
    </format>
    <format dxfId="6341">
      <pivotArea type="topRight" dataOnly="0" labelOnly="1" outline="0" offset="F1" fieldPosition="0"/>
    </format>
    <format dxfId="6340">
      <pivotArea outline="0" fieldPosition="0">
        <references count="2">
          <reference field="4" count="1" selected="0">
            <x v="13"/>
          </reference>
          <reference field="70" count="1" selected="0">
            <x v="3"/>
          </reference>
        </references>
      </pivotArea>
    </format>
    <format dxfId="6339">
      <pivotArea type="topRight" dataOnly="0" labelOnly="1" outline="0" offset="K1" fieldPosition="0"/>
    </format>
    <format dxfId="6338">
      <pivotArea dataOnly="0" labelOnly="1" outline="0" offset="IV256" fieldPosition="0">
        <references count="1">
          <reference field="70" count="1">
            <x v="3"/>
          </reference>
        </references>
      </pivotArea>
    </format>
    <format dxfId="6337">
      <pivotArea dataOnly="0" labelOnly="1" outline="0" fieldPosition="0">
        <references count="2">
          <reference field="4" count="1">
            <x v="13"/>
          </reference>
          <reference field="70" count="1" selected="0">
            <x v="3"/>
          </reference>
        </references>
      </pivotArea>
    </format>
    <format dxfId="6336">
      <pivotArea outline="0" fieldPosition="0">
        <references count="2">
          <reference field="4" count="1" selected="0">
            <x v="15"/>
          </reference>
          <reference field="70" count="1" selected="0">
            <x v="4"/>
          </reference>
        </references>
      </pivotArea>
    </format>
    <format dxfId="6335">
      <pivotArea type="topRight" dataOnly="0" labelOnly="1" outline="0" offset="N1" fieldPosition="0"/>
    </format>
    <format dxfId="6334">
      <pivotArea dataOnly="0" labelOnly="1" outline="0" offset="IV256" fieldPosition="0">
        <references count="1">
          <reference field="70" count="1">
            <x v="4"/>
          </reference>
        </references>
      </pivotArea>
    </format>
    <format dxfId="6333">
      <pivotArea dataOnly="0" labelOnly="1" outline="0" fieldPosition="0">
        <references count="2">
          <reference field="4" count="1">
            <x v="15"/>
          </reference>
          <reference field="70" count="1" selected="0">
            <x v="4"/>
          </reference>
        </references>
      </pivotArea>
    </format>
    <format dxfId="6332">
      <pivotArea outline="0" fieldPosition="0">
        <references count="4">
          <reference field="4294967294" count="1" selected="0">
            <x v="2"/>
          </reference>
          <reference field="0" count="1" selected="0">
            <x v="11"/>
          </reference>
          <reference field="4" count="1" selected="0">
            <x v="2"/>
          </reference>
          <reference field="70" count="1" selected="0">
            <x v="0"/>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ype13gr5_12" connectionId="47" xr16:uid="{FF7976A4-91A9-493E-B910-CD99DF774917}"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Type13ug4_7" connectionId="91" xr16:uid="{6686E7B8-24B1-4FCD-8D5F-D308CD297168}"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Type13gr1_6" connectionId="3" xr16:uid="{999B8DD9-77D9-4EED-9F9C-3763FE7F5DA0}"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Type13ug2_7" connectionId="76" xr16:uid="{9BFAFA43-B597-4C64-8649-941A75CFA9BA}"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Type13ug5_6" connectionId="102" xr16:uid="{4CD72533-E49D-49FB-99C7-04B541A82813}"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Type13gr5_2" connectionId="45" xr16:uid="{00000000-0016-0000-0000-000009000000}"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Type13ug3_4" connectionId="83" xr16:uid="{5C1D2A99-ECF8-4D16-9356-CBD0205F96A0}"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Type13gr2_7" connectionId="14" xr16:uid="{D695833E-6244-4882-890A-41E5D08585A2}"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Type13gr1_8" connectionId="11" xr16:uid="{451FD81B-D99C-4680-BD50-E272DEA88DA5}"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Type13ug4_9" connectionId="97" xr16:uid="{D463E664-5482-44BD-9532-93BAD9F3980C}"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Type13ug5_9" connectionId="107" xr16:uid="{84105EE8-0512-4642-B419-BF9F5F465601}"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Type13gr3_3" connectionId="26" xr16:uid="{726A9724-DA8E-4239-8818-4734D157B6BE}"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Type13gr5_11" connectionId="51" xr16:uid="{A9EDB67F-2A21-4168-AB8C-634E0F4242CE}"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Type13ug3_9" connectionId="84" xr16:uid="{A1E59885-DE8D-4E0B-BD84-4E74E784CD1C}"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Type13ug1_11" connectionId="60" xr16:uid="{0EA0DD9D-E053-40A8-9050-F4F0AFA4CD6D}"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Type13ug3_6" connectionId="88" xr16:uid="{9E63A27E-0042-47F9-90F0-E7E0DC9E5A6C}"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Type13ug1_3" connectionId="59" xr16:uid="{67C772EC-C017-495B-9D38-59E14AF08090}"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Type13gr1_7" connectionId="7" xr16:uid="{7252CF4B-F1CB-45AA-9E26-87769E39DF12}"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Type13gr5_6" connectionId="53" xr16:uid="{FDD87D35-C844-45D7-83D3-AE5C186E5392}"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Type13gr5_3" connectionId="46" xr16:uid="{2F3AEC3B-9221-4736-9249-93A5109CC028}"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Type13gr3_6" connectionId="25" xr16:uid="{ABE48466-1443-461C-9EFD-F0710DDBE4D7}"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Type13gr2_4" connectionId="17" xr16:uid="{729B3614-1733-4600-8C9D-1FA2B8694438}"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Type13gr4_11" connectionId="42" xr16:uid="{341488B9-8D4F-4054-A402-02FEC8737130}"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Type13ug3_11" connectionId="86" xr16:uid="{4C4AA4B4-4F53-473D-9A5E-06376070AE3E}"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Type13gr4_9" connectionId="38" xr16:uid="{BCCEC39D-49E0-457F-A627-293FAA91B9D9}"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Type13gr4_6" connectionId="40" xr16:uid="{1184FE61-F521-43AD-B710-DC6AECE08E3D}"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Type13gr5_8" connectionId="52" xr16:uid="{0681BAA0-C4E6-4C91-AF9C-192109FEB014}"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Type13ug4_2" connectionId="90" xr16:uid="{255A6CBA-FE78-4D20-A80D-D90C1CC4F1DB}"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Type13ug3_3" connectionId="81" xr16:uid="{660170DF-EBE0-44DF-9318-D347B0A59E65}"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Type13gr3_5" connectionId="31" xr16:uid="{F43E824F-4A8E-40F8-9388-A311BF3FE69A}"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Type13gr1_11" connectionId="10" xr16:uid="{464BCE09-F07B-42DB-86A4-4CD72AE490D5}"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Type13ug2_6" connectionId="73" xr16:uid="{8B43F5D8-2CF4-4863-966F-8234D284300F}"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Type13gr5_9" connectionId="55" xr16:uid="{50250EAC-3FFB-41D9-A788-8BFB981F56E4}"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Type13gr3_9" connectionId="30" xr16:uid="{6830BE95-B888-4A7C-A6EC-B0B6659DA675}"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Type13ug4_10" connectionId="98" xr16:uid="{3FD777AA-8DDC-4072-A969-66157470DF6E}"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Type13ug1_10" connectionId="62" xr16:uid="{644F0040-AB0E-44E8-8E75-97C7D715BFFB}"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Type13gr3_1" connectionId="23" xr16:uid="{00000000-0016-0000-0000-000002000000}"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Type13gr3_11" connectionId="33" xr16:uid="{A87108C3-DB4A-4817-AEF6-28BB235F9841}"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Type13gr4_4" connectionId="39" xr16:uid="{D67BB07E-1191-4958-ABE8-89D04F2DB0EC}"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Type13gr4_1" connectionId="34" xr16:uid="{00000000-0016-0000-0000-000005000000}"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Type13gr2_2" connectionId="13" xr16:uid="{F568B3D1-E7A9-4E4E-8B8B-4516A167D636}"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Type13gr1_10" connectionId="8" xr16:uid="{11BB0400-B16A-4A15-8AB2-7F2D3D3C336B}"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Type13gr2_9" connectionId="22" xr16:uid="{47A4D2BF-6E6A-4226-82E4-0716FBE58EA8}"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Type13gr2_5" connectionId="20" xr16:uid="{9B01813D-DE39-404B-A8FF-6C85F2A1ECCF}"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Type13ug5_5" connectionId="106" xr16:uid="{DB242B18-26D7-4E9C-B511-F4AC848DE9FB}"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Type13ug2_5" connectionId="75" xr16:uid="{42E91E82-A942-4EB8-9C53-E0417AC76385}"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Type13gr2_10" connectionId="19" xr16:uid="{AC600F87-1B0B-4EAC-914B-8C09597894EA}"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Type13ug3_8" connectionId="80" xr16:uid="{5DB3348D-0B2B-4A7F-B27B-C4DD6292F2E4}"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Type13gr4_10" connectionId="36" xr16:uid="{F1368245-FF25-435C-B029-8C54FCD637AD}"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Type13ug4_5" connectionId="99" xr16:uid="{88A0AE54-B19A-4BF2-B29A-628DF4C2D7A9}"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Type13ug2_4" connectionId="72" xr16:uid="{039FFD15-F93C-46DF-9920-4D5CE0BBF4BD}"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Type13ug5_3" connectionId="103" xr16:uid="{3E0EA3FF-035B-4CFD-883F-FEF8400E0E93}"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Type13gr3_4" connectionId="28" xr16:uid="{90BA7E56-0C59-4084-A553-F8885F5F43D0}"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Type13gr2_6" connectionId="16" xr16:uid="{B4A43E28-B376-4474-8C20-98510B10C204}"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Type13ug1_6" connectionId="58" xr16:uid="{64D6994C-FF8B-4663-BB50-8AE2B3686743}"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Type13gr1_5" connectionId="9" xr16:uid="{63827463-D70E-4F12-88F7-FEC50F3DF668}"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Type13ug3_10" connectionId="87" xr16:uid="{A7DE8F59-13FB-43FA-938F-F83691EC5140}"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Type13ug1_5" connectionId="61" xr16:uid="{C98ED2EC-D6C9-4D6F-ACC6-DBFAD53A9CF0}"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Type13gr2_11" connectionId="18" xr16:uid="{6A43A41F-15EE-41BF-AB2E-06A1191EA85E}"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Type13gr2_8" connectionId="21" xr16:uid="{12E0BE9E-9B73-4BBB-BD91-81DCAA1A3092}"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Type13ug3_1" connectionId="78" xr16:uid="{00000000-0016-0000-0000-000000000000}"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Type13ug2_8" connectionId="77" xr16:uid="{D29254A8-3CA9-44C2-A8EA-41A647456457}"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Type13ug5_10" connectionId="109" xr16:uid="{DC5F1D97-8226-48F2-9A0C-BDB121D87B2E}"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Type13gr5_4" connectionId="48" xr16:uid="{3FE10E2B-10C1-48BC-8246-6FA9241A471F}"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Type13gr3_10" connectionId="29" xr16:uid="{431F8B32-382F-4166-9FBF-9E135180749D}"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Type13gr5_10" connectionId="49" xr16:uid="{E1719164-947D-4978-A375-D8081F7F0B4A}"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Type13ug4_1" connectionId="89" xr16:uid="{00000000-0016-0000-0000-000008000000}"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Type13gr3_7" connectionId="32" xr16:uid="{E5D0C0DC-6481-4502-A2CD-F6F5C033C335}"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Type13ug5_1" connectionId="100" xr16:uid="{00000000-0016-0000-0000-000007000000}"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Type13ug4_4" connectionId="94" xr16:uid="{DF003842-B128-4F99-B330-A47E41CB78E5}"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Type13ug2_11" connectionId="71" xr16:uid="{23AE890B-9F06-4EBF-AC41-CBCC50954DA7}"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Type13gr3_8" connectionId="27" xr16:uid="{F31EE023-09FE-4A7D-A8E8-325B847D7D7C}"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Type13ug1_1" connectionId="56" xr16:uid="{00000000-0016-0000-0000-000003000000}"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Type13ug5_8" connectionId="108" xr16:uid="{3F9BF04F-F124-49E3-98B2-16C9AB9EAD35}"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Type13gr1_1" connectionId="1" xr16:uid="{00000000-0016-0000-0000-000001000000}"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Type13ug2_2" connectionId="68" xr16:uid="{59AA97FB-5029-4FF3-8F78-51632F0C2943}"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Type13gr1_9" connectionId="5" xr16:uid="{32AD4762-8B54-4A8A-8773-D715BB70973B}"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Type13gr2_3" connectionId="15" xr16:uid="{E471A5E3-ADD5-41AC-828E-0315F919EEBF}"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Type13gr4_2" connectionId="35" xr16:uid="{D7CB0326-D2C7-4ECF-8433-BDD021E72B78}"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Type13gr4_8" connectionId="41" xr16:uid="{B4604366-E194-41C4-800E-5508F04FB9DE}"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Type13ug3_2" connectionId="79" xr16:uid="{D76295D9-DAA5-4B93-87BC-0AA88A0613C1}"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Type13ug1_7" connectionId="66" xr16:uid="{882ABE56-D18C-4FAC-8FD1-9D013D387D32}"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Type13ug5_11" connectionId="110" xr16:uid="{F66D8647-84F1-4DEF-BD2E-7F7EFCF70E9E}"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Type13gr5_5" connectionId="50" xr16:uid="{32E76C78-0039-403F-89B9-D5B070292550}"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Type13ug1_8" connectionId="65" xr16:uid="{87FA34FE-4204-48E8-B976-9249B0A760C1}"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Type13ug1_9" connectionId="64" xr16:uid="{ED1184D6-BCDB-4BE8-BB05-8E295E19E0E2}"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Type13ug5_7" connectionId="104" xr16:uid="{5943510D-8209-4A43-9975-5FC360B5C870}"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Type13gr3_2" connectionId="24" xr16:uid="{5F762C00-03FC-4FF7-A8FC-76DDD2D2A10E}"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Type13ug2_9" connectionId="69" xr16:uid="{C870B19E-2200-4875-974E-AC4B5F0CC805}" autoFormatId="16" applyNumberFormats="0" applyBorderFormats="0" applyFontFormats="0" applyPatternFormats="0" applyAlignmentFormats="0" applyWidthHeightFormats="0"/>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Type13gr1_3" connectionId="4" xr16:uid="{8369360A-CCDC-4052-9FBB-6DBFCE2DDA7A}" autoFormatId="16" applyNumberFormats="0" applyBorderFormats="0" applyFontFormats="0" applyPatternFormats="0" applyAlignmentFormats="0" applyWidthHeightFormats="0"/>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Type13ug1_4" connectionId="63" xr16:uid="{1F5635C5-B708-489E-A4DA-C3DBB3412ADF}" autoFormatId="16" applyNumberFormats="0" applyBorderFormats="0" applyFontFormats="0" applyPatternFormats="0" applyAlignmentFormats="0" applyWidthHeightFormats="0"/>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Type13ug4_6" connectionId="96" xr16:uid="{6DF75B17-95B4-49F5-8001-A7CB9C126C89}" autoFormatId="16" applyNumberFormats="0" applyBorderFormats="0" applyFontFormats="0" applyPatternFormats="0" applyAlignmentFormats="0" applyWidthHeightFormats="0"/>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Type13ug5_4" connectionId="105" xr16:uid="{A8AD6CBF-7824-4E29-ACE5-161F3590F982}" autoFormatId="16" applyNumberFormats="0" applyBorderFormats="0" applyFontFormats="0" applyPatternFormats="0" applyAlignmentFormats="0" applyWidthHeightFormats="0"/>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Type13ug4_8" connectionId="93" xr16:uid="{5A4106D4-8280-489C-A7FA-77AAF4D0D866}" autoFormatId="16" applyNumberFormats="0" applyBorderFormats="0" applyFontFormats="0" applyPatternFormats="0" applyAlignmentFormats="0" applyWidthHeightFormats="0"/>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Type13gr2_1" connectionId="12" xr16:uid="{00000000-0016-0000-0000-000004000000}" autoFormatId="16" applyNumberFormats="0" applyBorderFormats="0" applyFontFormats="0" applyPatternFormats="0" applyAlignmentFormats="0" applyWidthHeightFormats="0"/>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Type13ug2_3" connectionId="70" xr16:uid="{D58635D6-B4F9-4169-BBDA-B6385C748EDB}" autoFormatId="16" applyNumberFormats="0" applyBorderFormats="0" applyFontFormats="0" applyPatternFormats="0" applyAlignmentFormats="0" applyWidthHeightFormats="0"/>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Type13gr1_2" connectionId="2" xr16:uid="{D7AE5399-AFF8-445C-9005-397AEB757B8E}" autoFormatId="16" applyNumberFormats="0" applyBorderFormats="0" applyFontFormats="0" applyPatternFormats="0" applyAlignmentFormats="0" applyWidthHeightFormats="0"/>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Type13ug4_3" connectionId="92" xr16:uid="{FCB76502-4540-4913-A638-44C757A912AC}" autoFormatId="16" applyNumberFormats="0" applyBorderFormats="0" applyFontFormats="0" applyPatternFormats="0" applyAlignmentFormats="0" applyWidthHeightFormats="0"/>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Type13ug4_11" connectionId="95" xr16:uid="{819B7EDC-FC8C-4E63-A07F-E28351017190}" autoFormatId="16" applyNumberFormats="0" applyBorderFormats="0" applyFontFormats="0" applyPatternFormats="0" applyAlignmentFormats="0" applyWidthHeightFormats="0"/>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Type13ug3_5" connectionId="82" xr16:uid="{6750ECA3-1F6C-42C5-8865-EF5F7A88A52F}" autoFormatId="16" applyNumberFormats="0" applyBorderFormats="0" applyFontFormats="0" applyPatternFormats="0" applyAlignmentFormats="0" applyWidthHeightFormats="0"/>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Type13gr4_5" connectionId="44" xr16:uid="{F1AEE0D9-2F1A-4C11-8E8F-F9E35FA95A57}" autoFormatId="16" applyNumberFormats="0" applyBorderFormats="0" applyFontFormats="0" applyPatternFormats="0" applyAlignmentFormats="0" applyWidthHeightFormats="0"/>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Type13gr1_4" connectionId="6" xr16:uid="{78402A76-0029-4C4B-A0E1-3495D1CE025B}" autoFormatId="16" applyNumberFormats="0" applyBorderFormats="0" applyFontFormats="0" applyPatternFormats="0" applyAlignmentFormats="0" applyWidthHeightFormats="0"/>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Type13ug5_2" connectionId="101" xr16:uid="{21D92B78-93E6-4B1D-B995-7310D3BB1588}" autoFormatId="16" applyNumberFormats="0" applyBorderFormats="0" applyFontFormats="0" applyPatternFormats="0" applyAlignmentFormats="0" applyWidthHeightFormats="0"/>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Type13gr5_7" connectionId="54" xr16:uid="{CC147403-2898-47BA-9FEF-55B4BBE6E44A}" autoFormatId="16" applyNumberFormats="0" applyBorderFormats="0" applyFontFormats="0" applyPatternFormats="0" applyAlignmentFormats="0" applyWidthHeightFormats="0"/>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Type13ug2_10" connectionId="74" xr16:uid="{9FA1133F-826C-4082-95B7-062036E489CB}" autoFormatId="16" applyNumberFormats="0" applyBorderFormats="0" applyFontFormats="0" applyPatternFormats="0" applyAlignmentFormats="0" applyWidthHeightFormats="0"/>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Type13gr4_7" connectionId="43" xr16:uid="{7607E1DC-A6A4-4A53-81D8-6006C544DEB8}" autoFormatId="16" applyNumberFormats="0" applyBorderFormats="0" applyFontFormats="0" applyPatternFormats="0" applyAlignmentFormats="0" applyWidthHeightFormats="0"/>
</file>

<file path=xl/queryTables/queryTable107.xml><?xml version="1.0" encoding="utf-8"?>
<queryTable xmlns="http://schemas.openxmlformats.org/spreadsheetml/2006/main" xmlns:mc="http://schemas.openxmlformats.org/markup-compatibility/2006" xmlns:xr16="http://schemas.microsoft.com/office/spreadsheetml/2017/revision16" mc:Ignorable="xr16" name="Type13ug3_7" connectionId="85" xr16:uid="{DB4701E2-A84C-4D0E-82FE-C72ABFB7BD4A}" autoFormatId="16" applyNumberFormats="0" applyBorderFormats="0" applyFontFormats="0" applyPatternFormats="0" applyAlignmentFormats="0" applyWidthHeightFormats="0"/>
</file>

<file path=xl/queryTables/queryTable108.xml><?xml version="1.0" encoding="utf-8"?>
<queryTable xmlns="http://schemas.openxmlformats.org/spreadsheetml/2006/main" xmlns:mc="http://schemas.openxmlformats.org/markup-compatibility/2006" xmlns:xr16="http://schemas.microsoft.com/office/spreadsheetml/2017/revision16" mc:Ignorable="xr16" name="Type13ug1_2" connectionId="57" xr16:uid="{062D269B-97AA-4973-8793-DB3D6F9E3452}" autoFormatId="16" applyNumberFormats="0" applyBorderFormats="0" applyFontFormats="0" applyPatternFormats="0" applyAlignmentFormats="0" applyWidthHeightFormats="0"/>
</file>

<file path=xl/queryTables/queryTable109.xml><?xml version="1.0" encoding="utf-8"?>
<queryTable xmlns="http://schemas.openxmlformats.org/spreadsheetml/2006/main" xmlns:mc="http://schemas.openxmlformats.org/markup-compatibility/2006" xmlns:xr16="http://schemas.microsoft.com/office/spreadsheetml/2017/revision16" mc:Ignorable="xr16" name="Type13gr4_3" connectionId="37" xr16:uid="{8679ABE7-9AFD-46E9-BBF4-FE158014C37A}" autoFormatId="16" applyNumberFormats="0" applyBorderFormats="0" applyFontFormats="0" applyPatternFormats="0" applyAlignmentFormats="0" applyWidthHeightFormats="0"/>
</file>

<file path=xl/queryTables/queryTable110.xml><?xml version="1.0" encoding="utf-8"?>
<queryTable xmlns="http://schemas.openxmlformats.org/spreadsheetml/2006/main" xmlns:mc="http://schemas.openxmlformats.org/markup-compatibility/2006" xmlns:xr16="http://schemas.microsoft.com/office/spreadsheetml/2017/revision16" mc:Ignorable="xr16" name="Type13ug2_1" connectionId="67" xr16:uid="{00000000-0016-0000-0000-000006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6" Type="http://schemas.openxmlformats.org/officeDocument/2006/relationships/queryTable" Target="../queryTables/queryTable25.xml"/><Relationship Id="rId21" Type="http://schemas.openxmlformats.org/officeDocument/2006/relationships/queryTable" Target="../queryTables/queryTable20.xml"/><Relationship Id="rId42" Type="http://schemas.openxmlformats.org/officeDocument/2006/relationships/queryTable" Target="../queryTables/queryTable41.xml"/><Relationship Id="rId47" Type="http://schemas.openxmlformats.org/officeDocument/2006/relationships/queryTable" Target="../queryTables/queryTable46.xml"/><Relationship Id="rId63" Type="http://schemas.openxmlformats.org/officeDocument/2006/relationships/queryTable" Target="../queryTables/queryTable62.xml"/><Relationship Id="rId68" Type="http://schemas.openxmlformats.org/officeDocument/2006/relationships/queryTable" Target="../queryTables/queryTable67.xml"/><Relationship Id="rId84" Type="http://schemas.openxmlformats.org/officeDocument/2006/relationships/queryTable" Target="../queryTables/queryTable83.xml"/><Relationship Id="rId89" Type="http://schemas.openxmlformats.org/officeDocument/2006/relationships/queryTable" Target="../queryTables/queryTable88.xml"/><Relationship Id="rId112" Type="http://schemas.openxmlformats.org/officeDocument/2006/relationships/comments" Target="../comments3.xml"/><Relationship Id="rId16" Type="http://schemas.openxmlformats.org/officeDocument/2006/relationships/queryTable" Target="../queryTables/queryTable15.xml"/><Relationship Id="rId107" Type="http://schemas.openxmlformats.org/officeDocument/2006/relationships/queryTable" Target="../queryTables/queryTable106.xml"/><Relationship Id="rId11" Type="http://schemas.openxmlformats.org/officeDocument/2006/relationships/queryTable" Target="../queryTables/queryTable10.xml"/><Relationship Id="rId32" Type="http://schemas.openxmlformats.org/officeDocument/2006/relationships/queryTable" Target="../queryTables/queryTable31.xml"/><Relationship Id="rId37" Type="http://schemas.openxmlformats.org/officeDocument/2006/relationships/queryTable" Target="../queryTables/queryTable36.xml"/><Relationship Id="rId53" Type="http://schemas.openxmlformats.org/officeDocument/2006/relationships/queryTable" Target="../queryTables/queryTable52.xml"/><Relationship Id="rId58" Type="http://schemas.openxmlformats.org/officeDocument/2006/relationships/queryTable" Target="../queryTables/queryTable57.xml"/><Relationship Id="rId74" Type="http://schemas.openxmlformats.org/officeDocument/2006/relationships/queryTable" Target="../queryTables/queryTable73.xml"/><Relationship Id="rId79" Type="http://schemas.openxmlformats.org/officeDocument/2006/relationships/queryTable" Target="../queryTables/queryTable78.xml"/><Relationship Id="rId102" Type="http://schemas.openxmlformats.org/officeDocument/2006/relationships/queryTable" Target="../queryTables/queryTable101.xml"/><Relationship Id="rId5" Type="http://schemas.openxmlformats.org/officeDocument/2006/relationships/queryTable" Target="../queryTables/queryTable4.xml"/><Relationship Id="rId90" Type="http://schemas.openxmlformats.org/officeDocument/2006/relationships/queryTable" Target="../queryTables/queryTable89.xml"/><Relationship Id="rId95" Type="http://schemas.openxmlformats.org/officeDocument/2006/relationships/queryTable" Target="../queryTables/queryTable94.xml"/><Relationship Id="rId22" Type="http://schemas.openxmlformats.org/officeDocument/2006/relationships/queryTable" Target="../queryTables/queryTable21.xml"/><Relationship Id="rId27" Type="http://schemas.openxmlformats.org/officeDocument/2006/relationships/queryTable" Target="../queryTables/queryTable26.xml"/><Relationship Id="rId43" Type="http://schemas.openxmlformats.org/officeDocument/2006/relationships/queryTable" Target="../queryTables/queryTable42.xml"/><Relationship Id="rId48" Type="http://schemas.openxmlformats.org/officeDocument/2006/relationships/queryTable" Target="../queryTables/queryTable47.xml"/><Relationship Id="rId64" Type="http://schemas.openxmlformats.org/officeDocument/2006/relationships/queryTable" Target="../queryTables/queryTable63.xml"/><Relationship Id="rId69" Type="http://schemas.openxmlformats.org/officeDocument/2006/relationships/queryTable" Target="../queryTables/queryTable68.xml"/><Relationship Id="rId80" Type="http://schemas.openxmlformats.org/officeDocument/2006/relationships/queryTable" Target="../queryTables/queryTable79.xml"/><Relationship Id="rId85" Type="http://schemas.openxmlformats.org/officeDocument/2006/relationships/queryTable" Target="../queryTables/queryTable84.xml"/><Relationship Id="rId12" Type="http://schemas.openxmlformats.org/officeDocument/2006/relationships/queryTable" Target="../queryTables/queryTable11.xml"/><Relationship Id="rId17" Type="http://schemas.openxmlformats.org/officeDocument/2006/relationships/queryTable" Target="../queryTables/queryTable16.xml"/><Relationship Id="rId33" Type="http://schemas.openxmlformats.org/officeDocument/2006/relationships/queryTable" Target="../queryTables/queryTable32.xml"/><Relationship Id="rId38" Type="http://schemas.openxmlformats.org/officeDocument/2006/relationships/queryTable" Target="../queryTables/queryTable37.xml"/><Relationship Id="rId59" Type="http://schemas.openxmlformats.org/officeDocument/2006/relationships/queryTable" Target="../queryTables/queryTable58.xml"/><Relationship Id="rId103" Type="http://schemas.openxmlformats.org/officeDocument/2006/relationships/queryTable" Target="../queryTables/queryTable102.xml"/><Relationship Id="rId108" Type="http://schemas.openxmlformats.org/officeDocument/2006/relationships/queryTable" Target="../queryTables/queryTable107.xml"/><Relationship Id="rId54" Type="http://schemas.openxmlformats.org/officeDocument/2006/relationships/queryTable" Target="../queryTables/queryTable53.xml"/><Relationship Id="rId70" Type="http://schemas.openxmlformats.org/officeDocument/2006/relationships/queryTable" Target="../queryTables/queryTable69.xml"/><Relationship Id="rId75" Type="http://schemas.openxmlformats.org/officeDocument/2006/relationships/queryTable" Target="../queryTables/queryTable74.xml"/><Relationship Id="rId91" Type="http://schemas.openxmlformats.org/officeDocument/2006/relationships/queryTable" Target="../queryTables/queryTable90.xml"/><Relationship Id="rId96" Type="http://schemas.openxmlformats.org/officeDocument/2006/relationships/queryTable" Target="../queryTables/queryTable95.xml"/><Relationship Id="rId1" Type="http://schemas.openxmlformats.org/officeDocument/2006/relationships/vmlDrawing" Target="../drawings/vmlDrawing3.vml"/><Relationship Id="rId6" Type="http://schemas.openxmlformats.org/officeDocument/2006/relationships/queryTable" Target="../queryTables/queryTable5.xml"/><Relationship Id="rId15" Type="http://schemas.openxmlformats.org/officeDocument/2006/relationships/queryTable" Target="../queryTables/queryTable14.xml"/><Relationship Id="rId23" Type="http://schemas.openxmlformats.org/officeDocument/2006/relationships/queryTable" Target="../queryTables/queryTable22.xml"/><Relationship Id="rId28" Type="http://schemas.openxmlformats.org/officeDocument/2006/relationships/queryTable" Target="../queryTables/queryTable27.xml"/><Relationship Id="rId36" Type="http://schemas.openxmlformats.org/officeDocument/2006/relationships/queryTable" Target="../queryTables/queryTable35.xml"/><Relationship Id="rId49" Type="http://schemas.openxmlformats.org/officeDocument/2006/relationships/queryTable" Target="../queryTables/queryTable48.xml"/><Relationship Id="rId57" Type="http://schemas.openxmlformats.org/officeDocument/2006/relationships/queryTable" Target="../queryTables/queryTable56.xml"/><Relationship Id="rId106" Type="http://schemas.openxmlformats.org/officeDocument/2006/relationships/queryTable" Target="../queryTables/queryTable105.xml"/><Relationship Id="rId10" Type="http://schemas.openxmlformats.org/officeDocument/2006/relationships/queryTable" Target="../queryTables/queryTable9.xml"/><Relationship Id="rId31" Type="http://schemas.openxmlformats.org/officeDocument/2006/relationships/queryTable" Target="../queryTables/queryTable30.xml"/><Relationship Id="rId44" Type="http://schemas.openxmlformats.org/officeDocument/2006/relationships/queryTable" Target="../queryTables/queryTable43.xml"/><Relationship Id="rId52" Type="http://schemas.openxmlformats.org/officeDocument/2006/relationships/queryTable" Target="../queryTables/queryTable51.xml"/><Relationship Id="rId60" Type="http://schemas.openxmlformats.org/officeDocument/2006/relationships/queryTable" Target="../queryTables/queryTable59.xml"/><Relationship Id="rId65" Type="http://schemas.openxmlformats.org/officeDocument/2006/relationships/queryTable" Target="../queryTables/queryTable64.xml"/><Relationship Id="rId73" Type="http://schemas.openxmlformats.org/officeDocument/2006/relationships/queryTable" Target="../queryTables/queryTable72.xml"/><Relationship Id="rId78" Type="http://schemas.openxmlformats.org/officeDocument/2006/relationships/queryTable" Target="../queryTables/queryTable77.xml"/><Relationship Id="rId81" Type="http://schemas.openxmlformats.org/officeDocument/2006/relationships/queryTable" Target="../queryTables/queryTable80.xml"/><Relationship Id="rId86" Type="http://schemas.openxmlformats.org/officeDocument/2006/relationships/queryTable" Target="../queryTables/queryTable85.xml"/><Relationship Id="rId94" Type="http://schemas.openxmlformats.org/officeDocument/2006/relationships/queryTable" Target="../queryTables/queryTable93.xml"/><Relationship Id="rId99" Type="http://schemas.openxmlformats.org/officeDocument/2006/relationships/queryTable" Target="../queryTables/queryTable98.xml"/><Relationship Id="rId101" Type="http://schemas.openxmlformats.org/officeDocument/2006/relationships/queryTable" Target="../queryTables/queryTable100.xml"/><Relationship Id="rId4" Type="http://schemas.openxmlformats.org/officeDocument/2006/relationships/queryTable" Target="../queryTables/queryTable3.xml"/><Relationship Id="rId9" Type="http://schemas.openxmlformats.org/officeDocument/2006/relationships/queryTable" Target="../queryTables/queryTable8.xml"/><Relationship Id="rId13" Type="http://schemas.openxmlformats.org/officeDocument/2006/relationships/queryTable" Target="../queryTables/queryTable12.xml"/><Relationship Id="rId18" Type="http://schemas.openxmlformats.org/officeDocument/2006/relationships/queryTable" Target="../queryTables/queryTable17.xml"/><Relationship Id="rId39" Type="http://schemas.openxmlformats.org/officeDocument/2006/relationships/queryTable" Target="../queryTables/queryTable38.xml"/><Relationship Id="rId109" Type="http://schemas.openxmlformats.org/officeDocument/2006/relationships/queryTable" Target="../queryTables/queryTable108.xml"/><Relationship Id="rId34" Type="http://schemas.openxmlformats.org/officeDocument/2006/relationships/queryTable" Target="../queryTables/queryTable33.xml"/><Relationship Id="rId50" Type="http://schemas.openxmlformats.org/officeDocument/2006/relationships/queryTable" Target="../queryTables/queryTable49.xml"/><Relationship Id="rId55" Type="http://schemas.openxmlformats.org/officeDocument/2006/relationships/queryTable" Target="../queryTables/queryTable54.xml"/><Relationship Id="rId76" Type="http://schemas.openxmlformats.org/officeDocument/2006/relationships/queryTable" Target="../queryTables/queryTable75.xml"/><Relationship Id="rId97" Type="http://schemas.openxmlformats.org/officeDocument/2006/relationships/queryTable" Target="../queryTables/queryTable96.xml"/><Relationship Id="rId104" Type="http://schemas.openxmlformats.org/officeDocument/2006/relationships/queryTable" Target="../queryTables/queryTable103.xml"/><Relationship Id="rId7" Type="http://schemas.openxmlformats.org/officeDocument/2006/relationships/queryTable" Target="../queryTables/queryTable6.xml"/><Relationship Id="rId71" Type="http://schemas.openxmlformats.org/officeDocument/2006/relationships/queryTable" Target="../queryTables/queryTable70.xml"/><Relationship Id="rId92" Type="http://schemas.openxmlformats.org/officeDocument/2006/relationships/queryTable" Target="../queryTables/queryTable91.xml"/><Relationship Id="rId2" Type="http://schemas.openxmlformats.org/officeDocument/2006/relationships/queryTable" Target="../queryTables/queryTable1.xml"/><Relationship Id="rId29" Type="http://schemas.openxmlformats.org/officeDocument/2006/relationships/queryTable" Target="../queryTables/queryTable28.xml"/><Relationship Id="rId24" Type="http://schemas.openxmlformats.org/officeDocument/2006/relationships/queryTable" Target="../queryTables/queryTable23.xml"/><Relationship Id="rId40" Type="http://schemas.openxmlformats.org/officeDocument/2006/relationships/queryTable" Target="../queryTables/queryTable39.xml"/><Relationship Id="rId45" Type="http://schemas.openxmlformats.org/officeDocument/2006/relationships/queryTable" Target="../queryTables/queryTable44.xml"/><Relationship Id="rId66" Type="http://schemas.openxmlformats.org/officeDocument/2006/relationships/queryTable" Target="../queryTables/queryTable65.xml"/><Relationship Id="rId87" Type="http://schemas.openxmlformats.org/officeDocument/2006/relationships/queryTable" Target="../queryTables/queryTable86.xml"/><Relationship Id="rId110" Type="http://schemas.openxmlformats.org/officeDocument/2006/relationships/queryTable" Target="../queryTables/queryTable109.xml"/><Relationship Id="rId61" Type="http://schemas.openxmlformats.org/officeDocument/2006/relationships/queryTable" Target="../queryTables/queryTable60.xml"/><Relationship Id="rId82" Type="http://schemas.openxmlformats.org/officeDocument/2006/relationships/queryTable" Target="../queryTables/queryTable81.xml"/><Relationship Id="rId19" Type="http://schemas.openxmlformats.org/officeDocument/2006/relationships/queryTable" Target="../queryTables/queryTable18.xml"/><Relationship Id="rId14" Type="http://schemas.openxmlformats.org/officeDocument/2006/relationships/queryTable" Target="../queryTables/queryTable13.xml"/><Relationship Id="rId30" Type="http://schemas.openxmlformats.org/officeDocument/2006/relationships/queryTable" Target="../queryTables/queryTable29.xml"/><Relationship Id="rId35" Type="http://schemas.openxmlformats.org/officeDocument/2006/relationships/queryTable" Target="../queryTables/queryTable34.xml"/><Relationship Id="rId56" Type="http://schemas.openxmlformats.org/officeDocument/2006/relationships/queryTable" Target="../queryTables/queryTable55.xml"/><Relationship Id="rId77" Type="http://schemas.openxmlformats.org/officeDocument/2006/relationships/queryTable" Target="../queryTables/queryTable76.xml"/><Relationship Id="rId100" Type="http://schemas.openxmlformats.org/officeDocument/2006/relationships/queryTable" Target="../queryTables/queryTable99.xml"/><Relationship Id="rId105" Type="http://schemas.openxmlformats.org/officeDocument/2006/relationships/queryTable" Target="../queryTables/queryTable104.xml"/><Relationship Id="rId8" Type="http://schemas.openxmlformats.org/officeDocument/2006/relationships/queryTable" Target="../queryTables/queryTable7.xml"/><Relationship Id="rId51" Type="http://schemas.openxmlformats.org/officeDocument/2006/relationships/queryTable" Target="../queryTables/queryTable50.xml"/><Relationship Id="rId72" Type="http://schemas.openxmlformats.org/officeDocument/2006/relationships/queryTable" Target="../queryTables/queryTable71.xml"/><Relationship Id="rId93" Type="http://schemas.openxmlformats.org/officeDocument/2006/relationships/queryTable" Target="../queryTables/queryTable92.xml"/><Relationship Id="rId98" Type="http://schemas.openxmlformats.org/officeDocument/2006/relationships/queryTable" Target="../queryTables/queryTable97.xml"/><Relationship Id="rId3" Type="http://schemas.openxmlformats.org/officeDocument/2006/relationships/queryTable" Target="../queryTables/queryTable2.xml"/><Relationship Id="rId25" Type="http://schemas.openxmlformats.org/officeDocument/2006/relationships/queryTable" Target="../queryTables/queryTable24.xml"/><Relationship Id="rId46" Type="http://schemas.openxmlformats.org/officeDocument/2006/relationships/queryTable" Target="../queryTables/queryTable45.xml"/><Relationship Id="rId67" Type="http://schemas.openxmlformats.org/officeDocument/2006/relationships/queryTable" Target="../queryTables/queryTable66.xml"/><Relationship Id="rId20" Type="http://schemas.openxmlformats.org/officeDocument/2006/relationships/queryTable" Target="../queryTables/queryTable19.xml"/><Relationship Id="rId41" Type="http://schemas.openxmlformats.org/officeDocument/2006/relationships/queryTable" Target="../queryTables/queryTable40.xml"/><Relationship Id="rId62" Type="http://schemas.openxmlformats.org/officeDocument/2006/relationships/queryTable" Target="../queryTables/queryTable61.xml"/><Relationship Id="rId83" Type="http://schemas.openxmlformats.org/officeDocument/2006/relationships/queryTable" Target="../queryTables/queryTable82.xml"/><Relationship Id="rId88" Type="http://schemas.openxmlformats.org/officeDocument/2006/relationships/queryTable" Target="../queryTables/queryTable87.xml"/><Relationship Id="rId111" Type="http://schemas.openxmlformats.org/officeDocument/2006/relationships/queryTable" Target="../queryTables/queryTable110.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CE8C3-9555-4707-B53A-A5F3C171EA40}">
  <sheetPr>
    <tabColor rgb="FFC00000"/>
  </sheetPr>
  <dimension ref="A1:AN116"/>
  <sheetViews>
    <sheetView showZeros="0" view="pageBreakPreview" topLeftCell="A43" zoomScaleNormal="100" zoomScaleSheetLayoutView="100" workbookViewId="0">
      <selection activeCell="A54" sqref="A54:P54"/>
    </sheetView>
  </sheetViews>
  <sheetFormatPr defaultColWidth="8.88671875" defaultRowHeight="15"/>
  <cols>
    <col min="1" max="1" width="9.88671875" style="54" customWidth="1"/>
    <col min="2" max="16" width="5.5546875" style="54" customWidth="1"/>
    <col min="17" max="19" width="0" style="54" hidden="1" customWidth="1"/>
    <col min="20" max="23" width="8.88671875" style="54"/>
    <col min="24" max="24" width="10.33203125" style="54" customWidth="1"/>
    <col min="25" max="16384" width="8.88671875" style="54"/>
  </cols>
  <sheetData>
    <row r="1" spans="1:33" ht="18">
      <c r="A1" s="636" t="s">
        <v>682</v>
      </c>
      <c r="B1" s="636"/>
      <c r="C1" s="636"/>
      <c r="D1" s="636"/>
      <c r="E1" s="636"/>
      <c r="F1" s="636"/>
      <c r="G1" s="636"/>
      <c r="H1" s="636"/>
      <c r="I1" s="636"/>
      <c r="J1" s="636"/>
      <c r="K1" s="636"/>
      <c r="L1" s="636"/>
      <c r="M1" s="636"/>
      <c r="N1" s="636"/>
      <c r="O1" s="636"/>
      <c r="P1" s="636"/>
    </row>
    <row r="2" spans="1:33" s="134" customFormat="1" ht="12.75">
      <c r="A2" s="135"/>
      <c r="B2" s="131"/>
      <c r="C2" s="131"/>
      <c r="D2" s="131"/>
      <c r="E2" s="131"/>
      <c r="F2" s="131"/>
      <c r="G2" s="131"/>
      <c r="H2" s="131"/>
      <c r="I2" s="131"/>
      <c r="J2" s="131"/>
      <c r="K2" s="131"/>
      <c r="L2" s="131"/>
      <c r="M2" s="131"/>
      <c r="N2" s="131"/>
      <c r="O2" s="131"/>
      <c r="P2" s="131"/>
    </row>
    <row r="3" spans="1:33" ht="15.75">
      <c r="A3" s="330" t="s">
        <v>958</v>
      </c>
      <c r="B3" s="131"/>
      <c r="C3" s="131"/>
      <c r="D3" s="131"/>
      <c r="E3" s="131"/>
      <c r="F3" s="131"/>
      <c r="G3" s="225"/>
      <c r="H3" s="225"/>
      <c r="I3" s="225"/>
      <c r="J3" s="225"/>
      <c r="K3" s="225"/>
      <c r="L3" s="225"/>
      <c r="M3" s="225"/>
      <c r="N3" s="225"/>
      <c r="O3" s="225"/>
      <c r="P3" s="225"/>
    </row>
    <row r="4" spans="1:33">
      <c r="A4" s="268"/>
      <c r="B4" s="229"/>
      <c r="C4" s="229"/>
      <c r="D4" s="229"/>
      <c r="E4" s="229"/>
      <c r="F4" s="229"/>
      <c r="G4" s="229"/>
      <c r="H4" s="229"/>
      <c r="I4" s="229"/>
      <c r="J4" s="229"/>
      <c r="K4" s="229"/>
      <c r="L4" s="229"/>
    </row>
    <row r="5" spans="1:33" s="235" customFormat="1">
      <c r="A5" s="269"/>
      <c r="B5" s="637" t="s">
        <v>517</v>
      </c>
      <c r="C5" s="637"/>
      <c r="D5" s="637"/>
      <c r="E5" s="637"/>
      <c r="F5" s="637"/>
      <c r="G5" s="637"/>
      <c r="H5" s="638"/>
      <c r="I5" s="639" t="s">
        <v>520</v>
      </c>
      <c r="J5" s="637"/>
      <c r="K5" s="637"/>
      <c r="L5" s="637"/>
      <c r="M5" s="637"/>
      <c r="N5" s="157" t="s">
        <v>536</v>
      </c>
      <c r="O5" s="146"/>
      <c r="P5" s="146"/>
      <c r="R5" s="54"/>
      <c r="S5" s="54"/>
      <c r="T5" s="54"/>
      <c r="U5" s="54"/>
      <c r="V5" s="54"/>
      <c r="W5" s="54"/>
      <c r="X5" s="54"/>
      <c r="Y5" s="54"/>
      <c r="Z5" s="54"/>
      <c r="AA5" s="54"/>
      <c r="AB5" s="54"/>
      <c r="AC5" s="54"/>
      <c r="AD5" s="54"/>
      <c r="AE5" s="54"/>
      <c r="AF5" s="54"/>
      <c r="AG5" s="54"/>
    </row>
    <row r="6" spans="1:33" s="239" customFormat="1" ht="24.75">
      <c r="A6" s="270"/>
      <c r="B6" s="152">
        <v>1</v>
      </c>
      <c r="C6" s="152">
        <v>2</v>
      </c>
      <c r="D6" s="152">
        <v>3</v>
      </c>
      <c r="E6" s="152">
        <v>4</v>
      </c>
      <c r="F6" s="152">
        <v>5</v>
      </c>
      <c r="G6" s="152">
        <v>6</v>
      </c>
      <c r="H6" s="271" t="s">
        <v>694</v>
      </c>
      <c r="I6" s="272" t="s">
        <v>684</v>
      </c>
      <c r="J6" s="152">
        <v>1</v>
      </c>
      <c r="K6" s="152">
        <v>2</v>
      </c>
      <c r="L6" s="152">
        <v>3</v>
      </c>
      <c r="M6" s="151" t="s">
        <v>685</v>
      </c>
      <c r="N6" s="151">
        <v>1</v>
      </c>
      <c r="O6" s="152">
        <v>2</v>
      </c>
      <c r="P6" s="151" t="s">
        <v>685</v>
      </c>
      <c r="R6" s="54"/>
      <c r="S6" s="54"/>
      <c r="T6" s="54"/>
      <c r="U6" s="54"/>
      <c r="V6" s="54"/>
      <c r="W6" s="54"/>
      <c r="X6" s="54"/>
      <c r="Y6" s="54"/>
      <c r="Z6" s="54"/>
      <c r="AA6" s="54"/>
      <c r="AB6" s="54"/>
      <c r="AC6" s="54"/>
      <c r="AD6" s="54"/>
      <c r="AE6" s="54"/>
      <c r="AF6" s="54"/>
      <c r="AG6" s="54"/>
    </row>
    <row r="7" spans="1:33">
      <c r="A7" s="134" t="s">
        <v>618</v>
      </c>
      <c r="B7" s="240">
        <f>+'NEW...Tables 91-112'!B41+'NEW...Tables 91-112'!C41</f>
        <v>70.236919492346289</v>
      </c>
      <c r="C7" s="240">
        <f>+'NEW...Tables 91-112'!B72+'NEW...Tables 91-112'!C72</f>
        <v>61.269500107233114</v>
      </c>
      <c r="D7" s="240">
        <f>+'NEW...Tables 91-112'!B102+'NEW...Tables 91-112'!C102</f>
        <v>48.197428445398977</v>
      </c>
      <c r="E7" s="240">
        <f>+'NEW...Tables 91-112'!B133+'NEW...Tables 91-112'!C133</f>
        <v>41.744951883967147</v>
      </c>
      <c r="F7" s="240">
        <f>+'NEW...Tables 91-112'!B164+'NEW...Tables 91-112'!C164</f>
        <v>40.990708544718693</v>
      </c>
      <c r="G7" s="240">
        <f>+'NEW...Tables 91-112'!B194+'NEW...Tables 91-112'!C194</f>
        <v>0</v>
      </c>
      <c r="H7" s="245">
        <f>+'NEW...Tables 91-112'!B9+'NEW...Tables 91-112'!C9</f>
        <v>61.289426165641608</v>
      </c>
      <c r="I7" s="242">
        <f>+'NEW...Tables 91-112'!B256+'NEW...Tables 91-112'!C256</f>
        <v>0</v>
      </c>
      <c r="J7" s="240">
        <f>+'NEW...Tables 91-112'!B287+'NEW...Tables 91-112'!C287</f>
        <v>39.40674664594534</v>
      </c>
      <c r="K7" s="240">
        <f>+'NEW...Tables 91-112'!B318+'NEW...Tables 91-112'!C318</f>
        <v>54.95708262785508</v>
      </c>
      <c r="L7" s="240">
        <f>+'NEW...Tables 91-112'!B349+'NEW...Tables 91-112'!C349</f>
        <v>45.214640528592618</v>
      </c>
      <c r="M7" s="242">
        <f>+'NEW...Tables 91-112'!B225+'NEW...Tables 91-112'!C225</f>
        <v>48.081117037640681</v>
      </c>
      <c r="N7" s="243">
        <f>+'NEW...Tables 91-112'!B410+'NEW...Tables 91-112'!C410</f>
        <v>45.402791072598113</v>
      </c>
      <c r="O7" s="169">
        <f>+'NEW...Tables 91-112'!B440+'NEW...Tables 91-112'!C440</f>
        <v>77.776323367715591</v>
      </c>
      <c r="P7" s="242">
        <f>+'NEW...Tables 91-112'!B380+'NEW...Tables 91-112'!C380</f>
        <v>61.277857656362329</v>
      </c>
      <c r="Q7" s="134"/>
      <c r="R7" s="134"/>
      <c r="V7" s="134"/>
    </row>
    <row r="8" spans="1:33">
      <c r="A8" s="134" t="s">
        <v>619</v>
      </c>
      <c r="B8" s="240">
        <f>+'NEW...Tables 91-112'!B42+'NEW...Tables 91-112'!C42</f>
        <v>25.047936761854466</v>
      </c>
      <c r="C8" s="240">
        <f>+'NEW...Tables 91-112'!B73+'NEW...Tables 91-112'!C73</f>
        <v>10.960970517847141</v>
      </c>
      <c r="D8" s="240">
        <f>+'NEW...Tables 91-112'!B103+'NEW...Tables 91-112'!C103</f>
        <v>37.091683555844625</v>
      </c>
      <c r="E8" s="240">
        <f>+'NEW...Tables 91-112'!B134+'NEW...Tables 91-112'!C134</f>
        <v>35.031028120981716</v>
      </c>
      <c r="F8" s="240">
        <f>+'NEW...Tables 91-112'!B165+'NEW...Tables 91-112'!C165</f>
        <v>0</v>
      </c>
      <c r="G8" s="240">
        <f>+'NEW...Tables 91-112'!B195+'NEW...Tables 91-112'!C195</f>
        <v>17.118668317784213</v>
      </c>
      <c r="H8" s="245">
        <f>+'NEW...Tables 91-112'!B10+'NEW...Tables 91-112'!C10</f>
        <v>28.410471373295778</v>
      </c>
      <c r="I8" s="242">
        <f>+'NEW...Tables 91-112'!B257+'NEW...Tables 91-112'!C257</f>
        <v>0</v>
      </c>
      <c r="J8" s="240">
        <f>+'NEW...Tables 91-112'!B288+'NEW...Tables 91-112'!C288</f>
        <v>14.679952839158712</v>
      </c>
      <c r="K8" s="240">
        <f>+'NEW...Tables 91-112'!B319+'NEW...Tables 91-112'!C319</f>
        <v>40.452780156988815</v>
      </c>
      <c r="L8" s="240">
        <f>+'NEW...Tables 91-112'!B350+'NEW...Tables 91-112'!C350</f>
        <v>50.997958548672301</v>
      </c>
      <c r="M8" s="242">
        <f>+'NEW...Tables 91-112'!B226+'NEW...Tables 91-112'!C226</f>
        <v>43.070257020816669</v>
      </c>
      <c r="N8" s="243">
        <f>+'NEW...Tables 91-112'!B411+'NEW...Tables 91-112'!C411</f>
        <v>0</v>
      </c>
      <c r="O8" s="169">
        <f>+'NEW...Tables 91-112'!B441+'NEW...Tables 91-112'!C441</f>
        <v>0</v>
      </c>
      <c r="P8" s="242">
        <f>+'NEW...Tables 91-112'!B381+'NEW...Tables 91-112'!C381</f>
        <v>0</v>
      </c>
    </row>
    <row r="9" spans="1:33">
      <c r="A9" s="134" t="s">
        <v>620</v>
      </c>
      <c r="B9" s="240">
        <f>+'NEW...Tables 91-112'!B43+'NEW...Tables 91-112'!C43</f>
        <v>39.889733648859576</v>
      </c>
      <c r="C9" s="240">
        <f>+'NEW...Tables 91-112'!B74+'NEW...Tables 91-112'!C74</f>
        <v>0</v>
      </c>
      <c r="D9" s="240">
        <f>+'NEW...Tables 91-112'!B104+'NEW...Tables 91-112'!C104</f>
        <v>71.89617477865815</v>
      </c>
      <c r="E9" s="240">
        <f>+'NEW...Tables 91-112'!B135+'NEW...Tables 91-112'!C135</f>
        <v>0</v>
      </c>
      <c r="F9" s="240">
        <f>+'NEW...Tables 91-112'!B166+'NEW...Tables 91-112'!C166</f>
        <v>0</v>
      </c>
      <c r="G9" s="240">
        <f>+'NEW...Tables 91-112'!B196+'NEW...Tables 91-112'!C196</f>
        <v>0</v>
      </c>
      <c r="H9" s="245">
        <f>+'NEW...Tables 91-112'!B11+'NEW...Tables 91-112'!C11</f>
        <v>45.585500320081238</v>
      </c>
      <c r="I9" s="242">
        <f>+'NEW...Tables 91-112'!B258+'NEW...Tables 91-112'!C258</f>
        <v>7.6725120561157389</v>
      </c>
      <c r="J9" s="240">
        <f>+'NEW...Tables 91-112'!B289+'NEW...Tables 91-112'!C289</f>
        <v>0</v>
      </c>
      <c r="K9" s="240">
        <f>+'NEW...Tables 91-112'!B320+'NEW...Tables 91-112'!C320</f>
        <v>0</v>
      </c>
      <c r="L9" s="240">
        <f>+'NEW...Tables 91-112'!B351+'NEW...Tables 91-112'!C351</f>
        <v>0</v>
      </c>
      <c r="M9" s="242">
        <f>+'NEW...Tables 91-112'!B227+'NEW...Tables 91-112'!C227</f>
        <v>7.6725120561157389</v>
      </c>
      <c r="N9" s="243">
        <f>+'NEW...Tables 91-112'!B412+'NEW...Tables 91-112'!C412</f>
        <v>0</v>
      </c>
      <c r="O9" s="169">
        <f>+'NEW...Tables 91-112'!B442+'NEW...Tables 91-112'!C442</f>
        <v>0</v>
      </c>
      <c r="P9" s="242">
        <f>+'NEW...Tables 91-112'!B382+'NEW...Tables 91-112'!C382</f>
        <v>0</v>
      </c>
    </row>
    <row r="10" spans="1:33">
      <c r="A10" s="134" t="s">
        <v>621</v>
      </c>
      <c r="B10" s="240">
        <f>+'NEW...Tables 91-112'!B44+'NEW...Tables 91-112'!C44</f>
        <v>0</v>
      </c>
      <c r="C10" s="240">
        <f>+'NEW...Tables 91-112'!B75+'NEW...Tables 91-112'!C75</f>
        <v>0</v>
      </c>
      <c r="D10" s="240">
        <f>+'NEW...Tables 91-112'!B105+'NEW...Tables 91-112'!C105</f>
        <v>0</v>
      </c>
      <c r="E10" s="240">
        <f>+'NEW...Tables 91-112'!B136+'NEW...Tables 91-112'!C136</f>
        <v>0</v>
      </c>
      <c r="F10" s="240">
        <f>+'NEW...Tables 91-112'!B167+'NEW...Tables 91-112'!C167</f>
        <v>0</v>
      </c>
      <c r="G10" s="240">
        <f>+'NEW...Tables 91-112'!B197+'NEW...Tables 91-112'!C197</f>
        <v>0</v>
      </c>
      <c r="H10" s="245">
        <f>+'NEW...Tables 91-112'!B12+'NEW...Tables 91-112'!C12</f>
        <v>0</v>
      </c>
      <c r="I10" s="242">
        <f>+'NEW...Tables 91-112'!B259+'NEW...Tables 91-112'!C259</f>
        <v>30.064729416309646</v>
      </c>
      <c r="J10" s="240">
        <f>+'NEW...Tables 91-112'!B290+'NEW...Tables 91-112'!C290</f>
        <v>26.367538278895619</v>
      </c>
      <c r="K10" s="240">
        <f>+'NEW...Tables 91-112'!B321+'NEW...Tables 91-112'!C321</f>
        <v>0</v>
      </c>
      <c r="L10" s="240">
        <f>+'NEW...Tables 91-112'!B352+'NEW...Tables 91-112'!C352</f>
        <v>40.905556825977591</v>
      </c>
      <c r="M10" s="242">
        <f>+'NEW...Tables 91-112'!B228+'NEW...Tables 91-112'!C228</f>
        <v>29.760692971730872</v>
      </c>
      <c r="N10" s="243">
        <f>+'NEW...Tables 91-112'!B413+'NEW...Tables 91-112'!C413</f>
        <v>0</v>
      </c>
      <c r="O10" s="169">
        <f>+'NEW...Tables 91-112'!B443+'NEW...Tables 91-112'!C443</f>
        <v>0</v>
      </c>
      <c r="P10" s="242">
        <f>+'NEW...Tables 91-112'!B383+'NEW...Tables 91-112'!C383</f>
        <v>0</v>
      </c>
    </row>
    <row r="11" spans="1:33">
      <c r="A11" s="134"/>
      <c r="B11" s="240"/>
      <c r="C11" s="240"/>
      <c r="D11" s="240"/>
      <c r="E11" s="240"/>
      <c r="F11" s="240"/>
      <c r="G11" s="240"/>
      <c r="H11" s="245"/>
      <c r="I11" s="242"/>
      <c r="J11" s="240"/>
      <c r="K11" s="240"/>
      <c r="L11" s="240"/>
      <c r="M11" s="242"/>
      <c r="N11" s="243"/>
      <c r="O11" s="169"/>
      <c r="P11" s="242"/>
    </row>
    <row r="12" spans="1:33">
      <c r="A12" s="134" t="s">
        <v>622</v>
      </c>
      <c r="B12" s="240">
        <f>+'NEW...Tables 91-112'!B46+'NEW...Tables 91-112'!C46</f>
        <v>55.190357403373987</v>
      </c>
      <c r="C12" s="240">
        <f>+'NEW...Tables 91-112'!B77+'NEW...Tables 91-112'!C77</f>
        <v>42.338233514569104</v>
      </c>
      <c r="D12" s="240">
        <f>+'NEW...Tables 91-112'!B107+'NEW...Tables 91-112'!C107</f>
        <v>52.124894535200561</v>
      </c>
      <c r="E12" s="240">
        <f>+'NEW...Tables 91-112'!B138+'NEW...Tables 91-112'!C138</f>
        <v>57.530813810795891</v>
      </c>
      <c r="F12" s="240">
        <f>+'NEW...Tables 91-112'!B169+'NEW...Tables 91-112'!C169</f>
        <v>50.521597656722896</v>
      </c>
      <c r="G12" s="240">
        <f>+'NEW...Tables 91-112'!B199+'NEW...Tables 91-112'!C199</f>
        <v>60.091851154027324</v>
      </c>
      <c r="H12" s="245">
        <f>+'NEW...Tables 91-112'!B14+'NEW...Tables 91-112'!C14</f>
        <v>53.967094308847649</v>
      </c>
      <c r="I12" s="242">
        <f>+'NEW...Tables 91-112'!B261+'NEW...Tables 91-112'!C261</f>
        <v>38.125084129761746</v>
      </c>
      <c r="J12" s="240">
        <f>+'NEW...Tables 91-112'!B292+'NEW...Tables 91-112'!C292</f>
        <v>0</v>
      </c>
      <c r="K12" s="240">
        <f>+'NEW...Tables 91-112'!B323+'NEW...Tables 91-112'!C323</f>
        <v>0</v>
      </c>
      <c r="L12" s="240">
        <f>+'NEW...Tables 91-112'!B354+'NEW...Tables 91-112'!C354</f>
        <v>0</v>
      </c>
      <c r="M12" s="242">
        <f>+'NEW...Tables 91-112'!B230+'NEW...Tables 91-112'!C230</f>
        <v>38.125084129761746</v>
      </c>
      <c r="N12" s="243">
        <f>+'NEW...Tables 91-112'!B415+'NEW...Tables 91-112'!C415</f>
        <v>40.160972336726466</v>
      </c>
      <c r="O12" s="169">
        <f>+'NEW...Tables 91-112'!B445+'NEW...Tables 91-112'!C445</f>
        <v>0</v>
      </c>
      <c r="P12" s="242">
        <f>+'NEW...Tables 91-112'!B385+'NEW...Tables 91-112'!C385</f>
        <v>40.160972336726466</v>
      </c>
    </row>
    <row r="13" spans="1:33">
      <c r="A13" s="134" t="s">
        <v>623</v>
      </c>
      <c r="B13" s="240">
        <f>+'NEW...Tables 91-112'!B47+'NEW...Tables 91-112'!C47</f>
        <v>53.606524417591594</v>
      </c>
      <c r="C13" s="240">
        <f>+'NEW...Tables 91-112'!B78+'NEW...Tables 91-112'!C78</f>
        <v>0</v>
      </c>
      <c r="D13" s="240">
        <f>+'NEW...Tables 91-112'!B108+'NEW...Tables 91-112'!C108</f>
        <v>56.939520877964</v>
      </c>
      <c r="E13" s="240">
        <f>+'NEW...Tables 91-112'!B139+'NEW...Tables 91-112'!C139</f>
        <v>33.509343592964825</v>
      </c>
      <c r="F13" s="240">
        <f>+'NEW...Tables 91-112'!B170+'NEW...Tables 91-112'!C170</f>
        <v>0</v>
      </c>
      <c r="G13" s="240">
        <f>+'NEW...Tables 91-112'!B200+'NEW...Tables 91-112'!C200</f>
        <v>0</v>
      </c>
      <c r="H13" s="245">
        <f>+'NEW...Tables 91-112'!B15+'NEW...Tables 91-112'!C15</f>
        <v>55.080579082490821</v>
      </c>
      <c r="I13" s="242">
        <f>+'NEW...Tables 91-112'!B262+'NEW...Tables 91-112'!C262</f>
        <v>0</v>
      </c>
      <c r="J13" s="240">
        <f>+'NEW...Tables 91-112'!B293+'NEW...Tables 91-112'!C293</f>
        <v>58.149984015850649</v>
      </c>
      <c r="K13" s="240">
        <f>+'NEW...Tables 91-112'!B324+'NEW...Tables 91-112'!C324</f>
        <v>56.167183830929218</v>
      </c>
      <c r="L13" s="240">
        <f>+'NEW...Tables 91-112'!B355+'NEW...Tables 91-112'!C355</f>
        <v>52.537208108801643</v>
      </c>
      <c r="M13" s="242">
        <f>+'NEW...Tables 91-112'!B231+'NEW...Tables 91-112'!C231</f>
        <v>55.878539790765018</v>
      </c>
      <c r="N13" s="243">
        <f>+'NEW...Tables 91-112'!B416+'NEW...Tables 91-112'!C416</f>
        <v>54.206824292570928</v>
      </c>
      <c r="O13" s="169">
        <f>+'NEW...Tables 91-112'!B446+'NEW...Tables 91-112'!C446</f>
        <v>0</v>
      </c>
      <c r="P13" s="242">
        <f>+'NEW...Tables 91-112'!B386+'NEW...Tables 91-112'!C386</f>
        <v>54.206824292570928</v>
      </c>
    </row>
    <row r="14" spans="1:33">
      <c r="A14" s="134" t="s">
        <v>624</v>
      </c>
      <c r="B14" s="240">
        <f>+'NEW...Tables 91-112'!B48+'NEW...Tables 91-112'!C48</f>
        <v>64.123047573625854</v>
      </c>
      <c r="C14" s="240">
        <f>+'NEW...Tables 91-112'!B79+'NEW...Tables 91-112'!C79</f>
        <v>63.855174153387196</v>
      </c>
      <c r="D14" s="240">
        <f>+'NEW...Tables 91-112'!B109+'NEW...Tables 91-112'!C109</f>
        <v>70.011005205405297</v>
      </c>
      <c r="E14" s="240">
        <f>+'NEW...Tables 91-112'!B140+'NEW...Tables 91-112'!C140</f>
        <v>46.647584410239538</v>
      </c>
      <c r="F14" s="240">
        <f>+'NEW...Tables 91-112'!B171+'NEW...Tables 91-112'!C171</f>
        <v>0</v>
      </c>
      <c r="G14" s="240">
        <f>+'NEW...Tables 91-112'!B201+'NEW...Tables 91-112'!C201</f>
        <v>45.972644376899751</v>
      </c>
      <c r="H14" s="245">
        <f>+'NEW...Tables 91-112'!B16+'NEW...Tables 91-112'!C16</f>
        <v>61.042943926711537</v>
      </c>
      <c r="I14" s="242">
        <f>+'NEW...Tables 91-112'!B263+'NEW...Tables 91-112'!C263</f>
        <v>0</v>
      </c>
      <c r="J14" s="240">
        <f>+'NEW...Tables 91-112'!B294+'NEW...Tables 91-112'!C294</f>
        <v>32.863909586249243</v>
      </c>
      <c r="K14" s="240">
        <f>+'NEW...Tables 91-112'!B325+'NEW...Tables 91-112'!C325</f>
        <v>46.892973782585877</v>
      </c>
      <c r="L14" s="240">
        <f>+'NEW...Tables 91-112'!B356+'NEW...Tables 91-112'!C356</f>
        <v>51.642704597823865</v>
      </c>
      <c r="M14" s="242">
        <f>+'NEW...Tables 91-112'!B232+'NEW...Tables 91-112'!C232</f>
        <v>41.268883614188375</v>
      </c>
      <c r="N14" s="243">
        <f>+'NEW...Tables 91-112'!B417+'NEW...Tables 91-112'!C417</f>
        <v>63.89618250443776</v>
      </c>
      <c r="O14" s="169">
        <f>+'NEW...Tables 91-112'!B447+'NEW...Tables 91-112'!C447</f>
        <v>95.591397849462382</v>
      </c>
      <c r="P14" s="242">
        <f>+'NEW...Tables 91-112'!B387+'NEW...Tables 91-112'!C387</f>
        <v>66.783726944115102</v>
      </c>
    </row>
    <row r="15" spans="1:33">
      <c r="A15" s="134" t="s">
        <v>625</v>
      </c>
      <c r="B15" s="240">
        <f>+'NEW...Tables 91-112'!B49+'NEW...Tables 91-112'!C49</f>
        <v>48.826109084066985</v>
      </c>
      <c r="C15" s="240">
        <f>+'NEW...Tables 91-112'!B80+'NEW...Tables 91-112'!C80</f>
        <v>41.922305929133017</v>
      </c>
      <c r="D15" s="240">
        <f>+'NEW...Tables 91-112'!B110+'NEW...Tables 91-112'!C110</f>
        <v>43.268506680333864</v>
      </c>
      <c r="E15" s="240">
        <f>+'NEW...Tables 91-112'!B141+'NEW...Tables 91-112'!C141</f>
        <v>44.853144443687675</v>
      </c>
      <c r="F15" s="240">
        <f>+'NEW...Tables 91-112'!B172+'NEW...Tables 91-112'!C172</f>
        <v>70.309513070000222</v>
      </c>
      <c r="G15" s="240">
        <f>+'NEW...Tables 91-112'!B202+'NEW...Tables 91-112'!C202</f>
        <v>71.99330333786753</v>
      </c>
      <c r="H15" s="245">
        <f>+'NEW...Tables 91-112'!B17+'NEW...Tables 91-112'!C17</f>
        <v>34.816325264086458</v>
      </c>
      <c r="I15" s="242">
        <f>+'NEW...Tables 91-112'!B264+'NEW...Tables 91-112'!C264</f>
        <v>0</v>
      </c>
      <c r="J15" s="240">
        <f>+'NEW...Tables 91-112'!B295+'NEW...Tables 91-112'!C295</f>
        <v>22.509448477401101</v>
      </c>
      <c r="K15" s="240">
        <f>+'NEW...Tables 91-112'!B326+'NEW...Tables 91-112'!C326</f>
        <v>17.663610802437958</v>
      </c>
      <c r="L15" s="240">
        <f>+'NEW...Tables 91-112'!B357+'NEW...Tables 91-112'!C357</f>
        <v>34.321094605957143</v>
      </c>
      <c r="M15" s="242">
        <f>+'NEW...Tables 91-112'!B233+'NEW...Tables 91-112'!C233</f>
        <v>22.303992123197879</v>
      </c>
      <c r="N15" s="243">
        <f>+'NEW...Tables 91-112'!B418+'NEW...Tables 91-112'!C418</f>
        <v>0</v>
      </c>
      <c r="O15" s="169">
        <f>+'NEW...Tables 91-112'!B448+'NEW...Tables 91-112'!C448</f>
        <v>0</v>
      </c>
      <c r="P15" s="242">
        <f>+'NEW...Tables 91-112'!B388+'NEW...Tables 91-112'!C388</f>
        <v>0</v>
      </c>
    </row>
    <row r="16" spans="1:33">
      <c r="A16" s="134"/>
      <c r="B16" s="240"/>
      <c r="C16" s="240"/>
      <c r="D16" s="240"/>
      <c r="E16" s="240"/>
      <c r="F16" s="240"/>
      <c r="G16" s="240"/>
      <c r="H16" s="245"/>
      <c r="I16" s="242"/>
      <c r="J16" s="240"/>
      <c r="K16" s="240"/>
      <c r="L16" s="240"/>
      <c r="M16" s="242"/>
      <c r="N16" s="243"/>
      <c r="O16" s="169"/>
      <c r="P16" s="242"/>
    </row>
    <row r="17" spans="1:25" ht="15.75" customHeight="1">
      <c r="A17" s="134" t="s">
        <v>626</v>
      </c>
      <c r="B17" s="240">
        <f>+'NEW...Tables 91-112'!B51+'NEW...Tables 91-112'!C51</f>
        <v>54.164856470588241</v>
      </c>
      <c r="C17" s="240">
        <f>+'NEW...Tables 91-112'!B82+'NEW...Tables 91-112'!C82</f>
        <v>33.889457110282599</v>
      </c>
      <c r="D17" s="240">
        <f>+'NEW...Tables 91-112'!B112+'NEW...Tables 91-112'!C112</f>
        <v>0</v>
      </c>
      <c r="E17" s="240">
        <f>+'NEW...Tables 91-112'!B143+'NEW...Tables 91-112'!C143</f>
        <v>51.795776688712721</v>
      </c>
      <c r="F17" s="240">
        <f>+'NEW...Tables 91-112'!B174+'NEW...Tables 91-112'!C174</f>
        <v>0</v>
      </c>
      <c r="G17" s="240">
        <f>+'NEW...Tables 91-112'!B204+'NEW...Tables 91-112'!C204</f>
        <v>0</v>
      </c>
      <c r="H17" s="245">
        <f>+'NEW...Tables 91-112'!B19+'NEW...Tables 91-112'!C19</f>
        <v>52.210626962885812</v>
      </c>
      <c r="I17" s="242">
        <f>+'NEW...Tables 91-112'!B266+'NEW...Tables 91-112'!C266</f>
        <v>0</v>
      </c>
      <c r="J17" s="240">
        <f>+'NEW...Tables 91-112'!B297+'NEW...Tables 91-112'!C297</f>
        <v>60.634548500288226</v>
      </c>
      <c r="K17" s="240">
        <f>+'NEW...Tables 91-112'!B328+'NEW...Tables 91-112'!C328</f>
        <v>61.463914574035222</v>
      </c>
      <c r="L17" s="240">
        <f>+'NEW...Tables 91-112'!B359+'NEW...Tables 91-112'!C359</f>
        <v>57.742774277427749</v>
      </c>
      <c r="M17" s="242">
        <f>+'NEW...Tables 91-112'!B235+'NEW...Tables 91-112'!C235</f>
        <v>60.870285968061133</v>
      </c>
      <c r="N17" s="243">
        <f>+'NEW...Tables 91-112'!B420+'NEW...Tables 91-112'!C420</f>
        <v>0</v>
      </c>
      <c r="O17" s="169">
        <f>+'NEW...Tables 91-112'!B450+'NEW...Tables 91-112'!C450</f>
        <v>0</v>
      </c>
      <c r="P17" s="242">
        <f>+'NEW...Tables 91-112'!B390+'NEW...Tables 91-112'!C390</f>
        <v>0</v>
      </c>
    </row>
    <row r="18" spans="1:25" ht="15.75" customHeight="1">
      <c r="A18" s="134" t="s">
        <v>627</v>
      </c>
      <c r="B18" s="240">
        <f>+'NEW...Tables 91-112'!B52+'NEW...Tables 91-112'!C52</f>
        <v>41.853261562147956</v>
      </c>
      <c r="C18" s="240">
        <f>+'NEW...Tables 91-112'!B83+'NEW...Tables 91-112'!C83</f>
        <v>42.856129450989485</v>
      </c>
      <c r="D18" s="240">
        <f>+'NEW...Tables 91-112'!B113+'NEW...Tables 91-112'!C113</f>
        <v>46.104856992382715</v>
      </c>
      <c r="E18" s="240">
        <f>+'NEW...Tables 91-112'!B144+'NEW...Tables 91-112'!C144</f>
        <v>22.904780368913752</v>
      </c>
      <c r="F18" s="240">
        <f>+'NEW...Tables 91-112'!B175+'NEW...Tables 91-112'!C175</f>
        <v>32.849540793638553</v>
      </c>
      <c r="G18" s="240">
        <f>+'NEW...Tables 91-112'!B205+'NEW...Tables 91-112'!C205</f>
        <v>57.651916592113416</v>
      </c>
      <c r="H18" s="245">
        <f>+'NEW...Tables 91-112'!B20+'NEW...Tables 91-112'!C20</f>
        <v>42.729797444135428</v>
      </c>
      <c r="I18" s="242">
        <f>+'NEW...Tables 91-112'!B267+'NEW...Tables 91-112'!C267</f>
        <v>0</v>
      </c>
      <c r="J18" s="240">
        <f>+'NEW...Tables 91-112'!B298+'NEW...Tables 91-112'!C298</f>
        <v>24.187324877820256</v>
      </c>
      <c r="K18" s="240">
        <f>+'NEW...Tables 91-112'!B329+'NEW...Tables 91-112'!C329</f>
        <v>29.108415731776866</v>
      </c>
      <c r="L18" s="240">
        <f>+'NEW...Tables 91-112'!B360+'NEW...Tables 91-112'!C360</f>
        <v>30.98976187134754</v>
      </c>
      <c r="M18" s="242">
        <f>+'NEW...Tables 91-112'!B236+'NEW...Tables 91-112'!C236</f>
        <v>27.158265507402998</v>
      </c>
      <c r="N18" s="243">
        <f>+'NEW...Tables 91-112'!B421+'NEW...Tables 91-112'!C421</f>
        <v>0</v>
      </c>
      <c r="O18" s="169">
        <f>+'NEW...Tables 91-112'!B451+'NEW...Tables 91-112'!C451</f>
        <v>0</v>
      </c>
      <c r="P18" s="242">
        <f>+'NEW...Tables 91-112'!B391+'NEW...Tables 91-112'!C391</f>
        <v>0</v>
      </c>
    </row>
    <row r="19" spans="1:25" ht="15.75" customHeight="1">
      <c r="A19" s="134" t="s">
        <v>628</v>
      </c>
      <c r="B19" s="240">
        <f>+'NEW...Tables 91-112'!B53+'NEW...Tables 91-112'!C53</f>
        <v>0</v>
      </c>
      <c r="C19" s="240">
        <f>+'NEW...Tables 91-112'!B84+'NEW...Tables 91-112'!C84</f>
        <v>0</v>
      </c>
      <c r="D19" s="240">
        <f>+'NEW...Tables 91-112'!B114+'NEW...Tables 91-112'!C114</f>
        <v>0</v>
      </c>
      <c r="E19" s="240">
        <f>+'NEW...Tables 91-112'!B145+'NEW...Tables 91-112'!C145</f>
        <v>0</v>
      </c>
      <c r="F19" s="240">
        <f>+'NEW...Tables 91-112'!B176+'NEW...Tables 91-112'!C176</f>
        <v>0</v>
      </c>
      <c r="G19" s="240">
        <f>+'NEW...Tables 91-112'!B206+'NEW...Tables 91-112'!C206</f>
        <v>0</v>
      </c>
      <c r="H19" s="245">
        <f>+'NEW...Tables 91-112'!B21+'NEW...Tables 91-112'!C21</f>
        <v>0</v>
      </c>
      <c r="I19" s="242">
        <f>+'NEW...Tables 91-112'!B268+'NEW...Tables 91-112'!C268</f>
        <v>0</v>
      </c>
      <c r="J19" s="240">
        <f>+'NEW...Tables 91-112'!B299+'NEW...Tables 91-112'!C299</f>
        <v>0</v>
      </c>
      <c r="K19" s="240">
        <f>+'NEW...Tables 91-112'!B330+'NEW...Tables 91-112'!C330</f>
        <v>0</v>
      </c>
      <c r="L19" s="240">
        <f>+'NEW...Tables 91-112'!B361+'NEW...Tables 91-112'!C361</f>
        <v>0</v>
      </c>
      <c r="M19" s="242">
        <f>+'NEW...Tables 91-112'!B237+'NEW...Tables 91-112'!C237</f>
        <v>0</v>
      </c>
      <c r="N19" s="243">
        <f>+'NEW...Tables 91-112'!B422+'NEW...Tables 91-112'!C422</f>
        <v>0</v>
      </c>
      <c r="O19" s="169">
        <f>+'NEW...Tables 91-112'!B452+'NEW...Tables 91-112'!C452</f>
        <v>0</v>
      </c>
      <c r="P19" s="242">
        <f>+'NEW...Tables 91-112'!B392+'NEW...Tables 91-112'!C392</f>
        <v>0</v>
      </c>
    </row>
    <row r="20" spans="1:25" ht="15.75" customHeight="1">
      <c r="A20" s="134" t="s">
        <v>629</v>
      </c>
      <c r="B20" s="240">
        <f>+'NEW...Tables 91-112'!B54+'NEW...Tables 91-112'!C54</f>
        <v>52.70019738886009</v>
      </c>
      <c r="C20" s="240">
        <f>+'NEW...Tables 91-112'!B85+'NEW...Tables 91-112'!C85</f>
        <v>0</v>
      </c>
      <c r="D20" s="240">
        <f>+'NEW...Tables 91-112'!B115+'NEW...Tables 91-112'!C115</f>
        <v>63.344661975651398</v>
      </c>
      <c r="E20" s="240">
        <f>+'NEW...Tables 91-112'!B146+'NEW...Tables 91-112'!C146</f>
        <v>63.517921070877733</v>
      </c>
      <c r="F20" s="240">
        <f>+'NEW...Tables 91-112'!B177+'NEW...Tables 91-112'!C177</f>
        <v>66.177935568243157</v>
      </c>
      <c r="G20" s="240">
        <f>+'NEW...Tables 91-112'!B207+'NEW...Tables 91-112'!C207</f>
        <v>45.464414730928553</v>
      </c>
      <c r="H20" s="245">
        <f>+'NEW...Tables 91-112'!B22+'NEW...Tables 91-112'!C22</f>
        <v>56.053512761230571</v>
      </c>
      <c r="I20" s="242">
        <f>+'NEW...Tables 91-112'!B269+'NEW...Tables 91-112'!C269</f>
        <v>0</v>
      </c>
      <c r="J20" s="240">
        <f>+'NEW...Tables 91-112'!B300+'NEW...Tables 91-112'!C300</f>
        <v>24.619312010749752</v>
      </c>
      <c r="K20" s="240">
        <f>+'NEW...Tables 91-112'!B331+'NEW...Tables 91-112'!C331</f>
        <v>33.748633840164281</v>
      </c>
      <c r="L20" s="240">
        <f>+'NEW...Tables 91-112'!B362+'NEW...Tables 91-112'!C362</f>
        <v>35.688040011700998</v>
      </c>
      <c r="M20" s="242">
        <f>+'NEW...Tables 91-112'!B238+'NEW...Tables 91-112'!C238</f>
        <v>29.692246327585025</v>
      </c>
      <c r="N20" s="243">
        <f>+'NEW...Tables 91-112'!B423+'NEW...Tables 91-112'!C423</f>
        <v>0</v>
      </c>
      <c r="O20" s="169">
        <f>+'NEW...Tables 91-112'!B453+'NEW...Tables 91-112'!C453</f>
        <v>0</v>
      </c>
      <c r="P20" s="242">
        <f>+'NEW...Tables 91-112'!B393+'NEW...Tables 91-112'!C393</f>
        <v>0</v>
      </c>
    </row>
    <row r="21" spans="1:25" ht="15.75" customHeight="1">
      <c r="A21" s="134"/>
      <c r="B21" s="240"/>
      <c r="C21" s="240"/>
      <c r="D21" s="240"/>
      <c r="E21" s="240"/>
      <c r="F21" s="240"/>
      <c r="G21" s="240"/>
      <c r="H21" s="245"/>
      <c r="I21" s="242"/>
      <c r="J21" s="240"/>
      <c r="K21" s="240"/>
      <c r="L21" s="240"/>
      <c r="M21" s="242"/>
      <c r="N21" s="243"/>
      <c r="O21" s="169"/>
      <c r="P21" s="242"/>
    </row>
    <row r="22" spans="1:25" ht="15.75" customHeight="1">
      <c r="A22" s="134" t="s">
        <v>630</v>
      </c>
      <c r="B22" s="240">
        <f>+'NEW...Tables 91-112'!B56+'NEW...Tables 91-112'!C56</f>
        <v>62.47285478246318</v>
      </c>
      <c r="C22" s="240">
        <f>+'NEW...Tables 91-112'!B87+'NEW...Tables 91-112'!C87</f>
        <v>61.597321336509815</v>
      </c>
      <c r="D22" s="240">
        <f>+'NEW...Tables 91-112'!B117+'NEW...Tables 91-112'!C117</f>
        <v>39.229595030916087</v>
      </c>
      <c r="E22" s="240">
        <f>+'NEW...Tables 91-112'!B148+'NEW...Tables 91-112'!C148</f>
        <v>56.053388671414417</v>
      </c>
      <c r="F22" s="240">
        <f>+'NEW...Tables 91-112'!B179+'NEW...Tables 91-112'!C179</f>
        <v>0</v>
      </c>
      <c r="G22" s="240">
        <f>+'NEW...Tables 91-112'!B209+'NEW...Tables 91-112'!C209</f>
        <v>0</v>
      </c>
      <c r="H22" s="245">
        <f>+'NEW...Tables 91-112'!B24+'NEW...Tables 91-112'!C24</f>
        <v>55.599265272120171</v>
      </c>
      <c r="I22" s="242">
        <f>+'NEW...Tables 91-112'!B271+'NEW...Tables 91-112'!C271</f>
        <v>0</v>
      </c>
      <c r="J22" s="240">
        <f>+'NEW...Tables 91-112'!B302+'NEW...Tables 91-112'!C302</f>
        <v>21.553592502713084</v>
      </c>
      <c r="K22" s="240">
        <f>+'NEW...Tables 91-112'!B333+'NEW...Tables 91-112'!C333</f>
        <v>30.121509037061639</v>
      </c>
      <c r="L22" s="240">
        <f>+'NEW...Tables 91-112'!B364+'NEW...Tables 91-112'!C364</f>
        <v>49.747139981342372</v>
      </c>
      <c r="M22" s="242">
        <f>+'NEW...Tables 91-112'!B240+'NEW...Tables 91-112'!C240</f>
        <v>26.32123550470822</v>
      </c>
      <c r="N22" s="243">
        <f>+'NEW...Tables 91-112'!B425+'NEW...Tables 91-112'!C425</f>
        <v>0</v>
      </c>
      <c r="O22" s="169">
        <f>+'NEW...Tables 91-112'!B455+'NEW...Tables 91-112'!C455</f>
        <v>0</v>
      </c>
      <c r="P22" s="242">
        <f>+'NEW...Tables 91-112'!B395+'NEW...Tables 91-112'!C395</f>
        <v>0</v>
      </c>
    </row>
    <row r="23" spans="1:25" ht="15.75" customHeight="1">
      <c r="A23" s="134" t="s">
        <v>631</v>
      </c>
      <c r="B23" s="240">
        <f>+'NEW...Tables 91-112'!B57+'NEW...Tables 91-112'!C57</f>
        <v>46.467334298061523</v>
      </c>
      <c r="C23" s="240">
        <f>+'NEW...Tables 91-112'!B88+'NEW...Tables 91-112'!C88</f>
        <v>42.338659213215962</v>
      </c>
      <c r="D23" s="240">
        <f>+'NEW...Tables 91-112'!B118+'NEW...Tables 91-112'!C118</f>
        <v>40.599725010638117</v>
      </c>
      <c r="E23" s="240">
        <f>+'NEW...Tables 91-112'!B149+'NEW...Tables 91-112'!C149</f>
        <v>19.751132895291207</v>
      </c>
      <c r="F23" s="240">
        <f>+'NEW...Tables 91-112'!B180+'NEW...Tables 91-112'!C180</f>
        <v>73.701159636404014</v>
      </c>
      <c r="G23" s="240">
        <f>+'NEW...Tables 91-112'!B210+'NEW...Tables 91-112'!C210</f>
        <v>0</v>
      </c>
      <c r="H23" s="245">
        <f>+'NEW...Tables 91-112'!B25+'NEW...Tables 91-112'!C25</f>
        <v>43.164402512359842</v>
      </c>
      <c r="I23" s="242">
        <f>+'NEW...Tables 91-112'!B272+'NEW...Tables 91-112'!C272</f>
        <v>25.980932347353896</v>
      </c>
      <c r="J23" s="240">
        <f>+'NEW...Tables 91-112'!B303+'NEW...Tables 91-112'!C303</f>
        <v>23.005435729966027</v>
      </c>
      <c r="K23" s="240">
        <f>+'NEW...Tables 91-112'!B334+'NEW...Tables 91-112'!C334</f>
        <v>38.009760559802878</v>
      </c>
      <c r="L23" s="240">
        <f>+'NEW...Tables 91-112'!B365+'NEW...Tables 91-112'!C365</f>
        <v>36.240133806304257</v>
      </c>
      <c r="M23" s="242">
        <f>+'NEW...Tables 91-112'!B241+'NEW...Tables 91-112'!C241</f>
        <v>26.126934037065155</v>
      </c>
      <c r="N23" s="243">
        <f>+'NEW...Tables 91-112'!B426+'NEW...Tables 91-112'!C426</f>
        <v>0</v>
      </c>
      <c r="O23" s="169">
        <f>+'NEW...Tables 91-112'!B456+'NEW...Tables 91-112'!C456</f>
        <v>0</v>
      </c>
      <c r="P23" s="242">
        <f>+'NEW...Tables 91-112'!B396+'NEW...Tables 91-112'!C396</f>
        <v>0</v>
      </c>
    </row>
    <row r="24" spans="1:25" ht="15.75" customHeight="1">
      <c r="A24" s="134" t="s">
        <v>632</v>
      </c>
      <c r="B24" s="240">
        <f>+'NEW...Tables 91-112'!B58+'NEW...Tables 91-112'!C58</f>
        <v>42.798437755535808</v>
      </c>
      <c r="C24" s="240">
        <f>+'NEW...Tables 91-112'!B89+'NEW...Tables 91-112'!C89</f>
        <v>53.463077257912403</v>
      </c>
      <c r="D24" s="240">
        <f>+'NEW...Tables 91-112'!B119+'NEW...Tables 91-112'!C119</f>
        <v>52.249455785791952</v>
      </c>
      <c r="E24" s="240">
        <f>+'NEW...Tables 91-112'!B150+'NEW...Tables 91-112'!C150</f>
        <v>51.657580779411646</v>
      </c>
      <c r="F24" s="240">
        <f>+'NEW...Tables 91-112'!B181+'NEW...Tables 91-112'!C181</f>
        <v>66.899562802089562</v>
      </c>
      <c r="G24" s="240">
        <f>+'NEW...Tables 91-112'!B211+'NEW...Tables 91-112'!C211</f>
        <v>72.095484985958095</v>
      </c>
      <c r="H24" s="245">
        <f>+'NEW...Tables 91-112'!B26+'NEW...Tables 91-112'!C26</f>
        <v>47.119830848026645</v>
      </c>
      <c r="I24" s="242">
        <f>+'NEW...Tables 91-112'!B273+'NEW...Tables 91-112'!C273</f>
        <v>0</v>
      </c>
      <c r="J24" s="240">
        <f>+'NEW...Tables 91-112'!B304+'NEW...Tables 91-112'!C304</f>
        <v>28.411254127115143</v>
      </c>
      <c r="K24" s="240">
        <f>+'NEW...Tables 91-112'!B335+'NEW...Tables 91-112'!C335</f>
        <v>25.073584508978389</v>
      </c>
      <c r="L24" s="240">
        <f>+'NEW...Tables 91-112'!B366+'NEW...Tables 91-112'!C366</f>
        <v>33.185262838950393</v>
      </c>
      <c r="M24" s="242">
        <f>+'NEW...Tables 91-112'!B242+'NEW...Tables 91-112'!C242</f>
        <v>28.295402319997628</v>
      </c>
      <c r="N24" s="243">
        <f>+'NEW...Tables 91-112'!B427+'NEW...Tables 91-112'!C427</f>
        <v>0</v>
      </c>
      <c r="O24" s="169">
        <f>+'NEW...Tables 91-112'!B457+'NEW...Tables 91-112'!C457</f>
        <v>0</v>
      </c>
      <c r="P24" s="242">
        <f>+'NEW...Tables 91-112'!B397+'NEW...Tables 91-112'!C397</f>
        <v>0</v>
      </c>
    </row>
    <row r="25" spans="1:25" ht="15.75" customHeight="1">
      <c r="A25" s="140" t="s">
        <v>633</v>
      </c>
      <c r="B25" s="246">
        <f>+'NEW...Tables 91-112'!B59+'NEW...Tables 91-112'!C59</f>
        <v>50.96657162311687</v>
      </c>
      <c r="C25" s="246">
        <f>+'NEW...Tables 91-112'!B90+'NEW...Tables 91-112'!C90</f>
        <v>0</v>
      </c>
      <c r="D25" s="246">
        <f>+'NEW...Tables 91-112'!B120+'NEW...Tables 91-112'!C120</f>
        <v>50.551011701055728</v>
      </c>
      <c r="E25" s="246">
        <f>+'NEW...Tables 91-112'!B151+'NEW...Tables 91-112'!C151</f>
        <v>77.808596685873809</v>
      </c>
      <c r="F25" s="246">
        <f>+'NEW...Tables 91-112'!B182+'NEW...Tables 91-112'!C182</f>
        <v>47.03374469627731</v>
      </c>
      <c r="G25" s="246">
        <f>+'NEW...Tables 91-112'!B212+'NEW...Tables 91-112'!C212</f>
        <v>57.718561428916246</v>
      </c>
      <c r="H25" s="247">
        <f>+'NEW...Tables 91-112'!B27+'NEW...Tables 91-112'!C27</f>
        <v>53.340120087062289</v>
      </c>
      <c r="I25" s="248">
        <f>+'NEW...Tables 91-112'!B274+'NEW...Tables 91-112'!C274</f>
        <v>53.817943515356212</v>
      </c>
      <c r="J25" s="246">
        <f>+'NEW...Tables 91-112'!B305+'NEW...Tables 91-112'!C305</f>
        <v>0</v>
      </c>
      <c r="K25" s="246">
        <f>+'NEW...Tables 91-112'!B336+'NEW...Tables 91-112'!C336</f>
        <v>19.166038683747804</v>
      </c>
      <c r="L25" s="246">
        <f>+'NEW...Tables 91-112'!B367+'NEW...Tables 91-112'!C367</f>
        <v>41.302975953235013</v>
      </c>
      <c r="M25" s="248">
        <f>+'NEW...Tables 91-112'!B243+'NEW...Tables 91-112'!C243</f>
        <v>41.675811438692229</v>
      </c>
      <c r="N25" s="250">
        <f>+'NEW...Tables 91-112'!B428+'NEW...Tables 91-112'!C428</f>
        <v>0</v>
      </c>
      <c r="O25" s="179">
        <f>+'NEW...Tables 91-112'!B458+'NEW...Tables 91-112'!C458</f>
        <v>0</v>
      </c>
      <c r="P25" s="248">
        <f>+'NEW...Tables 91-112'!B398+'NEW...Tables 91-112'!C398</f>
        <v>0</v>
      </c>
      <c r="R25" s="264"/>
      <c r="S25" s="264"/>
      <c r="T25" s="264"/>
      <c r="U25" s="273"/>
      <c r="V25" s="273"/>
      <c r="W25" s="273"/>
    </row>
    <row r="26" spans="1:25" s="181" customFormat="1" ht="29.25" customHeight="1">
      <c r="A26" s="629" t="s">
        <v>744</v>
      </c>
      <c r="B26" s="629"/>
      <c r="C26" s="629"/>
      <c r="D26" s="629"/>
      <c r="E26" s="629"/>
      <c r="F26" s="629"/>
      <c r="G26" s="629"/>
      <c r="H26" s="629"/>
      <c r="I26" s="629"/>
      <c r="J26" s="629"/>
      <c r="K26" s="629"/>
      <c r="L26" s="629"/>
      <c r="M26" s="629"/>
      <c r="N26" s="629"/>
      <c r="O26" s="629"/>
      <c r="P26" s="629"/>
    </row>
    <row r="27" spans="1:25" s="181" customFormat="1" ht="11.25"/>
    <row r="28" spans="1:25" s="181" customFormat="1" ht="11.25">
      <c r="M28" s="251"/>
      <c r="P28" s="187" t="s">
        <v>991</v>
      </c>
    </row>
    <row r="29" spans="1:25" ht="18">
      <c r="A29" s="636" t="s">
        <v>686</v>
      </c>
      <c r="B29" s="636"/>
      <c r="C29" s="636"/>
      <c r="D29" s="636"/>
      <c r="E29" s="636"/>
      <c r="F29" s="636"/>
      <c r="G29" s="636"/>
      <c r="H29" s="636"/>
      <c r="I29" s="636"/>
      <c r="J29" s="636"/>
      <c r="K29" s="636"/>
      <c r="L29" s="636"/>
      <c r="M29" s="636"/>
      <c r="N29" s="636"/>
      <c r="O29" s="636"/>
      <c r="P29" s="636"/>
    </row>
    <row r="30" spans="1:25" s="134" customFormat="1" ht="12.75">
      <c r="A30" s="135"/>
      <c r="B30" s="131"/>
      <c r="C30" s="131"/>
      <c r="D30" s="131"/>
      <c r="E30" s="131"/>
      <c r="F30" s="131"/>
      <c r="G30" s="131"/>
      <c r="H30" s="131"/>
      <c r="I30" s="131"/>
      <c r="J30" s="131"/>
      <c r="K30" s="131"/>
      <c r="L30" s="131"/>
      <c r="M30" s="131"/>
    </row>
    <row r="31" spans="1:25" ht="15.75">
      <c r="A31" s="635" t="s">
        <v>959</v>
      </c>
      <c r="B31" s="635"/>
      <c r="C31" s="635"/>
      <c r="D31" s="635"/>
      <c r="E31" s="635"/>
      <c r="F31" s="635"/>
      <c r="G31" s="635"/>
      <c r="H31" s="635"/>
      <c r="I31" s="635"/>
      <c r="J31" s="635"/>
      <c r="K31" s="635"/>
      <c r="L31" s="635"/>
      <c r="M31" s="635"/>
      <c r="N31" s="635"/>
      <c r="O31" s="635"/>
      <c r="P31" s="635"/>
      <c r="Q31" s="134"/>
      <c r="R31" s="235"/>
      <c r="S31" s="134"/>
      <c r="T31" s="134"/>
      <c r="U31" s="134"/>
      <c r="V31" s="134"/>
      <c r="W31" s="134"/>
      <c r="X31" s="134"/>
      <c r="Y31" s="134"/>
    </row>
    <row r="32" spans="1:25" s="134" customFormat="1" ht="9.75" customHeight="1">
      <c r="A32" s="135"/>
      <c r="B32" s="131"/>
      <c r="C32" s="131"/>
      <c r="D32" s="131"/>
      <c r="E32" s="131"/>
      <c r="F32" s="131"/>
      <c r="G32" s="131"/>
      <c r="H32" s="131"/>
      <c r="I32" s="131"/>
      <c r="J32" s="131"/>
      <c r="K32" s="131"/>
      <c r="L32" s="131"/>
      <c r="M32" s="131"/>
    </row>
    <row r="33" spans="1:39" s="235" customFormat="1" ht="18" customHeight="1">
      <c r="A33" s="269"/>
      <c r="B33" s="146" t="s">
        <v>517</v>
      </c>
      <c r="C33" s="146"/>
      <c r="D33" s="146"/>
      <c r="E33" s="146"/>
      <c r="F33" s="146"/>
      <c r="G33" s="146"/>
      <c r="H33" s="158"/>
      <c r="I33" s="157" t="s">
        <v>520</v>
      </c>
      <c r="J33" s="146"/>
      <c r="K33" s="146"/>
      <c r="L33" s="146"/>
      <c r="M33" s="146"/>
      <c r="N33" s="157" t="s">
        <v>536</v>
      </c>
      <c r="O33" s="146"/>
      <c r="P33" s="146"/>
      <c r="Q33" s="275" t="s">
        <v>695</v>
      </c>
      <c r="R33" s="276"/>
      <c r="S33" s="276"/>
    </row>
    <row r="34" spans="1:39" s="239" customFormat="1" ht="26.25" customHeight="1">
      <c r="A34" s="270"/>
      <c r="B34" s="152">
        <v>1</v>
      </c>
      <c r="C34" s="152">
        <v>2</v>
      </c>
      <c r="D34" s="152">
        <v>3</v>
      </c>
      <c r="E34" s="152">
        <v>4</v>
      </c>
      <c r="F34" s="152">
        <v>5</v>
      </c>
      <c r="G34" s="152">
        <v>6</v>
      </c>
      <c r="H34" s="271" t="s">
        <v>694</v>
      </c>
      <c r="I34" s="272" t="s">
        <v>684</v>
      </c>
      <c r="J34" s="152">
        <v>1</v>
      </c>
      <c r="K34" s="152">
        <v>2</v>
      </c>
      <c r="L34" s="152">
        <v>3</v>
      </c>
      <c r="M34" s="151" t="s">
        <v>685</v>
      </c>
      <c r="N34" s="151">
        <v>1</v>
      </c>
      <c r="O34" s="152">
        <v>2</v>
      </c>
      <c r="P34" s="151" t="s">
        <v>685</v>
      </c>
      <c r="Q34" s="275" t="s">
        <v>696</v>
      </c>
      <c r="R34" s="275" t="s">
        <v>697</v>
      </c>
      <c r="S34" s="275" t="s">
        <v>616</v>
      </c>
    </row>
    <row r="35" spans="1:39" ht="15.75" customHeight="1">
      <c r="A35" s="134" t="s">
        <v>618</v>
      </c>
      <c r="B35" s="240">
        <f>+'NEW...Tables 91-112'!D41</f>
        <v>29.763080507653711</v>
      </c>
      <c r="C35" s="240">
        <f>+'NEW...Tables 91-112'!D72</f>
        <v>38.730499892766893</v>
      </c>
      <c r="D35" s="240">
        <f>+'NEW...Tables 91-112'!D102</f>
        <v>51.802571554601023</v>
      </c>
      <c r="E35" s="240">
        <f>+'NEW...Tables 91-112'!D133</f>
        <v>58.255048116032846</v>
      </c>
      <c r="F35" s="240">
        <f>+'NEW...Tables 91-112'!D164</f>
        <v>59.009291455281307</v>
      </c>
      <c r="G35" s="240">
        <f>+'NEW...Tables 91-112'!D194</f>
        <v>0</v>
      </c>
      <c r="H35" s="245">
        <f>+'NEW...Tables 91-112'!D9</f>
        <v>38.710573834358392</v>
      </c>
      <c r="I35" s="242">
        <f>+'NEW...Tables 91-112'!D256</f>
        <v>0</v>
      </c>
      <c r="J35" s="240">
        <f>+'NEW...Tables 91-112'!D287</f>
        <v>60.593253354054667</v>
      </c>
      <c r="K35" s="240">
        <f>+'NEW...Tables 91-112'!D318</f>
        <v>44.934152248746955</v>
      </c>
      <c r="L35" s="240">
        <f>+'NEW...Tables 91-112'!D349</f>
        <v>54.760212690741973</v>
      </c>
      <c r="M35" s="242">
        <f>+'NEW...Tables 91-112'!D225</f>
        <v>51.861114111597111</v>
      </c>
      <c r="N35" s="243">
        <f>+'NEW...Tables 91-112'!D410</f>
        <v>54.597208927401887</v>
      </c>
      <c r="O35" s="169">
        <f>+'NEW...Tables 91-112'!D440</f>
        <v>22.223676632284413</v>
      </c>
      <c r="P35" s="242">
        <f>+'NEW...Tables 91-112'!D380</f>
        <v>38.722142343637671</v>
      </c>
      <c r="Q35" s="277">
        <f>+'NEW...Tables 87-90'!H35-'OLD...Tables'!H34</f>
        <v>2.9031042109544103</v>
      </c>
      <c r="R35" s="277">
        <f>+'NEW...Tables 87-90'!M35-'OLD...Tables'!M34</f>
        <v>1.8249567814049925</v>
      </c>
      <c r="S35" s="277">
        <f>+'NEW...Tables 87-90'!P35-'OLD...Tables'!P34</f>
        <v>2.8980285771772145</v>
      </c>
      <c r="T35" s="169"/>
      <c r="U35" s="278"/>
      <c r="V35" s="278"/>
      <c r="W35" s="278"/>
      <c r="X35" s="134"/>
      <c r="Y35" s="169"/>
      <c r="Z35" s="169"/>
      <c r="AA35" s="169"/>
      <c r="AC35" s="134"/>
      <c r="AD35" s="169"/>
      <c r="AE35" s="169"/>
      <c r="AF35" s="169"/>
      <c r="AG35" s="278"/>
      <c r="AH35" s="278"/>
      <c r="AI35" s="278"/>
      <c r="AJ35" s="134"/>
      <c r="AK35" s="169"/>
      <c r="AL35" s="169"/>
      <c r="AM35" s="169"/>
    </row>
    <row r="36" spans="1:39" ht="15.75" customHeight="1">
      <c r="A36" s="134" t="s">
        <v>619</v>
      </c>
      <c r="B36" s="240">
        <f>+'NEW...Tables 91-112'!D42</f>
        <v>74.663291263611498</v>
      </c>
      <c r="C36" s="240">
        <f>+'NEW...Tables 91-112'!D73</f>
        <v>89.039029482152856</v>
      </c>
      <c r="D36" s="240">
        <f>+'NEW...Tables 91-112'!D103</f>
        <v>62.908316444155382</v>
      </c>
      <c r="E36" s="240">
        <f>+'NEW...Tables 91-112'!D134</f>
        <v>64.968971879018284</v>
      </c>
      <c r="F36" s="240">
        <f>+'NEW...Tables 91-112'!D165</f>
        <v>0</v>
      </c>
      <c r="G36" s="240">
        <f>+'NEW...Tables 91-112'!D195</f>
        <v>82.881331682215773</v>
      </c>
      <c r="H36" s="245">
        <f>+'NEW...Tables 91-112'!D10</f>
        <v>71.493396746643697</v>
      </c>
      <c r="I36" s="242">
        <f>+'NEW...Tables 91-112'!D257</f>
        <v>0</v>
      </c>
      <c r="J36" s="240">
        <f>+'NEW...Tables 91-112'!D288</f>
        <v>85.320047160841284</v>
      </c>
      <c r="K36" s="240">
        <f>+'NEW...Tables 91-112'!D319</f>
        <v>59.547219843011185</v>
      </c>
      <c r="L36" s="240">
        <f>+'NEW...Tables 91-112'!D350</f>
        <v>49.002041451327699</v>
      </c>
      <c r="M36" s="242">
        <f>+'NEW...Tables 91-112'!D226</f>
        <v>56.929742979183331</v>
      </c>
      <c r="N36" s="243">
        <f>+'NEW...Tables 91-112'!D411</f>
        <v>0</v>
      </c>
      <c r="O36" s="169">
        <f>+'NEW...Tables 91-112'!D441</f>
        <v>0</v>
      </c>
      <c r="P36" s="242">
        <f>+'NEW...Tables 91-112'!D381</f>
        <v>0</v>
      </c>
      <c r="Q36" s="277">
        <f>+'NEW...Tables 87-90'!H36-'OLD...Tables'!H35</f>
        <v>46.258974399426506</v>
      </c>
      <c r="R36" s="277">
        <f>+'NEW...Tables 87-90'!M36-'OLD...Tables'!M35</f>
        <v>20.871297994622772</v>
      </c>
      <c r="S36" s="277">
        <f>+'NEW...Tables 87-90'!P36-'OLD...Tables'!P35</f>
        <v>0</v>
      </c>
      <c r="T36" s="169"/>
      <c r="U36" s="278"/>
      <c r="V36" s="278"/>
      <c r="W36" s="278"/>
      <c r="X36" s="134"/>
      <c r="Y36" s="169"/>
      <c r="Z36" s="169"/>
      <c r="AA36" s="169"/>
      <c r="AC36" s="134"/>
      <c r="AD36" s="169"/>
      <c r="AE36" s="169"/>
      <c r="AF36" s="169"/>
      <c r="AG36" s="278"/>
      <c r="AH36" s="278"/>
      <c r="AI36" s="278"/>
      <c r="AJ36" s="134"/>
      <c r="AK36" s="169"/>
      <c r="AL36" s="169"/>
      <c r="AM36" s="169"/>
    </row>
    <row r="37" spans="1:39" ht="15.75" customHeight="1">
      <c r="A37" s="134" t="s">
        <v>620</v>
      </c>
      <c r="B37" s="240">
        <f>+'NEW...Tables 91-112'!D43</f>
        <v>60.110266351140432</v>
      </c>
      <c r="C37" s="240">
        <f>+'NEW...Tables 91-112'!D74</f>
        <v>0</v>
      </c>
      <c r="D37" s="240">
        <f>+'NEW...Tables 91-112'!D104</f>
        <v>28.10382522134185</v>
      </c>
      <c r="E37" s="240">
        <f>+'NEW...Tables 91-112'!D135</f>
        <v>0</v>
      </c>
      <c r="F37" s="240">
        <f>+'NEW...Tables 91-112'!D166</f>
        <v>0</v>
      </c>
      <c r="G37" s="240">
        <f>+'NEW...Tables 91-112'!D196</f>
        <v>0</v>
      </c>
      <c r="H37" s="245">
        <f>+'NEW...Tables 91-112'!D11</f>
        <v>54.414499679918769</v>
      </c>
      <c r="I37" s="242">
        <f>+'NEW...Tables 91-112'!D258</f>
        <v>92.32748794388425</v>
      </c>
      <c r="J37" s="240">
        <f>+'NEW...Tables 91-112'!D289</f>
        <v>0</v>
      </c>
      <c r="K37" s="240">
        <f>+'NEW...Tables 91-112'!D320</f>
        <v>0</v>
      </c>
      <c r="L37" s="240">
        <f>+'NEW...Tables 91-112'!D351</f>
        <v>0</v>
      </c>
      <c r="M37" s="242">
        <f>+'NEW...Tables 91-112'!D227</f>
        <v>92.32748794388425</v>
      </c>
      <c r="N37" s="243">
        <f>+'NEW...Tables 91-112'!D412</f>
        <v>0</v>
      </c>
      <c r="O37" s="169">
        <f>+'NEW...Tables 91-112'!D442</f>
        <v>0</v>
      </c>
      <c r="P37" s="242">
        <f>+'NEW...Tables 91-112'!D382</f>
        <v>0</v>
      </c>
      <c r="Q37" s="277">
        <f>+'NEW...Tables 87-90'!H37-'OLD...Tables'!H36</f>
        <v>8.9286588293593141</v>
      </c>
      <c r="R37" s="277">
        <f>+'NEW...Tables 87-90'!M37-'OLD...Tables'!M36</f>
        <v>66.483293692777337</v>
      </c>
      <c r="S37" s="277">
        <f>+'NEW...Tables 87-90'!P37-'OLD...Tables'!P36</f>
        <v>0</v>
      </c>
      <c r="T37" s="169"/>
      <c r="U37" s="278"/>
      <c r="V37" s="279"/>
      <c r="W37" s="278"/>
      <c r="X37" s="134"/>
      <c r="Y37" s="169"/>
      <c r="Z37" s="169"/>
      <c r="AA37" s="169"/>
      <c r="AC37" s="134"/>
      <c r="AD37" s="169"/>
      <c r="AE37" s="169"/>
      <c r="AF37" s="169"/>
      <c r="AG37" s="278"/>
      <c r="AH37" s="278"/>
      <c r="AI37" s="278"/>
      <c r="AJ37" s="134"/>
      <c r="AK37" s="169"/>
      <c r="AL37" s="169"/>
      <c r="AM37" s="169"/>
    </row>
    <row r="38" spans="1:39" ht="15.75" customHeight="1">
      <c r="A38" s="134" t="s">
        <v>657</v>
      </c>
      <c r="B38" s="240">
        <f>+'NEW...Tables 91-112'!D44</f>
        <v>0</v>
      </c>
      <c r="C38" s="240">
        <f>+'NEW...Tables 91-112'!D75</f>
        <v>0</v>
      </c>
      <c r="D38" s="240">
        <f>+'NEW...Tables 91-112'!D105</f>
        <v>0</v>
      </c>
      <c r="E38" s="240">
        <f>+'NEW...Tables 91-112'!D136</f>
        <v>0</v>
      </c>
      <c r="F38" s="240">
        <f>+'NEW...Tables 91-112'!D167</f>
        <v>0</v>
      </c>
      <c r="G38" s="240">
        <f>+'NEW...Tables 91-112'!D197</f>
        <v>0</v>
      </c>
      <c r="H38" s="245">
        <f>+'NEW...Tables 91-112'!D12</f>
        <v>0</v>
      </c>
      <c r="I38" s="242">
        <f>+'NEW...Tables 91-112'!D259</f>
        <v>69.878364838780954</v>
      </c>
      <c r="J38" s="240">
        <f>+'NEW...Tables 91-112'!D290</f>
        <v>73.632461721104377</v>
      </c>
      <c r="K38" s="240">
        <f>+'NEW...Tables 91-112'!D321</f>
        <v>0</v>
      </c>
      <c r="L38" s="240">
        <f>+'NEW...Tables 91-112'!D352</f>
        <v>59.094443174022409</v>
      </c>
      <c r="M38" s="242">
        <f>+'NEW...Tables 91-112'!D228</f>
        <v>70.18829973702907</v>
      </c>
      <c r="N38" s="243">
        <f>+'NEW...Tables 91-112'!D413</f>
        <v>0</v>
      </c>
      <c r="O38" s="169">
        <f>+'NEW...Tables 91-112'!D443</f>
        <v>0</v>
      </c>
      <c r="P38" s="242">
        <f>+'NEW...Tables 91-112'!D383</f>
        <v>0</v>
      </c>
      <c r="Q38" s="277">
        <f>+'NEW...Tables 87-90'!H38-'OLD...Tables'!H37</f>
        <v>0</v>
      </c>
      <c r="R38" s="277">
        <f>+'NEW...Tables 87-90'!M38-'OLD...Tables'!M37</f>
        <v>8.7268854636032387</v>
      </c>
      <c r="S38" s="277">
        <f>+'NEW...Tables 87-90'!P38-'OLD...Tables'!P37</f>
        <v>0</v>
      </c>
      <c r="T38" s="169"/>
      <c r="U38" s="278"/>
      <c r="V38" s="278"/>
      <c r="W38" s="278"/>
      <c r="X38" s="134"/>
      <c r="Y38" s="169"/>
      <c r="Z38" s="169"/>
      <c r="AA38" s="169"/>
      <c r="AC38" s="134"/>
      <c r="AD38" s="169"/>
      <c r="AE38" s="169"/>
      <c r="AF38" s="169"/>
      <c r="AG38" s="278"/>
      <c r="AH38" s="278"/>
      <c r="AI38" s="278"/>
      <c r="AJ38" s="134"/>
      <c r="AK38" s="169"/>
      <c r="AL38" s="169"/>
      <c r="AM38" s="169"/>
    </row>
    <row r="39" spans="1:39" ht="15.75" customHeight="1">
      <c r="A39" s="134"/>
      <c r="B39" s="240"/>
      <c r="C39" s="240"/>
      <c r="D39" s="240"/>
      <c r="E39" s="240"/>
      <c r="F39" s="240"/>
      <c r="G39" s="240"/>
      <c r="H39" s="245"/>
      <c r="I39" s="242"/>
      <c r="J39" s="240"/>
      <c r="K39" s="240"/>
      <c r="L39" s="240"/>
      <c r="M39" s="242"/>
      <c r="N39" s="243"/>
      <c r="O39" s="169"/>
      <c r="P39" s="242"/>
      <c r="Q39" s="277"/>
      <c r="R39" s="277"/>
      <c r="S39" s="277"/>
      <c r="T39" s="169"/>
      <c r="U39" s="278"/>
      <c r="V39" s="278"/>
      <c r="W39" s="278"/>
      <c r="X39" s="134"/>
      <c r="Y39" s="169"/>
      <c r="Z39" s="169"/>
      <c r="AA39" s="169"/>
      <c r="AC39" s="134"/>
      <c r="AD39" s="169"/>
      <c r="AE39" s="169"/>
      <c r="AF39" s="169"/>
      <c r="AG39" s="278"/>
      <c r="AH39" s="278"/>
      <c r="AI39" s="278"/>
      <c r="AJ39" s="134"/>
      <c r="AK39" s="169"/>
      <c r="AL39" s="169"/>
      <c r="AM39" s="169"/>
    </row>
    <row r="40" spans="1:39" ht="15.75" customHeight="1">
      <c r="A40" s="134" t="s">
        <v>622</v>
      </c>
      <c r="B40" s="240">
        <f>+'NEW...Tables 91-112'!D46</f>
        <v>44.809642596626013</v>
      </c>
      <c r="C40" s="240">
        <f>+'NEW...Tables 91-112'!D77</f>
        <v>57.661766485430896</v>
      </c>
      <c r="D40" s="240">
        <f>+'NEW...Tables 91-112'!D107</f>
        <v>47.875105464799439</v>
      </c>
      <c r="E40" s="240">
        <f>+'NEW...Tables 91-112'!D138</f>
        <v>42.469186189204109</v>
      </c>
      <c r="F40" s="240">
        <f>+'NEW...Tables 91-112'!D169</f>
        <v>49.478402343277104</v>
      </c>
      <c r="G40" s="240">
        <f>+'NEW...Tables 91-112'!D199</f>
        <v>39.908148845972683</v>
      </c>
      <c r="H40" s="245">
        <f>+'NEW...Tables 91-112'!D14</f>
        <v>46.032905691152344</v>
      </c>
      <c r="I40" s="242">
        <f>+'NEW...Tables 91-112'!D261</f>
        <v>61.874915870238254</v>
      </c>
      <c r="J40" s="240">
        <f>+'NEW...Tables 91-112'!D292</f>
        <v>0</v>
      </c>
      <c r="K40" s="240">
        <f>+'NEW...Tables 91-112'!D323</f>
        <v>0</v>
      </c>
      <c r="L40" s="240">
        <f>+'NEW...Tables 91-112'!D354</f>
        <v>0</v>
      </c>
      <c r="M40" s="242">
        <f>+'NEW...Tables 91-112'!D230</f>
        <v>61.874915870238254</v>
      </c>
      <c r="N40" s="243">
        <f>+'NEW...Tables 91-112'!D415</f>
        <v>59.839027663273534</v>
      </c>
      <c r="O40" s="169">
        <f>+'NEW...Tables 91-112'!D445</f>
        <v>0</v>
      </c>
      <c r="P40" s="242">
        <f>+'NEW...Tables 91-112'!D385</f>
        <v>59.839027663273534</v>
      </c>
      <c r="Q40" s="277">
        <f>+'NEW...Tables 87-90'!H40-'OLD...Tables'!H39</f>
        <v>1.5463635798598787</v>
      </c>
      <c r="R40" s="277">
        <f>+'NEW...Tables 87-90'!M40-'OLD...Tables'!M39</f>
        <v>9.6478428959087168</v>
      </c>
      <c r="S40" s="277">
        <f>+'NEW...Tables 87-90'!P40-'OLD...Tables'!P39</f>
        <v>4.1053616731147144</v>
      </c>
      <c r="T40" s="169"/>
      <c r="U40" s="278"/>
      <c r="V40" s="278"/>
      <c r="W40" s="278"/>
      <c r="X40" s="134"/>
      <c r="Y40" s="169"/>
      <c r="Z40" s="169"/>
      <c r="AA40" s="169"/>
      <c r="AC40" s="134"/>
      <c r="AD40" s="169"/>
      <c r="AE40" s="169"/>
      <c r="AF40" s="169"/>
      <c r="AG40" s="278"/>
      <c r="AH40" s="278"/>
      <c r="AI40" s="278"/>
      <c r="AJ40" s="134"/>
      <c r="AK40" s="169"/>
      <c r="AL40" s="169"/>
      <c r="AM40" s="169"/>
    </row>
    <row r="41" spans="1:39" ht="15.75" customHeight="1">
      <c r="A41" s="134" t="s">
        <v>623</v>
      </c>
      <c r="B41" s="240">
        <f>+'NEW...Tables 91-112'!D47</f>
        <v>46.393475582408406</v>
      </c>
      <c r="C41" s="240">
        <f>+'NEW...Tables 91-112'!D78</f>
        <v>0</v>
      </c>
      <c r="D41" s="240">
        <f>+'NEW...Tables 91-112'!D108</f>
        <v>43.060479122035986</v>
      </c>
      <c r="E41" s="240">
        <f>+'NEW...Tables 91-112'!D139</f>
        <v>66.490656407035175</v>
      </c>
      <c r="F41" s="240">
        <f>+'NEW...Tables 91-112'!D170</f>
        <v>0</v>
      </c>
      <c r="G41" s="240">
        <f>+'NEW...Tables 91-112'!D200</f>
        <v>0</v>
      </c>
      <c r="H41" s="245">
        <f>+'NEW...Tables 91-112'!D15</f>
        <v>44.919420917509179</v>
      </c>
      <c r="I41" s="242">
        <f>+'NEW...Tables 91-112'!D262</f>
        <v>0</v>
      </c>
      <c r="J41" s="240">
        <f>+'NEW...Tables 91-112'!D293</f>
        <v>41.850015984149344</v>
      </c>
      <c r="K41" s="240">
        <f>+'NEW...Tables 91-112'!D324</f>
        <v>43.832816169070782</v>
      </c>
      <c r="L41" s="240">
        <f>+'NEW...Tables 91-112'!D355</f>
        <v>47.462791891198357</v>
      </c>
      <c r="M41" s="242">
        <f>+'NEW...Tables 91-112'!D231</f>
        <v>44.121460209234982</v>
      </c>
      <c r="N41" s="243">
        <f>+'NEW...Tables 91-112'!D416</f>
        <v>45.793175707429064</v>
      </c>
      <c r="O41" s="169">
        <f>+'NEW...Tables 91-112'!D446</f>
        <v>0</v>
      </c>
      <c r="P41" s="242">
        <f>+'NEW...Tables 91-112'!D386</f>
        <v>45.793175707429064</v>
      </c>
      <c r="Q41" s="277">
        <f>+'NEW...Tables 87-90'!H41-'OLD...Tables'!H40</f>
        <v>7.5114479468278219</v>
      </c>
      <c r="R41" s="277">
        <f>+'NEW...Tables 87-90'!M41-'OLD...Tables'!M40</f>
        <v>-7.3022001649741739</v>
      </c>
      <c r="S41" s="277">
        <f>+'NEW...Tables 87-90'!P41-'OLD...Tables'!P40</f>
        <v>2.2123001618663025</v>
      </c>
      <c r="T41" s="169"/>
      <c r="U41" s="278"/>
      <c r="V41" s="278"/>
      <c r="W41" s="278"/>
      <c r="X41" s="134"/>
      <c r="Y41" s="169"/>
      <c r="Z41" s="169"/>
      <c r="AA41" s="169"/>
      <c r="AC41" s="134"/>
      <c r="AD41" s="169"/>
      <c r="AE41" s="169"/>
      <c r="AF41" s="169"/>
      <c r="AG41" s="278"/>
      <c r="AH41" s="278"/>
      <c r="AI41" s="278"/>
      <c r="AJ41" s="134"/>
      <c r="AK41" s="169"/>
      <c r="AL41" s="169"/>
      <c r="AM41" s="169"/>
    </row>
    <row r="42" spans="1:39" ht="15.75" customHeight="1">
      <c r="A42" s="134" t="s">
        <v>624</v>
      </c>
      <c r="B42" s="240">
        <f>+'NEW...Tables 91-112'!D48</f>
        <v>35.876952426374146</v>
      </c>
      <c r="C42" s="240">
        <f>+'NEW...Tables 91-112'!D79</f>
        <v>36.144825846612811</v>
      </c>
      <c r="D42" s="240">
        <f>+'NEW...Tables 91-112'!D109</f>
        <v>29.988994794594692</v>
      </c>
      <c r="E42" s="240">
        <f>+'NEW...Tables 91-112'!D140</f>
        <v>53.352415589760462</v>
      </c>
      <c r="F42" s="240">
        <f>+'NEW...Tables 91-112'!D171</f>
        <v>100</v>
      </c>
      <c r="G42" s="240">
        <f>+'NEW...Tables 91-112'!D201</f>
        <v>54.027355623100249</v>
      </c>
      <c r="H42" s="245">
        <f>+'NEW...Tables 91-112'!D16</f>
        <v>38.957056073288435</v>
      </c>
      <c r="I42" s="242">
        <f>+'NEW...Tables 91-112'!D263</f>
        <v>0</v>
      </c>
      <c r="J42" s="240">
        <f>+'NEW...Tables 91-112'!D294</f>
        <v>67.13609041375075</v>
      </c>
      <c r="K42" s="240">
        <f>+'NEW...Tables 91-112'!D325</f>
        <v>53.107026217414123</v>
      </c>
      <c r="L42" s="240">
        <f>+'NEW...Tables 91-112'!D356</f>
        <v>48.357295402176135</v>
      </c>
      <c r="M42" s="242">
        <f>+'NEW...Tables 91-112'!D232</f>
        <v>58.731116385811596</v>
      </c>
      <c r="N42" s="243">
        <f>+'NEW...Tables 91-112'!D417</f>
        <v>36.103817495562232</v>
      </c>
      <c r="O42" s="169">
        <f>+'NEW...Tables 91-112'!D447</f>
        <v>4.4086021505376349</v>
      </c>
      <c r="P42" s="242">
        <f>+'NEW...Tables 91-112'!D387</f>
        <v>33.216273055884912</v>
      </c>
      <c r="Q42" s="277">
        <f>+'NEW...Tables 87-90'!H42-'OLD...Tables'!H41</f>
        <v>1.0823421034240681</v>
      </c>
      <c r="R42" s="277">
        <f>+'NEW...Tables 87-90'!M42-'OLD...Tables'!M41</f>
        <v>7.5716743411015912</v>
      </c>
      <c r="S42" s="277">
        <f>+'NEW...Tables 87-90'!P42-'OLD...Tables'!P41</f>
        <v>4.4146435691311403</v>
      </c>
      <c r="T42" s="169"/>
      <c r="U42" s="278"/>
      <c r="V42" s="278"/>
      <c r="W42" s="278"/>
      <c r="X42" s="134"/>
      <c r="Y42" s="169"/>
      <c r="Z42" s="169"/>
      <c r="AA42" s="169"/>
      <c r="AC42" s="134"/>
      <c r="AD42" s="169"/>
      <c r="AE42" s="169"/>
      <c r="AF42" s="169"/>
      <c r="AG42" s="278"/>
      <c r="AH42" s="278"/>
      <c r="AI42" s="278"/>
      <c r="AJ42" s="134"/>
      <c r="AK42" s="169"/>
      <c r="AL42" s="169"/>
      <c r="AM42" s="169"/>
    </row>
    <row r="43" spans="1:39" ht="15.75" customHeight="1">
      <c r="A43" s="134" t="s">
        <v>625</v>
      </c>
      <c r="B43" s="240">
        <f>+'NEW...Tables 91-112'!D49</f>
        <v>51.173890915933029</v>
      </c>
      <c r="C43" s="240">
        <f>+'NEW...Tables 91-112'!D80</f>
        <v>58.077694070866983</v>
      </c>
      <c r="D43" s="240">
        <f>+'NEW...Tables 91-112'!D110</f>
        <v>56.731493319666136</v>
      </c>
      <c r="E43" s="240">
        <f>+'NEW...Tables 91-112'!D141</f>
        <v>55.146855556312325</v>
      </c>
      <c r="F43" s="240">
        <f>+'NEW...Tables 91-112'!D172</f>
        <v>29.690486929999789</v>
      </c>
      <c r="G43" s="240">
        <f>+'NEW...Tables 91-112'!D202</f>
        <v>28.00669666213247</v>
      </c>
      <c r="H43" s="245">
        <f>+'NEW...Tables 91-112'!D17</f>
        <v>65.183674735913556</v>
      </c>
      <c r="I43" s="242">
        <f>+'NEW...Tables 91-112'!D264</f>
        <v>0</v>
      </c>
      <c r="J43" s="240">
        <f>+'NEW...Tables 91-112'!D295</f>
        <v>77.490551522598892</v>
      </c>
      <c r="K43" s="240">
        <f>+'NEW...Tables 91-112'!D326</f>
        <v>82.336389197562042</v>
      </c>
      <c r="L43" s="240">
        <f>+'NEW...Tables 91-112'!D357</f>
        <v>65.678905394042857</v>
      </c>
      <c r="M43" s="242">
        <f>+'NEW...Tables 91-112'!D233</f>
        <v>77.696007876802128</v>
      </c>
      <c r="N43" s="243">
        <f>+'NEW...Tables 91-112'!D418</f>
        <v>0</v>
      </c>
      <c r="O43" s="169">
        <f>+'NEW...Tables 91-112'!D448</f>
        <v>0</v>
      </c>
      <c r="P43" s="242">
        <f>+'NEW...Tables 91-112'!D388</f>
        <v>0</v>
      </c>
      <c r="Q43" s="277">
        <f>+'NEW...Tables 87-90'!H43-'OLD...Tables'!H42</f>
        <v>6.1837039423740308</v>
      </c>
      <c r="R43" s="277">
        <f>+'NEW...Tables 87-90'!M43-'OLD...Tables'!M42</f>
        <v>15.564961085921794</v>
      </c>
      <c r="S43" s="277">
        <f>+'NEW...Tables 87-90'!P43-'OLD...Tables'!P42</f>
        <v>0</v>
      </c>
      <c r="T43" s="169"/>
      <c r="U43" s="279"/>
      <c r="V43" s="278"/>
      <c r="W43" s="278"/>
      <c r="X43" s="134"/>
      <c r="Y43" s="169"/>
      <c r="Z43" s="169"/>
      <c r="AA43" s="169"/>
      <c r="AC43" s="134"/>
      <c r="AD43" s="169"/>
      <c r="AE43" s="169"/>
      <c r="AF43" s="169"/>
      <c r="AG43" s="278"/>
      <c r="AH43" s="278"/>
      <c r="AI43" s="278"/>
      <c r="AJ43" s="134"/>
      <c r="AK43" s="169"/>
      <c r="AL43" s="169"/>
      <c r="AM43" s="169"/>
    </row>
    <row r="44" spans="1:39" ht="15.75" customHeight="1">
      <c r="A44" s="134"/>
      <c r="B44" s="240"/>
      <c r="C44" s="240"/>
      <c r="D44" s="240"/>
      <c r="E44" s="240"/>
      <c r="F44" s="240"/>
      <c r="G44" s="240"/>
      <c r="H44" s="245"/>
      <c r="I44" s="242"/>
      <c r="J44" s="240"/>
      <c r="K44" s="240"/>
      <c r="L44" s="240"/>
      <c r="M44" s="242"/>
      <c r="N44" s="243"/>
      <c r="O44" s="169"/>
      <c r="P44" s="242"/>
      <c r="Q44" s="277"/>
      <c r="R44" s="277"/>
      <c r="S44" s="277"/>
      <c r="T44" s="169"/>
      <c r="U44" s="279"/>
      <c r="V44" s="278"/>
      <c r="W44" s="278"/>
      <c r="X44" s="134"/>
      <c r="Y44" s="169"/>
      <c r="Z44" s="169"/>
      <c r="AA44" s="169"/>
      <c r="AC44" s="134"/>
      <c r="AD44" s="169"/>
      <c r="AE44" s="169"/>
      <c r="AF44" s="169"/>
      <c r="AG44" s="278"/>
      <c r="AH44" s="278"/>
      <c r="AI44" s="278"/>
      <c r="AJ44" s="134"/>
      <c r="AK44" s="169"/>
      <c r="AL44" s="169"/>
      <c r="AM44" s="169"/>
    </row>
    <row r="45" spans="1:39" ht="15.75" customHeight="1">
      <c r="A45" s="134" t="s">
        <v>672</v>
      </c>
      <c r="B45" s="240">
        <f>+'NEW...Tables 91-112'!D51</f>
        <v>45.539011764705883</v>
      </c>
      <c r="C45" s="240">
        <f>+'NEW...Tables 91-112'!D82</f>
        <v>66.110542889717394</v>
      </c>
      <c r="D45" s="240">
        <f>+'NEW...Tables 91-112'!D112</f>
        <v>0</v>
      </c>
      <c r="E45" s="240">
        <f>+'NEW...Tables 91-112'!D143</f>
        <v>47.995569322711731</v>
      </c>
      <c r="F45" s="240">
        <f>+'NEW...Tables 91-112'!D174</f>
        <v>0</v>
      </c>
      <c r="G45" s="240">
        <f>+'NEW...Tables 91-112'!D204</f>
        <v>0</v>
      </c>
      <c r="H45" s="245">
        <f>+'NEW...Tables 91-112'!D19</f>
        <v>47.52903936935509</v>
      </c>
      <c r="I45" s="242">
        <f>+'NEW...Tables 91-112'!D266</f>
        <v>0</v>
      </c>
      <c r="J45" s="240">
        <f>+'NEW...Tables 91-112'!D297</f>
        <v>39.365451499711781</v>
      </c>
      <c r="K45" s="240">
        <f>+'NEW...Tables 91-112'!D328</f>
        <v>38.536085425964785</v>
      </c>
      <c r="L45" s="240">
        <f>+'NEW...Tables 91-112'!D359</f>
        <v>42.257225722572258</v>
      </c>
      <c r="M45" s="242">
        <f>+'NEW...Tables 91-112'!D235</f>
        <v>39.129714031938867</v>
      </c>
      <c r="N45" s="243">
        <f>+'NEW...Tables 91-112'!D420</f>
        <v>0</v>
      </c>
      <c r="O45" s="169">
        <f>+'NEW...Tables 91-112'!D450</f>
        <v>0</v>
      </c>
      <c r="P45" s="242">
        <f>+'NEW...Tables 91-112'!D390</f>
        <v>0</v>
      </c>
      <c r="Q45" s="277">
        <f>+'NEW...Tables 87-90'!H45-'OLD...Tables'!H44</f>
        <v>1.2110157259870959</v>
      </c>
      <c r="R45" s="277">
        <f>+'NEW...Tables 87-90'!M45-'OLD...Tables'!M44</f>
        <v>0.17716661363245834</v>
      </c>
      <c r="S45" s="277">
        <f>+'NEW...Tables 87-90'!P45-'OLD...Tables'!P44</f>
        <v>0</v>
      </c>
      <c r="T45" s="169"/>
      <c r="U45" s="278"/>
      <c r="V45" s="278"/>
      <c r="W45" s="278"/>
      <c r="X45" s="134"/>
      <c r="Y45" s="169"/>
      <c r="Z45" s="169"/>
      <c r="AA45" s="169"/>
      <c r="AC45" s="134"/>
      <c r="AD45" s="169"/>
      <c r="AE45" s="169"/>
      <c r="AF45" s="169"/>
      <c r="AG45" s="278"/>
      <c r="AH45" s="278"/>
      <c r="AI45" s="278"/>
      <c r="AJ45" s="134"/>
      <c r="AK45" s="169"/>
      <c r="AL45" s="169"/>
      <c r="AM45" s="169"/>
    </row>
    <row r="46" spans="1:39" ht="15.75" customHeight="1">
      <c r="A46" s="134" t="s">
        <v>627</v>
      </c>
      <c r="B46" s="240">
        <f>+'NEW...Tables 91-112'!D52</f>
        <v>58.146738437852044</v>
      </c>
      <c r="C46" s="240">
        <f>+'NEW...Tables 91-112'!D83</f>
        <v>57.143870549010508</v>
      </c>
      <c r="D46" s="240">
        <f>+'NEW...Tables 91-112'!D113</f>
        <v>53.895143007617293</v>
      </c>
      <c r="E46" s="240">
        <f>+'NEW...Tables 91-112'!D144</f>
        <v>77.095219631086252</v>
      </c>
      <c r="F46" s="240">
        <f>+'NEW...Tables 91-112'!D175</f>
        <v>67.150459206361447</v>
      </c>
      <c r="G46" s="240">
        <f>+'NEW...Tables 91-112'!D205</f>
        <v>42.348083407886591</v>
      </c>
      <c r="H46" s="245">
        <f>+'NEW...Tables 91-112'!D20</f>
        <v>57.270202555864579</v>
      </c>
      <c r="I46" s="242">
        <f>+'NEW...Tables 91-112'!D267</f>
        <v>0</v>
      </c>
      <c r="J46" s="240">
        <f>+'NEW...Tables 91-112'!D298</f>
        <v>75.812675122179741</v>
      </c>
      <c r="K46" s="240">
        <f>+'NEW...Tables 91-112'!D329</f>
        <v>70.891584268223127</v>
      </c>
      <c r="L46" s="240">
        <f>+'NEW...Tables 91-112'!D360</f>
        <v>69.01023812865246</v>
      </c>
      <c r="M46" s="242">
        <f>+'NEW...Tables 91-112'!D236</f>
        <v>72.841734492596984</v>
      </c>
      <c r="N46" s="243">
        <f>+'NEW...Tables 91-112'!D421</f>
        <v>0</v>
      </c>
      <c r="O46" s="169">
        <f>+'NEW...Tables 91-112'!D451</f>
        <v>0</v>
      </c>
      <c r="P46" s="242">
        <f>+'NEW...Tables 91-112'!D391</f>
        <v>0</v>
      </c>
      <c r="Q46" s="277">
        <f>+'NEW...Tables 87-90'!H46-'OLD...Tables'!H45</f>
        <v>5.8083799486156593</v>
      </c>
      <c r="R46" s="277">
        <f>+'NEW...Tables 87-90'!M46-'OLD...Tables'!M45</f>
        <v>8.6960085799452003</v>
      </c>
      <c r="S46" s="277">
        <f>+'NEW...Tables 87-90'!P46-'OLD...Tables'!P45</f>
        <v>0</v>
      </c>
      <c r="T46" s="169"/>
      <c r="U46" s="278"/>
      <c r="V46" s="278"/>
      <c r="W46" s="278"/>
      <c r="X46" s="134"/>
      <c r="Y46" s="169"/>
      <c r="Z46" s="169"/>
      <c r="AA46" s="169"/>
      <c r="AC46" s="134"/>
      <c r="AD46" s="169"/>
      <c r="AE46" s="169"/>
      <c r="AF46" s="169"/>
      <c r="AG46" s="278"/>
      <c r="AH46" s="278"/>
      <c r="AI46" s="278"/>
      <c r="AJ46" s="134"/>
      <c r="AK46" s="169"/>
      <c r="AL46" s="169"/>
      <c r="AM46" s="169"/>
    </row>
    <row r="47" spans="1:39" ht="15.75" customHeight="1">
      <c r="A47" s="134" t="s">
        <v>628</v>
      </c>
      <c r="B47" s="240">
        <f>+'NEW...Tables 91-112'!D53</f>
        <v>0</v>
      </c>
      <c r="C47" s="240">
        <f>+'NEW...Tables 91-112'!D84</f>
        <v>0</v>
      </c>
      <c r="D47" s="240">
        <f>+'NEW...Tables 91-112'!D114</f>
        <v>0</v>
      </c>
      <c r="E47" s="240">
        <f>+'NEW...Tables 91-112'!D145</f>
        <v>0</v>
      </c>
      <c r="F47" s="240">
        <f>+'NEW...Tables 91-112'!D176</f>
        <v>0</v>
      </c>
      <c r="G47" s="240">
        <f>+'NEW...Tables 91-112'!D206</f>
        <v>0</v>
      </c>
      <c r="H47" s="245">
        <f>+'NEW...Tables 91-112'!D21</f>
        <v>0</v>
      </c>
      <c r="I47" s="242">
        <f>+'NEW...Tables 91-112'!D268</f>
        <v>0</v>
      </c>
      <c r="J47" s="240">
        <f>+'NEW...Tables 91-112'!D299</f>
        <v>0</v>
      </c>
      <c r="K47" s="240">
        <f>+'NEW...Tables 91-112'!D330</f>
        <v>0</v>
      </c>
      <c r="L47" s="240">
        <f>+'NEW...Tables 91-112'!D361</f>
        <v>0</v>
      </c>
      <c r="M47" s="242">
        <f>+'NEW...Tables 91-112'!D237</f>
        <v>0</v>
      </c>
      <c r="N47" s="243">
        <f>+'NEW...Tables 91-112'!D422</f>
        <v>0</v>
      </c>
      <c r="O47" s="169">
        <f>+'NEW...Tables 91-112'!D452</f>
        <v>0</v>
      </c>
      <c r="P47" s="242">
        <f>+'NEW...Tables 91-112'!D392</f>
        <v>0</v>
      </c>
      <c r="Q47" s="277">
        <f>+'NEW...Tables 87-90'!H47-'OLD...Tables'!H46</f>
        <v>0</v>
      </c>
      <c r="R47" s="277">
        <f>+'NEW...Tables 87-90'!M47-'OLD...Tables'!M46</f>
        <v>0</v>
      </c>
      <c r="S47" s="277">
        <f>+'NEW...Tables 87-90'!P47-'OLD...Tables'!P46</f>
        <v>0</v>
      </c>
      <c r="T47" s="169"/>
      <c r="U47" s="278"/>
      <c r="V47" s="278"/>
      <c r="W47" s="278"/>
      <c r="X47" s="134"/>
      <c r="Y47" s="169"/>
      <c r="Z47" s="169"/>
      <c r="AA47" s="169"/>
      <c r="AC47" s="134"/>
      <c r="AD47" s="169"/>
      <c r="AE47" s="169"/>
      <c r="AF47" s="169"/>
      <c r="AG47" s="278"/>
      <c r="AH47" s="278"/>
      <c r="AI47" s="278"/>
      <c r="AJ47" s="134"/>
      <c r="AK47" s="169"/>
      <c r="AL47" s="169"/>
      <c r="AM47" s="169"/>
    </row>
    <row r="48" spans="1:39" ht="15.75" customHeight="1">
      <c r="A48" s="134" t="s">
        <v>629</v>
      </c>
      <c r="B48" s="240">
        <f>+'NEW...Tables 91-112'!D54</f>
        <v>47.299802611139896</v>
      </c>
      <c r="C48" s="240">
        <f>+'NEW...Tables 91-112'!D85</f>
        <v>0</v>
      </c>
      <c r="D48" s="240">
        <f>+'NEW...Tables 91-112'!D115</f>
        <v>36.655338024348602</v>
      </c>
      <c r="E48" s="240">
        <f>+'NEW...Tables 91-112'!D146</f>
        <v>36.482078929122267</v>
      </c>
      <c r="F48" s="240">
        <f>+'NEW...Tables 91-112'!D177</f>
        <v>33.822064431756843</v>
      </c>
      <c r="G48" s="240">
        <f>+'NEW...Tables 91-112'!D207</f>
        <v>54.53558526907144</v>
      </c>
      <c r="H48" s="245">
        <f>+'NEW...Tables 91-112'!D22</f>
        <v>43.946487238769414</v>
      </c>
      <c r="I48" s="242">
        <f>+'NEW...Tables 91-112'!D269</f>
        <v>0</v>
      </c>
      <c r="J48" s="240">
        <f>+'NEW...Tables 91-112'!D300</f>
        <v>75.380687989250248</v>
      </c>
      <c r="K48" s="240">
        <f>+'NEW...Tables 91-112'!D331</f>
        <v>66.251366159835712</v>
      </c>
      <c r="L48" s="240">
        <f>+'NEW...Tables 91-112'!D362</f>
        <v>64.311959988299009</v>
      </c>
      <c r="M48" s="242">
        <f>+'NEW...Tables 91-112'!D238</f>
        <v>70.307753672414975</v>
      </c>
      <c r="N48" s="243">
        <f>+'NEW...Tables 91-112'!D423</f>
        <v>0</v>
      </c>
      <c r="O48" s="169">
        <f>+'NEW...Tables 91-112'!D453</f>
        <v>0</v>
      </c>
      <c r="P48" s="242">
        <f>+'NEW...Tables 91-112'!D393</f>
        <v>0</v>
      </c>
      <c r="Q48" s="277">
        <f>+'NEW...Tables 87-90'!H48-'OLD...Tables'!H47</f>
        <v>5.944566289186163</v>
      </c>
      <c r="R48" s="277">
        <f>+'NEW...Tables 87-90'!M48-'OLD...Tables'!M47</f>
        <v>8.3683418302869867</v>
      </c>
      <c r="S48" s="277">
        <f>+'NEW...Tables 87-90'!P48-'OLD...Tables'!P47</f>
        <v>0</v>
      </c>
      <c r="T48" s="169"/>
      <c r="U48" s="278"/>
      <c r="V48" s="278"/>
      <c r="W48" s="278"/>
      <c r="X48" s="134"/>
      <c r="Y48" s="169"/>
      <c r="Z48" s="169"/>
      <c r="AA48" s="169"/>
    </row>
    <row r="49" spans="1:40" ht="15.75" customHeight="1">
      <c r="A49" s="134"/>
      <c r="B49" s="240"/>
      <c r="C49" s="240"/>
      <c r="D49" s="240"/>
      <c r="E49" s="240"/>
      <c r="F49" s="240"/>
      <c r="G49" s="240"/>
      <c r="H49" s="245"/>
      <c r="I49" s="242"/>
      <c r="J49" s="240"/>
      <c r="K49" s="240"/>
      <c r="L49" s="240"/>
      <c r="M49" s="242"/>
      <c r="N49" s="243"/>
      <c r="O49" s="169"/>
      <c r="P49" s="242"/>
      <c r="Q49" s="277"/>
      <c r="R49" s="277"/>
      <c r="S49" s="277"/>
      <c r="T49" s="169"/>
      <c r="U49" s="278"/>
      <c r="V49" s="278"/>
      <c r="W49" s="278"/>
      <c r="X49" s="134"/>
      <c r="Y49" s="169"/>
      <c r="Z49" s="169"/>
      <c r="AA49" s="169"/>
    </row>
    <row r="50" spans="1:40" ht="15.75" customHeight="1">
      <c r="A50" s="134" t="s">
        <v>630</v>
      </c>
      <c r="B50" s="240">
        <f>+'NEW...Tables 91-112'!D56</f>
        <v>37.01655545703025</v>
      </c>
      <c r="C50" s="240">
        <f>+'NEW...Tables 91-112'!D87</f>
        <v>37.849688773599752</v>
      </c>
      <c r="D50" s="240">
        <f>+'NEW...Tables 91-112'!D117</f>
        <v>60.098059215385589</v>
      </c>
      <c r="E50" s="240">
        <f>+'NEW...Tables 91-112'!D148</f>
        <v>43.794341771043179</v>
      </c>
      <c r="F50" s="240">
        <f>+'NEW...Tables 91-112'!D179</f>
        <v>0</v>
      </c>
      <c r="G50" s="240">
        <f>+'NEW...Tables 91-112'!D209</f>
        <v>0</v>
      </c>
      <c r="H50" s="245">
        <f>+'NEW...Tables 91-112'!D24</f>
        <v>43.85484799766926</v>
      </c>
      <c r="I50" s="242">
        <f>+'NEW...Tables 91-112'!D271</f>
        <v>0</v>
      </c>
      <c r="J50" s="240">
        <f>+'NEW...Tables 91-112'!D302</f>
        <v>78.31083240260584</v>
      </c>
      <c r="K50" s="240">
        <f>+'NEW...Tables 91-112'!D333</f>
        <v>69.544318045522076</v>
      </c>
      <c r="L50" s="240">
        <f>+'NEW...Tables 91-112'!D364</f>
        <v>49.798693965728873</v>
      </c>
      <c r="M50" s="242">
        <f>+'NEW...Tables 91-112'!D240</f>
        <v>73.44390928151428</v>
      </c>
      <c r="N50" s="243">
        <f>+'NEW...Tables 91-112'!D425</f>
        <v>0</v>
      </c>
      <c r="O50" s="169">
        <f>+'NEW...Tables 91-112'!D455</f>
        <v>0</v>
      </c>
      <c r="P50" s="242">
        <f>+'NEW...Tables 91-112'!D395</f>
        <v>0</v>
      </c>
      <c r="Q50" s="277">
        <f>+'NEW...Tables 87-90'!H50-'OLD...Tables'!H49</f>
        <v>4.5398564043577849</v>
      </c>
      <c r="R50" s="277">
        <f>+'NEW...Tables 87-90'!M50-'OLD...Tables'!M49</f>
        <v>13.189406530133184</v>
      </c>
      <c r="S50" s="277">
        <f>+'NEW...Tables 87-90'!P50-'OLD...Tables'!P49</f>
        <v>0</v>
      </c>
      <c r="T50" s="169"/>
      <c r="U50" s="278"/>
      <c r="V50" s="278"/>
      <c r="W50" s="278"/>
      <c r="X50" s="134"/>
      <c r="Y50" s="169"/>
      <c r="Z50" s="169"/>
      <c r="AA50" s="169"/>
    </row>
    <row r="51" spans="1:40" s="181" customFormat="1" ht="16.5" customHeight="1">
      <c r="A51" s="134" t="s">
        <v>631</v>
      </c>
      <c r="B51" s="240">
        <f>+'NEW...Tables 91-112'!D57</f>
        <v>53.532665701938477</v>
      </c>
      <c r="C51" s="240">
        <f>+'NEW...Tables 91-112'!D88</f>
        <v>57.661340786784024</v>
      </c>
      <c r="D51" s="240">
        <f>+'NEW...Tables 91-112'!D118</f>
        <v>59.400274989361883</v>
      </c>
      <c r="E51" s="240">
        <f>+'NEW...Tables 91-112'!D149</f>
        <v>80.248867104708793</v>
      </c>
      <c r="F51" s="240">
        <f>+'NEW...Tables 91-112'!D180</f>
        <v>26.298840363595986</v>
      </c>
      <c r="G51" s="240">
        <f>+'NEW...Tables 91-112'!D210</f>
        <v>0</v>
      </c>
      <c r="H51" s="245">
        <f>+'NEW...Tables 91-112'!D25</f>
        <v>56.83559748764015</v>
      </c>
      <c r="I51" s="242">
        <f>+'NEW...Tables 91-112'!D272</f>
        <v>74.0190676526461</v>
      </c>
      <c r="J51" s="240">
        <f>+'NEW...Tables 91-112'!D303</f>
        <v>76.994564270033976</v>
      </c>
      <c r="K51" s="240">
        <f>+'NEW...Tables 91-112'!D334</f>
        <v>61.990239440197115</v>
      </c>
      <c r="L51" s="240">
        <f>+'NEW...Tables 91-112'!D365</f>
        <v>63.759866193695743</v>
      </c>
      <c r="M51" s="242">
        <f>+'NEW...Tables 91-112'!D241</f>
        <v>73.873065962934845</v>
      </c>
      <c r="N51" s="243">
        <f>+'NEW...Tables 91-112'!D426</f>
        <v>0</v>
      </c>
      <c r="O51" s="169">
        <f>+'NEW...Tables 91-112'!D456</f>
        <v>0</v>
      </c>
      <c r="P51" s="242">
        <f>+'NEW...Tables 91-112'!D396</f>
        <v>0</v>
      </c>
      <c r="Q51" s="277">
        <f>+'NEW...Tables 87-90'!H51-'OLD...Tables'!H50</f>
        <v>1.2197866796717918</v>
      </c>
      <c r="R51" s="277">
        <f>+'NEW...Tables 87-90'!M51-'OLD...Tables'!M50</f>
        <v>15.041474923448099</v>
      </c>
      <c r="S51" s="277">
        <f>+'NEW...Tables 87-90'!P51-'OLD...Tables'!P50</f>
        <v>0</v>
      </c>
      <c r="T51" s="169"/>
      <c r="U51" s="278"/>
      <c r="V51" s="278"/>
      <c r="W51" s="278"/>
      <c r="X51" s="134"/>
      <c r="Y51" s="169"/>
      <c r="Z51" s="169"/>
      <c r="AA51" s="169"/>
      <c r="AB51" s="54"/>
      <c r="AC51" s="54"/>
      <c r="AD51" s="54"/>
      <c r="AE51" s="54"/>
      <c r="AF51" s="54"/>
      <c r="AG51" s="54"/>
      <c r="AH51" s="54"/>
      <c r="AI51" s="54"/>
      <c r="AJ51" s="54"/>
      <c r="AK51" s="54"/>
      <c r="AL51" s="54"/>
      <c r="AM51" s="54"/>
      <c r="AN51" s="54"/>
    </row>
    <row r="52" spans="1:40" s="181" customFormat="1" ht="14.25" customHeight="1">
      <c r="A52" s="134" t="s">
        <v>632</v>
      </c>
      <c r="B52" s="240">
        <f>+'NEW...Tables 91-112'!D58</f>
        <v>57.201562244464192</v>
      </c>
      <c r="C52" s="240">
        <f>+'NEW...Tables 91-112'!D89</f>
        <v>46.536922742087597</v>
      </c>
      <c r="D52" s="240">
        <f>+'NEW...Tables 91-112'!D119</f>
        <v>47.750544214208048</v>
      </c>
      <c r="E52" s="240">
        <f>+'NEW...Tables 91-112'!D150</f>
        <v>48.342419220588347</v>
      </c>
      <c r="F52" s="240">
        <f>+'NEW...Tables 91-112'!D181</f>
        <v>33.100437197910438</v>
      </c>
      <c r="G52" s="240">
        <f>+'NEW...Tables 91-112'!D211</f>
        <v>27.904515014041909</v>
      </c>
      <c r="H52" s="245">
        <f>+'NEW...Tables 91-112'!D26</f>
        <v>52.880169151973362</v>
      </c>
      <c r="I52" s="242">
        <f>+'NEW...Tables 91-112'!D273</f>
        <v>0</v>
      </c>
      <c r="J52" s="240">
        <f>+'NEW...Tables 91-112'!D304</f>
        <v>71.588745872884857</v>
      </c>
      <c r="K52" s="240">
        <f>+'NEW...Tables 91-112'!D335</f>
        <v>74.926415491021615</v>
      </c>
      <c r="L52" s="240">
        <f>+'NEW...Tables 91-112'!D366</f>
        <v>66.814737161049607</v>
      </c>
      <c r="M52" s="242">
        <f>+'NEW...Tables 91-112'!D242</f>
        <v>71.704597680002365</v>
      </c>
      <c r="N52" s="243">
        <f>+'NEW...Tables 91-112'!D427</f>
        <v>0</v>
      </c>
      <c r="O52" s="169">
        <f>+'NEW...Tables 91-112'!D457</f>
        <v>0</v>
      </c>
      <c r="P52" s="242">
        <f>+'NEW...Tables 91-112'!D397</f>
        <v>0</v>
      </c>
      <c r="Q52" s="277">
        <f>+'NEW...Tables 87-90'!H52-'OLD...Tables'!H51</f>
        <v>10.74491981245577</v>
      </c>
      <c r="R52" s="277">
        <f>+'NEW...Tables 87-90'!M52-'OLD...Tables'!M51</f>
        <v>15.015619335495657</v>
      </c>
      <c r="S52" s="277">
        <f>+'NEW...Tables 87-90'!P52-'OLD...Tables'!P51</f>
        <v>0</v>
      </c>
      <c r="T52" s="169"/>
      <c r="U52" s="278"/>
      <c r="V52" s="278"/>
      <c r="W52" s="278"/>
      <c r="X52" s="134"/>
      <c r="Y52" s="169"/>
      <c r="Z52" s="169"/>
      <c r="AA52" s="169"/>
      <c r="AB52" s="54"/>
      <c r="AC52" s="54"/>
      <c r="AD52" s="54"/>
      <c r="AE52" s="54"/>
      <c r="AF52" s="54"/>
      <c r="AG52" s="54"/>
      <c r="AH52" s="54"/>
      <c r="AI52" s="54"/>
      <c r="AJ52" s="54"/>
      <c r="AK52" s="54"/>
      <c r="AL52" s="54"/>
      <c r="AM52" s="54"/>
      <c r="AN52" s="54"/>
    </row>
    <row r="53" spans="1:40" s="181" customFormat="1" ht="15" customHeight="1">
      <c r="A53" s="134" t="s">
        <v>633</v>
      </c>
      <c r="B53" s="240">
        <f>+'NEW...Tables 91-112'!D59</f>
        <v>49.033428376883137</v>
      </c>
      <c r="C53" s="240">
        <f>+'NEW...Tables 91-112'!D90</f>
        <v>0</v>
      </c>
      <c r="D53" s="240">
        <f>+'NEW...Tables 91-112'!D120</f>
        <v>49.448988298944265</v>
      </c>
      <c r="E53" s="240">
        <f>+'NEW...Tables 91-112'!D151</f>
        <v>22.191403314126195</v>
      </c>
      <c r="F53" s="240">
        <f>+'NEW...Tables 91-112'!D182</f>
        <v>52.96625530372269</v>
      </c>
      <c r="G53" s="240">
        <f>+'NEW...Tables 91-112'!D212</f>
        <v>42.281438571083761</v>
      </c>
      <c r="H53" s="245">
        <f>+'NEW...Tables 91-112'!D27</f>
        <v>46.659879912937711</v>
      </c>
      <c r="I53" s="242">
        <f>+'NEW...Tables 91-112'!D274</f>
        <v>46.182056484643788</v>
      </c>
      <c r="J53" s="240">
        <f>+'NEW...Tables 91-112'!D305</f>
        <v>0</v>
      </c>
      <c r="K53" s="240">
        <f>+'NEW...Tables 91-112'!D336</f>
        <v>80.8339613162522</v>
      </c>
      <c r="L53" s="240">
        <f>+'NEW...Tables 91-112'!D367</f>
        <v>58.697024046764973</v>
      </c>
      <c r="M53" s="242">
        <f>+'NEW...Tables 91-112'!D243</f>
        <v>58.324188561307771</v>
      </c>
      <c r="N53" s="243">
        <f>+'NEW...Tables 91-112'!D428</f>
        <v>0</v>
      </c>
      <c r="O53" s="169">
        <f>+'NEW...Tables 91-112'!D458</f>
        <v>0</v>
      </c>
      <c r="P53" s="242">
        <f>+'NEW...Tables 91-112'!D398</f>
        <v>0</v>
      </c>
      <c r="Q53" s="277">
        <f>+'NEW...Tables 87-90'!H53-'OLD...Tables'!H52</f>
        <v>4.3653639020585757</v>
      </c>
      <c r="R53" s="277">
        <f>+'NEW...Tables 87-90'!M53-'OLD...Tables'!M52</f>
        <v>9.8537635189642785</v>
      </c>
      <c r="S53" s="277">
        <f>+'NEW...Tables 87-90'!P53-'OLD...Tables'!P52</f>
        <v>0</v>
      </c>
      <c r="T53" s="169"/>
      <c r="U53" s="278"/>
      <c r="V53" s="278"/>
      <c r="W53" s="278"/>
      <c r="X53" s="134"/>
      <c r="Y53" s="169"/>
      <c r="Z53" s="169"/>
      <c r="AA53" s="169"/>
      <c r="AB53" s="54"/>
      <c r="AC53" s="54"/>
      <c r="AD53" s="54"/>
      <c r="AE53" s="54"/>
      <c r="AF53" s="54"/>
      <c r="AG53" s="54"/>
      <c r="AH53" s="54"/>
      <c r="AI53" s="54"/>
      <c r="AJ53" s="54"/>
      <c r="AK53" s="54"/>
      <c r="AL53" s="54"/>
      <c r="AM53" s="54"/>
      <c r="AN53" s="54"/>
    </row>
    <row r="54" spans="1:40" s="181" customFormat="1" ht="28.5" customHeight="1">
      <c r="A54" s="629" t="s">
        <v>744</v>
      </c>
      <c r="B54" s="629"/>
      <c r="C54" s="629"/>
      <c r="D54" s="629"/>
      <c r="E54" s="629"/>
      <c r="F54" s="629"/>
      <c r="G54" s="629"/>
      <c r="H54" s="629"/>
      <c r="I54" s="629"/>
      <c r="J54" s="629"/>
      <c r="K54" s="629"/>
      <c r="L54" s="629"/>
      <c r="M54" s="629"/>
      <c r="N54" s="629"/>
      <c r="O54" s="629"/>
      <c r="P54" s="629"/>
    </row>
    <row r="55" spans="1:40" s="181" customFormat="1" ht="27" customHeight="1">
      <c r="A55" s="630" t="s">
        <v>687</v>
      </c>
      <c r="B55" s="631"/>
      <c r="C55" s="631"/>
      <c r="D55" s="631"/>
      <c r="E55" s="631"/>
      <c r="F55" s="631"/>
      <c r="G55" s="631"/>
      <c r="H55" s="631"/>
      <c r="I55" s="631"/>
      <c r="J55" s="631"/>
      <c r="K55" s="631"/>
      <c r="L55" s="631"/>
      <c r="M55" s="631"/>
      <c r="N55" s="631"/>
      <c r="O55" s="631"/>
      <c r="P55" s="631"/>
    </row>
    <row r="56" spans="1:40" s="134" customFormat="1" ht="3" customHeight="1">
      <c r="A56" s="180"/>
      <c r="B56" s="222"/>
      <c r="C56" s="222"/>
      <c r="D56" s="222"/>
      <c r="E56" s="222"/>
      <c r="F56" s="222"/>
      <c r="G56" s="222"/>
      <c r="H56" s="222"/>
      <c r="I56" s="222"/>
      <c r="J56" s="222"/>
      <c r="K56" s="222"/>
      <c r="L56" s="222"/>
      <c r="M56" s="222"/>
      <c r="N56" s="222"/>
      <c r="O56" s="222"/>
      <c r="P56" s="222"/>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row>
    <row r="57" spans="1:40">
      <c r="A57" s="181"/>
      <c r="B57" s="181"/>
      <c r="C57" s="181"/>
      <c r="D57" s="181"/>
      <c r="E57" s="181"/>
      <c r="F57" s="181"/>
      <c r="G57" s="181"/>
      <c r="H57" s="181"/>
      <c r="I57" s="181"/>
      <c r="J57" s="181"/>
      <c r="K57" s="181"/>
      <c r="L57" s="181"/>
      <c r="M57" s="251"/>
      <c r="N57" s="181"/>
      <c r="O57" s="181"/>
      <c r="P57" s="187" t="s">
        <v>991</v>
      </c>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row>
    <row r="58" spans="1:40" ht="18">
      <c r="A58" s="129" t="s">
        <v>688</v>
      </c>
      <c r="B58" s="130"/>
      <c r="C58" s="130"/>
      <c r="D58" s="130"/>
      <c r="E58" s="130"/>
      <c r="F58" s="130"/>
      <c r="G58" s="225"/>
      <c r="H58" s="225"/>
      <c r="I58" s="258" t="s">
        <v>533</v>
      </c>
      <c r="J58" s="258"/>
      <c r="K58" s="258"/>
      <c r="L58" s="258"/>
      <c r="M58" s="258"/>
    </row>
    <row r="59" spans="1:40" ht="9.75" customHeight="1">
      <c r="A59" s="135"/>
      <c r="B59" s="131"/>
      <c r="C59" s="131"/>
      <c r="D59" s="131"/>
      <c r="E59" s="131"/>
      <c r="F59" s="131"/>
      <c r="G59" s="131"/>
      <c r="H59" s="131"/>
      <c r="I59" s="260"/>
      <c r="J59" s="260"/>
      <c r="K59" s="260"/>
      <c r="L59" s="260"/>
      <c r="M59" s="260"/>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row>
    <row r="60" spans="1:40" ht="18">
      <c r="A60" s="137" t="s">
        <v>689</v>
      </c>
      <c r="B60" s="130"/>
      <c r="C60" s="130"/>
      <c r="D60" s="130"/>
      <c r="E60" s="130"/>
      <c r="F60" s="130"/>
      <c r="G60" s="225"/>
      <c r="H60" s="225"/>
      <c r="I60" s="258" t="s">
        <v>533</v>
      </c>
      <c r="J60" s="258"/>
      <c r="K60" s="258"/>
      <c r="L60" s="258"/>
      <c r="M60" s="258"/>
    </row>
    <row r="61" spans="1:40" s="235" customFormat="1" ht="15.75">
      <c r="A61" s="137" t="s">
        <v>690</v>
      </c>
      <c r="B61" s="131"/>
      <c r="C61" s="131"/>
      <c r="D61" s="131"/>
      <c r="E61" s="131"/>
      <c r="F61" s="131"/>
      <c r="G61" s="225"/>
      <c r="H61" s="225"/>
      <c r="I61" s="258" t="s">
        <v>533</v>
      </c>
      <c r="J61" s="258"/>
      <c r="K61" s="258"/>
      <c r="L61" s="258"/>
      <c r="M61" s="258"/>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row>
    <row r="62" spans="1:40" s="239" customFormat="1" ht="15.75">
      <c r="A62" s="137" t="s">
        <v>960</v>
      </c>
      <c r="B62" s="131"/>
      <c r="C62" s="131"/>
      <c r="D62" s="131"/>
      <c r="E62" s="131"/>
      <c r="F62" s="131"/>
      <c r="G62" s="225"/>
      <c r="H62" s="225"/>
      <c r="I62" s="258" t="s">
        <v>533</v>
      </c>
      <c r="J62" s="258"/>
      <c r="K62" s="258"/>
      <c r="L62" s="258"/>
      <c r="M62" s="258"/>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row>
    <row r="63" spans="1:40" ht="12" customHeight="1">
      <c r="A63" s="268"/>
      <c r="B63" s="229"/>
      <c r="C63" s="229"/>
      <c r="D63" s="229"/>
      <c r="E63" s="229"/>
      <c r="F63" s="229"/>
      <c r="G63" s="229"/>
      <c r="H63" s="229"/>
    </row>
    <row r="64" spans="1:40" ht="15.75" customHeight="1">
      <c r="A64" s="280"/>
      <c r="B64" s="146" t="s">
        <v>517</v>
      </c>
      <c r="C64" s="146"/>
      <c r="D64" s="146"/>
      <c r="E64" s="146"/>
      <c r="F64" s="146"/>
      <c r="G64" s="146"/>
      <c r="H64" s="146"/>
      <c r="I64" s="239" t="s">
        <v>533</v>
      </c>
      <c r="J64" s="239"/>
      <c r="K64" s="239"/>
      <c r="L64" s="239"/>
      <c r="M64" s="239"/>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row>
    <row r="65" spans="1:40" ht="15.75" customHeight="1">
      <c r="A65" s="281"/>
      <c r="B65" s="152">
        <v>1</v>
      </c>
      <c r="C65" s="152">
        <v>2</v>
      </c>
      <c r="D65" s="152">
        <v>3</v>
      </c>
      <c r="E65" s="152">
        <v>4</v>
      </c>
      <c r="F65" s="152">
        <v>5</v>
      </c>
      <c r="G65" s="152">
        <v>6</v>
      </c>
      <c r="H65" s="151" t="s">
        <v>694</v>
      </c>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row>
    <row r="66" spans="1:40" ht="15.75" customHeight="1">
      <c r="A66" s="134" t="s">
        <v>618</v>
      </c>
      <c r="B66" s="263">
        <f>+'NEW...Tables 91-112'!J41+'NEW...Tables 91-112'!K41</f>
        <v>64.38800683155165</v>
      </c>
      <c r="C66" s="263">
        <f>+'NEW...Tables 91-112'!J72+'NEW...Tables 91-112'!K72</f>
        <v>50.164997724169325</v>
      </c>
      <c r="D66" s="263">
        <f>+'NEW...Tables 91-112'!J102+'NEW...Tables 91-112'!K102</f>
        <v>16.999423501268961</v>
      </c>
      <c r="E66" s="263">
        <f>+'NEW...Tables 91-112'!J133+'NEW...Tables 91-112'!K133</f>
        <v>8.8433840566096809</v>
      </c>
      <c r="F66" s="263">
        <f>+'NEW...Tables 91-112'!J164+'NEW...Tables 91-112'!K164</f>
        <v>42.24410833626451</v>
      </c>
      <c r="G66" s="263">
        <f>+'NEW...Tables 91-112'!J194+'NEW...Tables 91-112'!K194</f>
        <v>0</v>
      </c>
      <c r="H66" s="244">
        <f>+'NEW...Tables 91-112'!J9+'NEW...Tables 91-112'!K9</f>
        <v>43.786618137065567</v>
      </c>
      <c r="I66" s="264"/>
      <c r="J66" s="264"/>
      <c r="K66" s="264"/>
      <c r="L66" s="264"/>
      <c r="M66" s="264"/>
    </row>
    <row r="67" spans="1:40" ht="15.75" customHeight="1">
      <c r="A67" s="134" t="s">
        <v>619</v>
      </c>
      <c r="B67" s="240">
        <f>+'NEW...Tables 91-112'!J42+'NEW...Tables 91-112'!K42</f>
        <v>37.477029760184919</v>
      </c>
      <c r="C67" s="240">
        <f>+'NEW...Tables 91-112'!J73+'NEW...Tables 91-112'!K73</f>
        <v>48.438353172436379</v>
      </c>
      <c r="D67" s="240">
        <f>+'NEW...Tables 91-112'!J103+'NEW...Tables 91-112'!K103</f>
        <v>15.818555641223336</v>
      </c>
      <c r="E67" s="240">
        <f>+'NEW...Tables 91-112'!J134+'NEW...Tables 91-112'!K134</f>
        <v>9.2093805362880232</v>
      </c>
      <c r="F67" s="240">
        <f>+'NEW...Tables 91-112'!J165+'NEW...Tables 91-112'!K165</f>
        <v>0</v>
      </c>
      <c r="G67" s="240">
        <f>+'NEW...Tables 91-112'!J195+'NEW...Tables 91-112'!K195</f>
        <v>14.793741109530584</v>
      </c>
      <c r="H67" s="242">
        <f>+'NEW...Tables 91-112'!J10+'NEW...Tables 91-112'!K10</f>
        <v>30.602447983662429</v>
      </c>
      <c r="I67" s="264"/>
      <c r="J67" s="264"/>
      <c r="K67" s="264"/>
      <c r="L67" s="264"/>
      <c r="M67" s="264"/>
    </row>
    <row r="68" spans="1:40" ht="15.75" customHeight="1">
      <c r="A68" s="134" t="s">
        <v>620</v>
      </c>
      <c r="B68" s="240">
        <f>+'NEW...Tables 91-112'!J43+'NEW...Tables 91-112'!K43</f>
        <v>43.756063545961673</v>
      </c>
      <c r="C68" s="240">
        <f>+'NEW...Tables 91-112'!J74+'NEW...Tables 91-112'!K74</f>
        <v>0</v>
      </c>
      <c r="D68" s="240">
        <f>+'NEW...Tables 91-112'!J104+'NEW...Tables 91-112'!K104</f>
        <v>41.807832110280501</v>
      </c>
      <c r="E68" s="240">
        <f>+'NEW...Tables 91-112'!J135+'NEW...Tables 91-112'!K135</f>
        <v>0</v>
      </c>
      <c r="F68" s="240">
        <f>+'NEW...Tables 91-112'!J166+'NEW...Tables 91-112'!K166</f>
        <v>0</v>
      </c>
      <c r="G68" s="240">
        <f>+'NEW...Tables 91-112'!J196+'NEW...Tables 91-112'!K196</f>
        <v>0</v>
      </c>
      <c r="H68" s="242">
        <f>+'NEW...Tables 91-112'!J11+'NEW...Tables 91-112'!K11</f>
        <v>43.403394207252724</v>
      </c>
      <c r="I68" s="264"/>
      <c r="J68" s="264"/>
      <c r="K68" s="264"/>
      <c r="L68" s="264"/>
      <c r="M68" s="264"/>
    </row>
    <row r="69" spans="1:40" ht="15.75" customHeight="1">
      <c r="A69" s="134" t="s">
        <v>621</v>
      </c>
      <c r="B69" s="240">
        <f>+'NEW...Tables 91-112'!J44+'NEW...Tables 91-112'!K44</f>
        <v>0</v>
      </c>
      <c r="C69" s="240">
        <f>+'NEW...Tables 91-112'!J75+'NEW...Tables 91-112'!K75</f>
        <v>0</v>
      </c>
      <c r="D69" s="240">
        <f>+'NEW...Tables 91-112'!J105+'NEW...Tables 91-112'!K105</f>
        <v>0</v>
      </c>
      <c r="E69" s="240">
        <f>+'NEW...Tables 91-112'!J136+'NEW...Tables 91-112'!K136</f>
        <v>0</v>
      </c>
      <c r="F69" s="240">
        <f>+'NEW...Tables 91-112'!J167+'NEW...Tables 91-112'!K167</f>
        <v>0</v>
      </c>
      <c r="G69" s="240">
        <f>+'NEW...Tables 91-112'!J197+'NEW...Tables 91-112'!K197</f>
        <v>0</v>
      </c>
      <c r="H69" s="242">
        <f>+'NEW...Tables 91-112'!J12+'NEW...Tables 91-112'!K12</f>
        <v>0</v>
      </c>
      <c r="I69" s="264"/>
      <c r="J69" s="264"/>
      <c r="K69" s="264"/>
      <c r="L69" s="264"/>
      <c r="M69" s="264"/>
    </row>
    <row r="70" spans="1:40" ht="15.75" customHeight="1">
      <c r="A70" s="134"/>
      <c r="B70" s="240"/>
      <c r="C70" s="240"/>
      <c r="D70" s="240"/>
      <c r="E70" s="240"/>
      <c r="F70" s="240"/>
      <c r="G70" s="240"/>
      <c r="H70" s="242"/>
      <c r="I70" s="264"/>
      <c r="J70" s="264"/>
      <c r="K70" s="264"/>
      <c r="L70" s="264"/>
      <c r="M70" s="264"/>
    </row>
    <row r="71" spans="1:40" ht="15.75" customHeight="1">
      <c r="A71" s="134" t="s">
        <v>622</v>
      </c>
      <c r="B71" s="240">
        <f>+'NEW...Tables 91-112'!J46+'NEW...Tables 91-112'!K46</f>
        <v>76.872794435476678</v>
      </c>
      <c r="C71" s="240">
        <f>+'NEW...Tables 91-112'!J77+'NEW...Tables 91-112'!K77</f>
        <v>46.04167845782915</v>
      </c>
      <c r="D71" s="240">
        <f>+'NEW...Tables 91-112'!J107+'NEW...Tables 91-112'!K107</f>
        <v>21.74363034343984</v>
      </c>
      <c r="E71" s="240">
        <f>+'NEW...Tables 91-112'!J138+'NEW...Tables 91-112'!K138</f>
        <v>61.569446201864281</v>
      </c>
      <c r="F71" s="240">
        <f>+'NEW...Tables 91-112'!J169+'NEW...Tables 91-112'!K169</f>
        <v>28.420805998125587</v>
      </c>
      <c r="G71" s="240">
        <f>+'NEW...Tables 91-112'!J199+'NEW...Tables 91-112'!K199</f>
        <v>0</v>
      </c>
      <c r="H71" s="242">
        <f>+'NEW...Tables 91-112'!J14+'NEW...Tables 91-112'!K14</f>
        <v>55.658303516332779</v>
      </c>
      <c r="I71" s="264"/>
      <c r="J71" s="264"/>
      <c r="K71" s="264"/>
      <c r="L71" s="264"/>
      <c r="M71" s="264"/>
    </row>
    <row r="72" spans="1:40" ht="15.75" customHeight="1">
      <c r="A72" s="134" t="s">
        <v>623</v>
      </c>
      <c r="B72" s="240">
        <f>+'NEW...Tables 91-112'!J47+'NEW...Tables 91-112'!K47</f>
        <v>42.324511877142911</v>
      </c>
      <c r="C72" s="240">
        <f>+'NEW...Tables 91-112'!J78+'NEW...Tables 91-112'!K78</f>
        <v>0</v>
      </c>
      <c r="D72" s="240">
        <f>+'NEW...Tables 91-112'!J108+'NEW...Tables 91-112'!K108</f>
        <v>25.516224188790559</v>
      </c>
      <c r="E72" s="240">
        <f>+'NEW...Tables 91-112'!J139+'NEW...Tables 91-112'!K139</f>
        <v>32.32169954476479</v>
      </c>
      <c r="F72" s="240">
        <f>+'NEW...Tables 91-112'!J170+'NEW...Tables 91-112'!K170</f>
        <v>0</v>
      </c>
      <c r="G72" s="240">
        <f>+'NEW...Tables 91-112'!J200+'NEW...Tables 91-112'!K200</f>
        <v>0</v>
      </c>
      <c r="H72" s="242">
        <f>+'NEW...Tables 91-112'!J15+'NEW...Tables 91-112'!K15</f>
        <v>33.9393760854975</v>
      </c>
      <c r="I72" s="264"/>
      <c r="J72" s="264"/>
      <c r="K72" s="264"/>
      <c r="L72" s="264"/>
      <c r="M72" s="264"/>
    </row>
    <row r="73" spans="1:40" ht="15.75" customHeight="1">
      <c r="A73" s="134" t="s">
        <v>624</v>
      </c>
      <c r="B73" s="240">
        <f>+'NEW...Tables 91-112'!J48+'NEW...Tables 91-112'!K48</f>
        <v>79.388426553125569</v>
      </c>
      <c r="C73" s="240">
        <f>+'NEW...Tables 91-112'!J79+'NEW...Tables 91-112'!K79</f>
        <v>64.072555978934034</v>
      </c>
      <c r="D73" s="240">
        <f>+'NEW...Tables 91-112'!J109+'NEW...Tables 91-112'!K109</f>
        <v>54.401217040926589</v>
      </c>
      <c r="E73" s="240">
        <f>+'NEW...Tables 91-112'!J140+'NEW...Tables 91-112'!K140</f>
        <v>17.780355013686478</v>
      </c>
      <c r="F73" s="240">
        <f>+'NEW...Tables 91-112'!J171+'NEW...Tables 91-112'!K171</f>
        <v>0</v>
      </c>
      <c r="G73" s="240">
        <f>+'NEW...Tables 91-112'!J201+'NEW...Tables 91-112'!K201</f>
        <v>0</v>
      </c>
      <c r="H73" s="242">
        <f>+'NEW...Tables 91-112'!J16+'NEW...Tables 91-112'!K16</f>
        <v>51.373514971968994</v>
      </c>
      <c r="I73" s="264"/>
      <c r="J73" s="264"/>
      <c r="K73" s="264"/>
      <c r="L73" s="264"/>
      <c r="M73" s="264"/>
    </row>
    <row r="74" spans="1:40" ht="15.75" customHeight="1">
      <c r="A74" s="134" t="s">
        <v>625</v>
      </c>
      <c r="B74" s="240">
        <f>+'NEW...Tables 91-112'!J49+'NEW...Tables 91-112'!K49</f>
        <v>65.828045258662087</v>
      </c>
      <c r="C74" s="240">
        <f>+'NEW...Tables 91-112'!J80+'NEW...Tables 91-112'!K80</f>
        <v>40.177467227306458</v>
      </c>
      <c r="D74" s="240">
        <f>+'NEW...Tables 91-112'!J110+'NEW...Tables 91-112'!K110</f>
        <v>51.219306692344723</v>
      </c>
      <c r="E74" s="240">
        <f>+'NEW...Tables 91-112'!J141+'NEW...Tables 91-112'!K141</f>
        <v>41.613310050446252</v>
      </c>
      <c r="F74" s="240">
        <f>+'NEW...Tables 91-112'!J172+'NEW...Tables 91-112'!K172</f>
        <v>70.312500000000014</v>
      </c>
      <c r="G74" s="240">
        <f>+'NEW...Tables 91-112'!J202+'NEW...Tables 91-112'!K202</f>
        <v>60.203045685279186</v>
      </c>
      <c r="H74" s="242">
        <f>+'NEW...Tables 91-112'!J17+'NEW...Tables 91-112'!K17</f>
        <v>34.58366171043474</v>
      </c>
      <c r="I74" s="264"/>
      <c r="J74" s="264"/>
      <c r="K74" s="264"/>
      <c r="L74" s="264"/>
      <c r="M74" s="264"/>
    </row>
    <row r="75" spans="1:40" ht="15.75" customHeight="1">
      <c r="A75" s="134"/>
      <c r="B75" s="240"/>
      <c r="C75" s="240"/>
      <c r="D75" s="240"/>
      <c r="E75" s="240"/>
      <c r="F75" s="240"/>
      <c r="G75" s="240"/>
      <c r="H75" s="242"/>
      <c r="I75" s="264"/>
      <c r="J75" s="264"/>
      <c r="K75" s="264"/>
      <c r="L75" s="264"/>
      <c r="M75" s="264"/>
    </row>
    <row r="76" spans="1:40" ht="15.75" customHeight="1">
      <c r="A76" s="134" t="s">
        <v>626</v>
      </c>
      <c r="B76" s="240">
        <f>+'NEW...Tables 91-112'!J51+'NEW...Tables 91-112'!K51</f>
        <v>52.828430218875027</v>
      </c>
      <c r="C76" s="240">
        <f>+'NEW...Tables 91-112'!J82+'NEW...Tables 91-112'!K82</f>
        <v>25.105302038647466</v>
      </c>
      <c r="D76" s="240">
        <f>+'NEW...Tables 91-112'!J112+'NEW...Tables 91-112'!K112</f>
        <v>0</v>
      </c>
      <c r="E76" s="240">
        <f>+'NEW...Tables 91-112'!J143+'NEW...Tables 91-112'!K143</f>
        <v>16.930016548337161</v>
      </c>
      <c r="F76" s="240">
        <f>+'NEW...Tables 91-112'!J174+'NEW...Tables 91-112'!K174</f>
        <v>0</v>
      </c>
      <c r="G76" s="240">
        <f>+'NEW...Tables 91-112'!J204+'NEW...Tables 91-112'!K204</f>
        <v>0</v>
      </c>
      <c r="H76" s="242">
        <f>+'NEW...Tables 91-112'!J19+'NEW...Tables 91-112'!K19</f>
        <v>44.459099015409251</v>
      </c>
      <c r="I76" s="264"/>
      <c r="J76" s="264"/>
      <c r="K76" s="264"/>
      <c r="L76" s="264"/>
      <c r="M76" s="264"/>
    </row>
    <row r="77" spans="1:40" ht="15.75" customHeight="1">
      <c r="A77" s="134" t="s">
        <v>627</v>
      </c>
      <c r="B77" s="240">
        <f>+'NEW...Tables 91-112'!J52+'NEW...Tables 91-112'!K52</f>
        <v>47.919042528732476</v>
      </c>
      <c r="C77" s="240">
        <f>+'NEW...Tables 91-112'!J83+'NEW...Tables 91-112'!K83</f>
        <v>33.225235599434392</v>
      </c>
      <c r="D77" s="240">
        <f>+'NEW...Tables 91-112'!J113+'NEW...Tables 91-112'!K113</f>
        <v>36.804614730295718</v>
      </c>
      <c r="E77" s="240">
        <f>+'NEW...Tables 91-112'!J144+'NEW...Tables 91-112'!K144</f>
        <v>20.027000363466431</v>
      </c>
      <c r="F77" s="240">
        <f>+'NEW...Tables 91-112'!J175+'NEW...Tables 91-112'!K175</f>
        <v>13.50013352231877</v>
      </c>
      <c r="G77" s="240">
        <f>+'NEW...Tables 91-112'!J205+'NEW...Tables 91-112'!K205</f>
        <v>21.665660832830415</v>
      </c>
      <c r="H77" s="242">
        <f>+'NEW...Tables 91-112'!J20+'NEW...Tables 91-112'!K20</f>
        <v>41.578314990935347</v>
      </c>
      <c r="I77" s="264"/>
      <c r="J77" s="264"/>
      <c r="K77" s="264"/>
      <c r="L77" s="264"/>
      <c r="M77" s="264"/>
    </row>
    <row r="78" spans="1:40" ht="15.75" customHeight="1">
      <c r="A78" s="134" t="s">
        <v>628</v>
      </c>
      <c r="B78" s="240">
        <f>+'NEW...Tables 91-112'!J53+'NEW...Tables 91-112'!K53</f>
        <v>0</v>
      </c>
      <c r="C78" s="240">
        <f>+'NEW...Tables 91-112'!J84+'NEW...Tables 91-112'!K84</f>
        <v>0</v>
      </c>
      <c r="D78" s="240">
        <f>+'NEW...Tables 91-112'!J114+'NEW...Tables 91-112'!K114</f>
        <v>0</v>
      </c>
      <c r="E78" s="240">
        <f>+'NEW...Tables 91-112'!J145+'NEW...Tables 91-112'!K145</f>
        <v>0</v>
      </c>
      <c r="F78" s="240">
        <f>+'NEW...Tables 91-112'!J176+'NEW...Tables 91-112'!K176</f>
        <v>0</v>
      </c>
      <c r="G78" s="240">
        <f>+'NEW...Tables 91-112'!J206+'NEW...Tables 91-112'!K206</f>
        <v>0</v>
      </c>
      <c r="H78" s="242">
        <f>+'NEW...Tables 91-112'!J21+'NEW...Tables 91-112'!K21</f>
        <v>0</v>
      </c>
      <c r="I78" s="264"/>
      <c r="J78" s="264"/>
      <c r="K78" s="264"/>
      <c r="L78" s="264"/>
      <c r="M78" s="264"/>
    </row>
    <row r="79" spans="1:40" ht="15.75" customHeight="1">
      <c r="A79" s="134" t="s">
        <v>629</v>
      </c>
      <c r="B79" s="240">
        <f>+'NEW...Tables 91-112'!J54+'NEW...Tables 91-112'!K54</f>
        <v>58.365641626379521</v>
      </c>
      <c r="C79" s="240">
        <f>+'NEW...Tables 91-112'!J85+'NEW...Tables 91-112'!K85</f>
        <v>0</v>
      </c>
      <c r="D79" s="240">
        <f>+'NEW...Tables 91-112'!J115+'NEW...Tables 91-112'!K115</f>
        <v>33.504280170816841</v>
      </c>
      <c r="E79" s="240">
        <f>+'NEW...Tables 91-112'!J146+'NEW...Tables 91-112'!K146</f>
        <v>31.023834032781693</v>
      </c>
      <c r="F79" s="240">
        <f>+'NEW...Tables 91-112'!J177+'NEW...Tables 91-112'!K177</f>
        <v>29.329427083333336</v>
      </c>
      <c r="G79" s="240">
        <f>+'NEW...Tables 91-112'!J207+'NEW...Tables 91-112'!K207</f>
        <v>6.0990217608305048</v>
      </c>
      <c r="H79" s="242">
        <f>+'NEW...Tables 91-112'!J22+'NEW...Tables 91-112'!K22</f>
        <v>50.730156185284649</v>
      </c>
      <c r="I79" s="264"/>
      <c r="J79" s="264"/>
      <c r="K79" s="264"/>
      <c r="L79" s="264"/>
      <c r="M79" s="264"/>
    </row>
    <row r="80" spans="1:40" ht="15.75" customHeight="1">
      <c r="A80" s="134"/>
      <c r="B80" s="240"/>
      <c r="C80" s="240"/>
      <c r="D80" s="240"/>
      <c r="E80" s="240"/>
      <c r="F80" s="240"/>
      <c r="G80" s="240"/>
      <c r="H80" s="242"/>
      <c r="I80" s="264"/>
      <c r="J80" s="264"/>
      <c r="K80" s="264"/>
      <c r="L80" s="264"/>
      <c r="M80" s="264"/>
    </row>
    <row r="81" spans="1:40" ht="15.75" customHeight="1">
      <c r="A81" s="134" t="s">
        <v>630</v>
      </c>
      <c r="B81" s="240">
        <f>+'NEW...Tables 91-112'!J56+'NEW...Tables 91-112'!K56</f>
        <v>48.024816708185263</v>
      </c>
      <c r="C81" s="240">
        <f>+'NEW...Tables 91-112'!J87+'NEW...Tables 91-112'!K87</f>
        <v>34.223465839390897</v>
      </c>
      <c r="D81" s="240">
        <f>+'NEW...Tables 91-112'!J117+'NEW...Tables 91-112'!K117</f>
        <v>23.432724987861651</v>
      </c>
      <c r="E81" s="240">
        <f>+'NEW...Tables 91-112'!J148+'NEW...Tables 91-112'!K148</f>
        <v>5.9828367875647661</v>
      </c>
      <c r="F81" s="240">
        <f>+'NEW...Tables 91-112'!J179+'NEW...Tables 91-112'!K179</f>
        <v>0</v>
      </c>
      <c r="G81" s="240">
        <f>+'NEW...Tables 91-112'!J209+'NEW...Tables 91-112'!K209</f>
        <v>0</v>
      </c>
      <c r="H81" s="242">
        <f>+'NEW...Tables 91-112'!J24+'NEW...Tables 91-112'!K24</f>
        <v>37.743602622018905</v>
      </c>
      <c r="I81" s="264"/>
      <c r="J81" s="264"/>
      <c r="K81" s="264"/>
      <c r="L81" s="264"/>
      <c r="M81" s="264"/>
    </row>
    <row r="82" spans="1:40" s="181" customFormat="1">
      <c r="A82" s="134" t="s">
        <v>631</v>
      </c>
      <c r="B82" s="240">
        <f>+'NEW...Tables 91-112'!J57+'NEW...Tables 91-112'!K57</f>
        <v>50.837418603891578</v>
      </c>
      <c r="C82" s="240">
        <f>+'NEW...Tables 91-112'!J88+'NEW...Tables 91-112'!K88</f>
        <v>36.46305639557518</v>
      </c>
      <c r="D82" s="240">
        <f>+'NEW...Tables 91-112'!J118+'NEW...Tables 91-112'!K118</f>
        <v>17.593377536912005</v>
      </c>
      <c r="E82" s="240">
        <f>+'NEW...Tables 91-112'!J149+'NEW...Tables 91-112'!K149</f>
        <v>19.367838599239484</v>
      </c>
      <c r="F82" s="240">
        <f>+'NEW...Tables 91-112'!J180+'NEW...Tables 91-112'!K180</f>
        <v>49.512789281364192</v>
      </c>
      <c r="G82" s="240">
        <f>+'NEW...Tables 91-112'!J210+'NEW...Tables 91-112'!K210</f>
        <v>0</v>
      </c>
      <c r="H82" s="242">
        <f>+'NEW...Tables 91-112'!J25+'NEW...Tables 91-112'!K25</f>
        <v>37.720867020581167</v>
      </c>
      <c r="I82" s="264"/>
      <c r="J82" s="264"/>
      <c r="K82" s="264"/>
      <c r="L82" s="264"/>
      <c r="M82" s="26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row>
    <row r="83" spans="1:40" s="181" customFormat="1">
      <c r="A83" s="134" t="s">
        <v>632</v>
      </c>
      <c r="B83" s="240">
        <f>+'NEW...Tables 91-112'!J58+'NEW...Tables 91-112'!K58</f>
        <v>46.762580364721074</v>
      </c>
      <c r="C83" s="240">
        <f>+'NEW...Tables 91-112'!J89+'NEW...Tables 91-112'!K89</f>
        <v>37.958550453539992</v>
      </c>
      <c r="D83" s="240">
        <f>+'NEW...Tables 91-112'!J119+'NEW...Tables 91-112'!K119</f>
        <v>46.720295501795036</v>
      </c>
      <c r="E83" s="240">
        <f>+'NEW...Tables 91-112'!J150+'NEW...Tables 91-112'!K150</f>
        <v>56.356295118071699</v>
      </c>
      <c r="F83" s="240">
        <f>+'NEW...Tables 91-112'!J181+'NEW...Tables 91-112'!K181</f>
        <v>24.775710741561788</v>
      </c>
      <c r="G83" s="240">
        <f>+'NEW...Tables 91-112'!J211+'NEW...Tables 91-112'!K211</f>
        <v>0</v>
      </c>
      <c r="H83" s="242">
        <f>+'NEW...Tables 91-112'!J26+'NEW...Tables 91-112'!K26</f>
        <v>45.53514795701517</v>
      </c>
      <c r="I83" s="264"/>
      <c r="J83" s="264"/>
      <c r="K83" s="264"/>
      <c r="L83" s="264"/>
      <c r="M83" s="26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row>
    <row r="84" spans="1:40" s="181" customFormat="1">
      <c r="A84" s="140" t="s">
        <v>633</v>
      </c>
      <c r="B84" s="246">
        <f>+'NEW...Tables 91-112'!J59+'NEW...Tables 91-112'!K59</f>
        <v>54.288177938932989</v>
      </c>
      <c r="C84" s="246">
        <f>+'NEW...Tables 91-112'!J90+'NEW...Tables 91-112'!K90</f>
        <v>0</v>
      </c>
      <c r="D84" s="246">
        <f>+'NEW...Tables 91-112'!J120+'NEW...Tables 91-112'!K120</f>
        <v>51.649185089559467</v>
      </c>
      <c r="E84" s="246">
        <f>+'NEW...Tables 91-112'!J151+'NEW...Tables 91-112'!K151</f>
        <v>68.337253482902113</v>
      </c>
      <c r="F84" s="246">
        <f>+'NEW...Tables 91-112'!J182+'NEW...Tables 91-112'!K182</f>
        <v>9.8985382631126395</v>
      </c>
      <c r="G84" s="246">
        <f>+'NEW...Tables 91-112'!J212+'NEW...Tables 91-112'!K212</f>
        <v>0</v>
      </c>
      <c r="H84" s="248">
        <f>+'NEW...Tables 91-112'!J27+'NEW...Tables 91-112'!K27</f>
        <v>47.542805506940802</v>
      </c>
      <c r="I84" s="264"/>
      <c r="J84" s="264"/>
      <c r="K84" s="264"/>
      <c r="L84" s="264"/>
      <c r="M84" s="26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row>
    <row r="85" spans="1:40" s="134" customFormat="1" ht="40.5" customHeight="1">
      <c r="A85" s="632" t="s">
        <v>745</v>
      </c>
      <c r="B85" s="632"/>
      <c r="C85" s="632"/>
      <c r="D85" s="632"/>
      <c r="E85" s="632"/>
      <c r="F85" s="632"/>
      <c r="G85" s="632"/>
      <c r="H85" s="632"/>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I85" s="181"/>
      <c r="AJ85" s="181"/>
      <c r="AK85" s="181"/>
      <c r="AL85" s="181"/>
      <c r="AM85" s="181"/>
      <c r="AN85" s="181"/>
    </row>
    <row r="86" spans="1:40">
      <c r="A86" s="181"/>
      <c r="B86" s="181"/>
      <c r="C86" s="181"/>
      <c r="D86" s="181"/>
      <c r="E86" s="181"/>
      <c r="F86" s="181"/>
      <c r="G86" s="181"/>
      <c r="H86" s="187" t="s">
        <v>991</v>
      </c>
      <c r="I86" s="181"/>
      <c r="J86" s="181"/>
      <c r="K86" s="181"/>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1"/>
      <c r="AI86" s="181"/>
      <c r="AJ86" s="181"/>
      <c r="AK86" s="181"/>
      <c r="AL86" s="181"/>
      <c r="AM86" s="181"/>
      <c r="AN86" s="181"/>
    </row>
    <row r="87" spans="1:40" ht="18">
      <c r="A87" s="129" t="s">
        <v>691</v>
      </c>
      <c r="B87" s="130"/>
      <c r="C87" s="130"/>
      <c r="D87" s="130"/>
      <c r="E87" s="130"/>
      <c r="F87" s="130"/>
      <c r="G87" s="225"/>
      <c r="H87" s="225"/>
      <c r="I87" s="258" t="s">
        <v>533</v>
      </c>
      <c r="J87" s="258"/>
      <c r="K87" s="258"/>
      <c r="L87" s="258"/>
      <c r="M87" s="258"/>
    </row>
    <row r="88" spans="1:40">
      <c r="A88" s="135"/>
      <c r="B88" s="131"/>
      <c r="C88" s="131"/>
      <c r="D88" s="131"/>
      <c r="E88" s="131"/>
      <c r="F88" s="131"/>
      <c r="G88" s="131"/>
      <c r="H88" s="131"/>
      <c r="I88" s="260"/>
      <c r="J88" s="260"/>
      <c r="K88" s="260"/>
      <c r="L88" s="260"/>
      <c r="M88" s="260"/>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row>
    <row r="89" spans="1:40" s="239" customFormat="1" ht="18">
      <c r="A89" s="137" t="s">
        <v>692</v>
      </c>
      <c r="B89" s="130"/>
      <c r="C89" s="130"/>
      <c r="D89" s="130"/>
      <c r="E89" s="130"/>
      <c r="F89" s="130"/>
      <c r="G89" s="225"/>
      <c r="H89" s="225"/>
      <c r="I89" s="258" t="s">
        <v>533</v>
      </c>
      <c r="J89" s="258"/>
      <c r="K89" s="258"/>
      <c r="L89" s="258"/>
      <c r="M89" s="258"/>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row>
    <row r="90" spans="1:40" s="239" customFormat="1" ht="15.75">
      <c r="A90" s="137" t="s">
        <v>960</v>
      </c>
      <c r="B90" s="131"/>
      <c r="C90" s="131"/>
      <c r="D90" s="131"/>
      <c r="E90" s="131"/>
      <c r="F90" s="131"/>
      <c r="G90" s="225"/>
      <c r="H90" s="225"/>
      <c r="I90" s="258" t="s">
        <v>533</v>
      </c>
      <c r="J90" s="258"/>
      <c r="K90" s="258"/>
      <c r="L90" s="258"/>
      <c r="M90" s="258"/>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row>
    <row r="91" spans="1:40" ht="11.25" customHeight="1">
      <c r="A91" s="274"/>
      <c r="B91" s="260"/>
      <c r="C91" s="260"/>
      <c r="D91" s="260"/>
      <c r="E91" s="260"/>
      <c r="F91" s="260"/>
      <c r="G91" s="258"/>
      <c r="H91" s="258"/>
      <c r="I91" s="258"/>
      <c r="J91" s="258"/>
      <c r="K91" s="258"/>
      <c r="L91" s="258"/>
      <c r="M91" s="258"/>
    </row>
    <row r="92" spans="1:40" ht="15.75" customHeight="1">
      <c r="A92" s="270"/>
      <c r="B92" s="146" t="s">
        <v>517</v>
      </c>
      <c r="C92" s="146"/>
      <c r="D92" s="146"/>
      <c r="E92" s="146"/>
      <c r="F92" s="146"/>
      <c r="G92" s="146"/>
      <c r="H92" s="146"/>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row>
    <row r="93" spans="1:40" ht="15.75" customHeight="1">
      <c r="A93" s="270"/>
      <c r="B93" s="152">
        <v>1</v>
      </c>
      <c r="C93" s="152">
        <v>2</v>
      </c>
      <c r="D93" s="152">
        <v>3</v>
      </c>
      <c r="E93" s="152">
        <v>4</v>
      </c>
      <c r="F93" s="152">
        <v>5</v>
      </c>
      <c r="G93" s="152">
        <v>6</v>
      </c>
      <c r="H93" s="151" t="s">
        <v>694</v>
      </c>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row>
    <row r="94" spans="1:40" ht="15.75" customHeight="1">
      <c r="A94" s="134" t="s">
        <v>618</v>
      </c>
      <c r="B94" s="263">
        <f>+'NEW...Tables 91-112'!L41</f>
        <v>35.61199316844835</v>
      </c>
      <c r="C94" s="263">
        <f>+'NEW...Tables 91-112'!L72</f>
        <v>49.835002275830675</v>
      </c>
      <c r="D94" s="263">
        <f>+'NEW...Tables 91-112'!L102</f>
        <v>83.000576498731036</v>
      </c>
      <c r="E94" s="263">
        <f>+'NEW...Tables 91-112'!L133</f>
        <v>91.156615943390321</v>
      </c>
      <c r="F94" s="263">
        <f>+'NEW...Tables 91-112'!L164</f>
        <v>57.75589166373549</v>
      </c>
      <c r="G94" s="263">
        <f>+'NEW...Tables 91-112'!L194</f>
        <v>0</v>
      </c>
      <c r="H94" s="244">
        <f>+'NEW...Tables 91-112'!L9</f>
        <v>56.213381862934419</v>
      </c>
      <c r="I94" s="264"/>
      <c r="J94" s="264"/>
      <c r="K94" s="264"/>
      <c r="L94" s="264"/>
      <c r="M94" s="264"/>
    </row>
    <row r="95" spans="1:40" ht="15.75" customHeight="1">
      <c r="A95" s="134" t="s">
        <v>619</v>
      </c>
      <c r="B95" s="240">
        <f>+'NEW...Tables 91-112'!L42</f>
        <v>62.522970239815081</v>
      </c>
      <c r="C95" s="240">
        <f>+'NEW...Tables 91-112'!L73</f>
        <v>51.561646827563614</v>
      </c>
      <c r="D95" s="240">
        <f>+'NEW...Tables 91-112'!L103</f>
        <v>84.181444358776659</v>
      </c>
      <c r="E95" s="240">
        <f>+'NEW...Tables 91-112'!L134</f>
        <v>90.790619463711977</v>
      </c>
      <c r="F95" s="240">
        <f>+'NEW...Tables 91-112'!L165</f>
        <v>0</v>
      </c>
      <c r="G95" s="240">
        <f>+'NEW...Tables 91-112'!L195</f>
        <v>85.206258890469428</v>
      </c>
      <c r="H95" s="242">
        <f>+'NEW...Tables 91-112'!L10</f>
        <v>69.397552016337585</v>
      </c>
      <c r="I95" s="264"/>
      <c r="J95" s="264"/>
      <c r="K95" s="264"/>
      <c r="L95" s="264"/>
      <c r="M95" s="264"/>
    </row>
    <row r="96" spans="1:40" ht="15.75" customHeight="1">
      <c r="A96" s="134" t="s">
        <v>620</v>
      </c>
      <c r="B96" s="240">
        <f>+'NEW...Tables 91-112'!L43</f>
        <v>56.243936454038327</v>
      </c>
      <c r="C96" s="240">
        <f>+'NEW...Tables 91-112'!L74</f>
        <v>0</v>
      </c>
      <c r="D96" s="240">
        <f>+'NEW...Tables 91-112'!L104</f>
        <v>58.192167889719492</v>
      </c>
      <c r="E96" s="240">
        <f>+'NEW...Tables 91-112'!L135</f>
        <v>0</v>
      </c>
      <c r="F96" s="240">
        <f>+'NEW...Tables 91-112'!L166</f>
        <v>0</v>
      </c>
      <c r="G96" s="240">
        <f>+'NEW...Tables 91-112'!L196</f>
        <v>0</v>
      </c>
      <c r="H96" s="242">
        <f>+'NEW...Tables 91-112'!L11</f>
        <v>56.596605792747269</v>
      </c>
      <c r="I96" s="264"/>
      <c r="J96" s="264"/>
      <c r="K96" s="264"/>
      <c r="L96" s="264"/>
      <c r="M96" s="264"/>
    </row>
    <row r="97" spans="1:40" ht="15.75" customHeight="1">
      <c r="A97" s="134" t="s">
        <v>657</v>
      </c>
      <c r="B97" s="240">
        <f>+'NEW...Tables 91-112'!L44</f>
        <v>0</v>
      </c>
      <c r="C97" s="240">
        <f>+'NEW...Tables 91-112'!L75</f>
        <v>0</v>
      </c>
      <c r="D97" s="240">
        <f>+'NEW...Tables 91-112'!L105</f>
        <v>0</v>
      </c>
      <c r="E97" s="240">
        <f>+'NEW...Tables 91-112'!L136</f>
        <v>0</v>
      </c>
      <c r="F97" s="240">
        <f>+'NEW...Tables 91-112'!L167</f>
        <v>0</v>
      </c>
      <c r="G97" s="240">
        <f>+'NEW...Tables 91-112'!L197</f>
        <v>0</v>
      </c>
      <c r="H97" s="242">
        <f>+'NEW...Tables 91-112'!L12</f>
        <v>0</v>
      </c>
      <c r="I97" s="264"/>
      <c r="J97" s="264"/>
      <c r="K97" s="264"/>
      <c r="L97" s="264"/>
      <c r="M97" s="264"/>
    </row>
    <row r="98" spans="1:40" ht="15.75" customHeight="1">
      <c r="A98" s="134"/>
      <c r="B98" s="240"/>
      <c r="C98" s="240"/>
      <c r="D98" s="240"/>
      <c r="E98" s="240"/>
      <c r="F98" s="240"/>
      <c r="G98" s="240"/>
      <c r="H98" s="242"/>
      <c r="I98" s="264"/>
      <c r="J98" s="264"/>
      <c r="K98" s="264"/>
      <c r="L98" s="264"/>
      <c r="M98" s="264"/>
    </row>
    <row r="99" spans="1:40" ht="15.75" customHeight="1">
      <c r="A99" s="134" t="s">
        <v>622</v>
      </c>
      <c r="B99" s="240">
        <f>+'NEW...Tables 91-112'!L46</f>
        <v>23.127205564523333</v>
      </c>
      <c r="C99" s="240">
        <f>+'NEW...Tables 91-112'!L77</f>
        <v>53.958321542170864</v>
      </c>
      <c r="D99" s="240">
        <f>+'NEW...Tables 91-112'!L107</f>
        <v>78.256369656560153</v>
      </c>
      <c r="E99" s="240">
        <f>+'NEW...Tables 91-112'!L138</f>
        <v>38.430553798135733</v>
      </c>
      <c r="F99" s="240">
        <f>+'NEW...Tables 91-112'!L169</f>
        <v>71.579194001874413</v>
      </c>
      <c r="G99" s="240">
        <f>+'NEW...Tables 91-112'!L199</f>
        <v>0</v>
      </c>
      <c r="H99" s="242">
        <f>+'NEW...Tables 91-112'!L14</f>
        <v>44.341696483667221</v>
      </c>
      <c r="I99" s="264"/>
      <c r="J99" s="264"/>
      <c r="K99" s="264"/>
      <c r="L99" s="264"/>
      <c r="M99" s="264"/>
    </row>
    <row r="100" spans="1:40" ht="15.75" customHeight="1">
      <c r="A100" s="134" t="s">
        <v>623</v>
      </c>
      <c r="B100" s="240">
        <f>+'NEW...Tables 91-112'!L47</f>
        <v>57.675488122857075</v>
      </c>
      <c r="C100" s="240">
        <f>+'NEW...Tables 91-112'!L78</f>
        <v>0</v>
      </c>
      <c r="D100" s="240">
        <f>+'NEW...Tables 91-112'!L108</f>
        <v>74.483775811209426</v>
      </c>
      <c r="E100" s="240">
        <f>+'NEW...Tables 91-112'!L139</f>
        <v>67.678300455235203</v>
      </c>
      <c r="F100" s="240">
        <f>+'NEW...Tables 91-112'!L170</f>
        <v>0</v>
      </c>
      <c r="G100" s="240">
        <f>+'NEW...Tables 91-112'!L200</f>
        <v>0</v>
      </c>
      <c r="H100" s="242">
        <f>+'NEW...Tables 91-112'!L15</f>
        <v>66.0606239145025</v>
      </c>
      <c r="I100" s="264"/>
      <c r="J100" s="264"/>
      <c r="K100" s="264"/>
      <c r="L100" s="264"/>
      <c r="M100" s="264"/>
    </row>
    <row r="101" spans="1:40" ht="15.75" customHeight="1">
      <c r="A101" s="134" t="s">
        <v>624</v>
      </c>
      <c r="B101" s="240">
        <f>+'NEW...Tables 91-112'!L48</f>
        <v>20.611573446874427</v>
      </c>
      <c r="C101" s="240">
        <f>+'NEW...Tables 91-112'!L79</f>
        <v>35.927444021065966</v>
      </c>
      <c r="D101" s="240">
        <f>+'NEW...Tables 91-112'!L109</f>
        <v>45.598782959073418</v>
      </c>
      <c r="E101" s="240">
        <f>+'NEW...Tables 91-112'!L140</f>
        <v>82.219644986313526</v>
      </c>
      <c r="F101" s="240">
        <f>+'NEW...Tables 91-112'!L171</f>
        <v>100</v>
      </c>
      <c r="G101" s="240">
        <f>+'NEW...Tables 91-112'!L201</f>
        <v>0</v>
      </c>
      <c r="H101" s="242">
        <f>+'NEW...Tables 91-112'!L16</f>
        <v>48.626485028031013</v>
      </c>
      <c r="I101" s="264"/>
      <c r="J101" s="264"/>
      <c r="K101" s="264"/>
      <c r="L101" s="264"/>
      <c r="M101" s="264"/>
    </row>
    <row r="102" spans="1:40" ht="15.75" customHeight="1">
      <c r="A102" s="134" t="s">
        <v>625</v>
      </c>
      <c r="B102" s="240">
        <f>+'NEW...Tables 91-112'!L49</f>
        <v>34.171954741337913</v>
      </c>
      <c r="C102" s="240">
        <f>+'NEW...Tables 91-112'!L80</f>
        <v>59.822532772693549</v>
      </c>
      <c r="D102" s="240">
        <f>+'NEW...Tables 91-112'!L110</f>
        <v>48.78069330765527</v>
      </c>
      <c r="E102" s="240">
        <f>+'NEW...Tables 91-112'!L141</f>
        <v>58.386689949553748</v>
      </c>
      <c r="F102" s="240">
        <f>+'NEW...Tables 91-112'!L172</f>
        <v>29.6875</v>
      </c>
      <c r="G102" s="240">
        <f>+'NEW...Tables 91-112'!L202</f>
        <v>39.796954314720814</v>
      </c>
      <c r="H102" s="242">
        <f>+'NEW...Tables 91-112'!L17</f>
        <v>65.41633828956526</v>
      </c>
      <c r="I102" s="264"/>
      <c r="J102" s="264"/>
      <c r="K102" s="264"/>
      <c r="L102" s="264"/>
      <c r="M102" s="264"/>
    </row>
    <row r="103" spans="1:40" ht="15.75" customHeight="1">
      <c r="A103" s="134"/>
      <c r="B103" s="240"/>
      <c r="C103" s="240"/>
      <c r="D103" s="240"/>
      <c r="E103" s="240"/>
      <c r="F103" s="240"/>
      <c r="G103" s="240"/>
      <c r="H103" s="242"/>
      <c r="I103" s="264"/>
      <c r="J103" s="264"/>
      <c r="K103" s="264"/>
      <c r="L103" s="264"/>
      <c r="M103" s="264"/>
    </row>
    <row r="104" spans="1:40" ht="15.75" customHeight="1">
      <c r="A104" s="134" t="s">
        <v>626</v>
      </c>
      <c r="B104" s="240" t="s">
        <v>533</v>
      </c>
      <c r="C104" s="240">
        <f>+'NEW...Tables 91-112'!L82</f>
        <v>74.894697961352534</v>
      </c>
      <c r="D104" s="240">
        <f>+'NEW...Tables 91-112'!L112</f>
        <v>0</v>
      </c>
      <c r="E104" s="240">
        <f>+'NEW...Tables 91-112'!L143</f>
        <v>82.509475257566862</v>
      </c>
      <c r="F104" s="240">
        <f>+'NEW...Tables 91-112'!L174</f>
        <v>0</v>
      </c>
      <c r="G104" s="240">
        <f>+'NEW...Tables 91-112'!L204</f>
        <v>0</v>
      </c>
      <c r="H104" s="242">
        <f>+'NEW...Tables 91-112'!L19</f>
        <v>55.43483347227253</v>
      </c>
      <c r="I104" s="264"/>
      <c r="J104" s="264"/>
      <c r="K104" s="264"/>
      <c r="L104" s="264"/>
      <c r="M104" s="264"/>
    </row>
    <row r="105" spans="1:40" ht="15.75" customHeight="1">
      <c r="A105" s="134" t="s">
        <v>627</v>
      </c>
      <c r="B105" s="240">
        <f>+'NEW...Tables 91-112'!L52</f>
        <v>52.080957471267524</v>
      </c>
      <c r="C105" s="240">
        <f>+'NEW...Tables 91-112'!L83</f>
        <v>66.774764400565616</v>
      </c>
      <c r="D105" s="240">
        <f>+'NEW...Tables 91-112'!L113</f>
        <v>63.195385269704282</v>
      </c>
      <c r="E105" s="240">
        <f>+'NEW...Tables 91-112'!L144</f>
        <v>79.972999636533572</v>
      </c>
      <c r="F105" s="240">
        <f>+'NEW...Tables 91-112'!L175</f>
        <v>86.499866477681238</v>
      </c>
      <c r="G105" s="240">
        <f>+'NEW...Tables 91-112'!L205</f>
        <v>78.334339167169588</v>
      </c>
      <c r="H105" s="242">
        <f>+'NEW...Tables 91-112'!L20</f>
        <v>58.421685009064653</v>
      </c>
      <c r="I105" s="264"/>
      <c r="J105" s="264"/>
      <c r="K105" s="264"/>
      <c r="L105" s="264"/>
      <c r="M105" s="264"/>
    </row>
    <row r="106" spans="1:40" ht="15.75" customHeight="1">
      <c r="A106" s="134" t="s">
        <v>628</v>
      </c>
      <c r="B106" s="240">
        <f>+'NEW...Tables 91-112'!L53</f>
        <v>0</v>
      </c>
      <c r="C106" s="240">
        <f>+'NEW...Tables 91-112'!L84</f>
        <v>0</v>
      </c>
      <c r="D106" s="240">
        <f>+'NEW...Tables 91-112'!L114</f>
        <v>0</v>
      </c>
      <c r="E106" s="240">
        <f>+'NEW...Tables 91-112'!L145</f>
        <v>0</v>
      </c>
      <c r="F106" s="240">
        <f>+'NEW...Tables 91-112'!L176</f>
        <v>0</v>
      </c>
      <c r="G106" s="240">
        <f>+'NEW...Tables 91-112'!L206</f>
        <v>0</v>
      </c>
      <c r="H106" s="242">
        <f>+'NEW...Tables 91-112'!L21</f>
        <v>0</v>
      </c>
      <c r="I106" s="264"/>
      <c r="J106" s="264"/>
      <c r="K106" s="264"/>
      <c r="L106" s="264"/>
      <c r="M106" s="264"/>
    </row>
    <row r="107" spans="1:40" ht="15.75" customHeight="1">
      <c r="A107" s="134" t="s">
        <v>629</v>
      </c>
      <c r="B107" s="240">
        <f>+'NEW...Tables 91-112'!L54</f>
        <v>41.634358373620479</v>
      </c>
      <c r="C107" s="240">
        <f>+'NEW...Tables 91-112'!L85</f>
        <v>0</v>
      </c>
      <c r="D107" s="240">
        <f>+'NEW...Tables 91-112'!L115</f>
        <v>66.495719829183159</v>
      </c>
      <c r="E107" s="240">
        <f>+'NEW...Tables 91-112'!L146</f>
        <v>68.976165967218307</v>
      </c>
      <c r="F107" s="240">
        <f>+'NEW...Tables 91-112'!L177</f>
        <v>70.670572916666657</v>
      </c>
      <c r="G107" s="240">
        <f>+'NEW...Tables 91-112'!L207</f>
        <v>93.90097823916949</v>
      </c>
      <c r="H107" s="242">
        <f>+'NEW...Tables 91-112'!L22</f>
        <v>49.269843814715351</v>
      </c>
      <c r="I107" s="264"/>
      <c r="J107" s="264"/>
      <c r="K107" s="264"/>
      <c r="L107" s="264"/>
      <c r="M107" s="264"/>
    </row>
    <row r="108" spans="1:40" ht="15.75" customHeight="1">
      <c r="A108" s="134"/>
      <c r="B108" s="240"/>
      <c r="C108" s="240"/>
      <c r="D108" s="240"/>
      <c r="E108" s="240"/>
      <c r="F108" s="240"/>
      <c r="G108" s="240"/>
      <c r="H108" s="242"/>
      <c r="I108" s="264"/>
      <c r="J108" s="264"/>
      <c r="K108" s="264"/>
      <c r="L108" s="264"/>
      <c r="M108" s="264"/>
    </row>
    <row r="109" spans="1:40" ht="15.75" customHeight="1">
      <c r="A109" s="134" t="s">
        <v>630</v>
      </c>
      <c r="B109" s="240">
        <f>+'NEW...Tables 91-112'!L56</f>
        <v>49.113351672353339</v>
      </c>
      <c r="C109" s="240">
        <f>+'NEW...Tables 91-112'!L87</f>
        <v>62.192686314466172</v>
      </c>
      <c r="D109" s="240">
        <f>+'NEW...Tables 91-112'!L117</f>
        <v>73.54696826892868</v>
      </c>
      <c r="E109" s="240">
        <f>+'NEW...Tables 91-112'!L148</f>
        <v>94.017163212435236</v>
      </c>
      <c r="F109" s="240">
        <f>+'NEW...Tables 91-112'!L179</f>
        <v>0</v>
      </c>
      <c r="G109" s="240">
        <f>+'NEW...Tables 91-112'!L209</f>
        <v>0</v>
      </c>
      <c r="H109" s="242">
        <f>+'NEW...Tables 91-112'!L24</f>
        <v>59.2605381588222</v>
      </c>
      <c r="I109" s="264"/>
      <c r="J109" s="264"/>
      <c r="K109" s="264"/>
      <c r="L109" s="264"/>
      <c r="M109" s="264"/>
    </row>
    <row r="110" spans="1:40" ht="15.75" customHeight="1">
      <c r="A110" s="134" t="s">
        <v>631</v>
      </c>
      <c r="B110" s="240">
        <f>+'NEW...Tables 91-112'!L57</f>
        <v>49.162581396108429</v>
      </c>
      <c r="C110" s="240">
        <f>+'NEW...Tables 91-112'!L88</f>
        <v>63.53694360442482</v>
      </c>
      <c r="D110" s="240">
        <f>+'NEW...Tables 91-112'!L118</f>
        <v>82.406622463087984</v>
      </c>
      <c r="E110" s="240">
        <f>+'NEW...Tables 91-112'!L149</f>
        <v>80.632161400760509</v>
      </c>
      <c r="F110" s="240">
        <f>+'NEW...Tables 91-112'!L180</f>
        <v>50.487210718635808</v>
      </c>
      <c r="G110" s="240">
        <f>+'NEW...Tables 91-112'!L210</f>
        <v>0</v>
      </c>
      <c r="H110" s="242">
        <f>+'NEW...Tables 91-112'!L25</f>
        <v>62.279132979418833</v>
      </c>
      <c r="I110" s="264"/>
      <c r="J110" s="264"/>
      <c r="K110" s="264"/>
      <c r="L110" s="264"/>
      <c r="M110" s="264"/>
    </row>
    <row r="111" spans="1:40" s="181" customFormat="1" ht="15.75" customHeight="1">
      <c r="A111" s="134" t="s">
        <v>632</v>
      </c>
      <c r="B111" s="240">
        <f>+'NEW...Tables 91-112'!L58</f>
        <v>53.237419635278926</v>
      </c>
      <c r="C111" s="240">
        <f>+'NEW...Tables 91-112'!L89</f>
        <v>62.041449546460008</v>
      </c>
      <c r="D111" s="240">
        <f>+'NEW...Tables 91-112'!L119</f>
        <v>53.279704498204964</v>
      </c>
      <c r="E111" s="240">
        <f>+'NEW...Tables 91-112'!L150</f>
        <v>43.643704881928301</v>
      </c>
      <c r="F111" s="240">
        <f>+'NEW...Tables 91-112'!L181</f>
        <v>75.224289258438219</v>
      </c>
      <c r="G111" s="240">
        <f>+'NEW...Tables 91-112'!L211</f>
        <v>0</v>
      </c>
      <c r="H111" s="242">
        <f>+'NEW...Tables 91-112'!L26</f>
        <v>54.464852042984838</v>
      </c>
      <c r="I111" s="264"/>
      <c r="J111" s="264"/>
      <c r="K111" s="264"/>
      <c r="L111" s="264"/>
      <c r="M111" s="26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row>
    <row r="112" spans="1:40" s="181" customFormat="1" ht="13.5" customHeight="1">
      <c r="A112" s="134" t="s">
        <v>633</v>
      </c>
      <c r="B112" s="240">
        <f>+'NEW...Tables 91-112'!L59</f>
        <v>45.711822061067018</v>
      </c>
      <c r="C112" s="240">
        <f>+'NEW...Tables 91-112'!L90</f>
        <v>0</v>
      </c>
      <c r="D112" s="240">
        <f>+'NEW...Tables 91-112'!L120</f>
        <v>48.350814910440533</v>
      </c>
      <c r="E112" s="240">
        <f>+'NEW...Tables 91-112'!L151</f>
        <v>31.662746517097883</v>
      </c>
      <c r="F112" s="240">
        <f>+'NEW...Tables 91-112'!L182</f>
        <v>90.101461736887359</v>
      </c>
      <c r="G112" s="240">
        <f>+'NEW...Tables 91-112'!L212</f>
        <v>0</v>
      </c>
      <c r="H112" s="242">
        <f>+'NEW...Tables 91-112'!L27</f>
        <v>52.457194493059198</v>
      </c>
      <c r="I112" s="264"/>
      <c r="J112" s="264"/>
      <c r="K112" s="264"/>
      <c r="L112" s="264"/>
      <c r="M112" s="26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row>
    <row r="113" spans="1:40" s="181" customFormat="1" ht="49.5" customHeight="1">
      <c r="A113" s="629" t="s">
        <v>745</v>
      </c>
      <c r="B113" s="629"/>
      <c r="C113" s="629"/>
      <c r="D113" s="629"/>
      <c r="E113" s="629"/>
      <c r="F113" s="629"/>
      <c r="G113" s="629"/>
      <c r="H113" s="629"/>
      <c r="I113" s="185"/>
      <c r="J113" s="185"/>
      <c r="K113" s="185"/>
      <c r="L113" s="185"/>
      <c r="M113" s="185"/>
    </row>
    <row r="114" spans="1:40" ht="27" customHeight="1">
      <c r="A114" s="633" t="s">
        <v>693</v>
      </c>
      <c r="B114" s="634"/>
      <c r="C114" s="634"/>
      <c r="D114" s="634"/>
      <c r="E114" s="634"/>
      <c r="F114" s="634"/>
      <c r="G114" s="634"/>
      <c r="H114" s="634"/>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c r="AN114" s="181"/>
    </row>
    <row r="115" spans="1:40" ht="9.75" customHeight="1">
      <c r="A115" s="180"/>
      <c r="B115" s="222"/>
      <c r="C115" s="222"/>
      <c r="D115" s="222"/>
      <c r="E115" s="222"/>
      <c r="F115" s="222"/>
      <c r="G115" s="222"/>
      <c r="H115" s="222"/>
      <c r="I115" s="222"/>
      <c r="J115" s="222"/>
      <c r="K115" s="222"/>
      <c r="L115" s="222"/>
      <c r="M115" s="222"/>
      <c r="N115" s="222"/>
      <c r="O115" s="222"/>
      <c r="P115" s="222"/>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c r="AN115" s="181"/>
    </row>
    <row r="116" spans="1:40">
      <c r="A116" s="181"/>
      <c r="B116" s="181"/>
      <c r="C116" s="181"/>
      <c r="D116" s="181"/>
      <c r="E116" s="181"/>
      <c r="F116" s="181"/>
      <c r="G116" s="181"/>
      <c r="H116" s="187" t="s">
        <v>991</v>
      </c>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row>
  </sheetData>
  <mergeCells count="11">
    <mergeCell ref="A31:P31"/>
    <mergeCell ref="A1:P1"/>
    <mergeCell ref="B5:H5"/>
    <mergeCell ref="I5:M5"/>
    <mergeCell ref="A26:P26"/>
    <mergeCell ref="A29:P29"/>
    <mergeCell ref="A54:P54"/>
    <mergeCell ref="A55:P55"/>
    <mergeCell ref="A85:H85"/>
    <mergeCell ref="A113:H113"/>
    <mergeCell ref="A114:H114"/>
  </mergeCells>
  <pageMargins left="0.7" right="0.7" top="0.75" bottom="0.75" header="0.3" footer="0.3"/>
  <pageSetup firstPageNumber="96" orientation="landscape" useFirstPageNumber="1" r:id="rId1"/>
  <headerFooter>
    <oddHeader>&amp;R&amp;"Arial,Regular"&amp;8SREB-State Data Exchange</oddHeader>
    <oddFooter>&amp;C&amp;P</oddFooter>
  </headerFooter>
  <rowBreaks count="3" manualBreakCount="3">
    <brk id="28" max="15" man="1"/>
    <brk id="57" max="15" man="1"/>
    <brk id="86"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9E5D8-F005-4FD0-BADD-5CE62099FFE2}">
  <sheetPr>
    <tabColor theme="5" tint="0.59999389629810485"/>
  </sheetPr>
  <dimension ref="A1:P113"/>
  <sheetViews>
    <sheetView showZeros="0" view="pageBreakPreview" zoomScaleNormal="100" zoomScaleSheetLayoutView="100" workbookViewId="0">
      <selection activeCell="T14" sqref="T14"/>
    </sheetView>
  </sheetViews>
  <sheetFormatPr defaultColWidth="8.88671875" defaultRowHeight="15"/>
  <cols>
    <col min="1" max="1" width="9.88671875" style="62" customWidth="1"/>
    <col min="2" max="8" width="5.6640625" style="62" customWidth="1"/>
    <col min="9" max="9" width="5.6640625" style="54" customWidth="1"/>
    <col min="10" max="16" width="5.6640625" style="62" customWidth="1"/>
    <col min="17" max="16384" width="8.88671875" style="62"/>
  </cols>
  <sheetData>
    <row r="1" spans="1:16" ht="18">
      <c r="A1" s="223" t="s">
        <v>682</v>
      </c>
      <c r="B1" s="130"/>
      <c r="C1" s="130"/>
      <c r="D1" s="130"/>
      <c r="E1" s="130"/>
      <c r="F1" s="130"/>
      <c r="G1" s="224"/>
      <c r="H1" s="224"/>
      <c r="I1" s="225"/>
      <c r="J1" s="224"/>
      <c r="K1" s="224"/>
      <c r="L1" s="224"/>
      <c r="M1" s="224"/>
      <c r="N1" s="224"/>
      <c r="O1" s="224"/>
      <c r="P1" s="224"/>
    </row>
    <row r="2" spans="1:16" s="134" customFormat="1" ht="12.75">
      <c r="A2" s="135"/>
      <c r="B2" s="131"/>
      <c r="C2" s="131"/>
      <c r="D2" s="131"/>
      <c r="E2" s="131"/>
      <c r="F2" s="131"/>
      <c r="G2" s="131"/>
      <c r="H2" s="131"/>
      <c r="I2" s="131"/>
      <c r="J2" s="131"/>
      <c r="K2" s="131"/>
      <c r="L2" s="131"/>
      <c r="M2" s="131"/>
      <c r="N2" s="131"/>
      <c r="O2" s="131"/>
      <c r="P2" s="131"/>
    </row>
    <row r="3" spans="1:16" ht="15.75">
      <c r="A3" s="226" t="s">
        <v>863</v>
      </c>
      <c r="B3" s="131"/>
      <c r="C3" s="131"/>
      <c r="D3" s="131"/>
      <c r="E3" s="131"/>
      <c r="F3" s="131"/>
      <c r="G3" s="224"/>
      <c r="H3" s="224"/>
      <c r="I3" s="225"/>
      <c r="J3" s="224"/>
      <c r="K3" s="224"/>
      <c r="L3" s="224"/>
      <c r="M3" s="224"/>
      <c r="N3" s="224"/>
      <c r="O3" s="224"/>
      <c r="P3" s="224"/>
    </row>
    <row r="4" spans="1:16">
      <c r="A4" s="227"/>
      <c r="B4" s="228"/>
      <c r="C4" s="228"/>
      <c r="D4" s="228"/>
      <c r="E4" s="228"/>
      <c r="F4" s="228"/>
      <c r="G4" s="228"/>
      <c r="H4" s="228"/>
      <c r="I4" s="229"/>
      <c r="J4" s="228"/>
      <c r="K4" s="228"/>
      <c r="L4" s="228"/>
    </row>
    <row r="5" spans="1:16" s="235" customFormat="1" ht="18" customHeight="1">
      <c r="A5" s="230"/>
      <c r="B5" s="642" t="s">
        <v>517</v>
      </c>
      <c r="C5" s="642"/>
      <c r="D5" s="642"/>
      <c r="E5" s="642"/>
      <c r="F5" s="642"/>
      <c r="G5" s="642"/>
      <c r="H5" s="643"/>
      <c r="I5" s="644" t="s">
        <v>520</v>
      </c>
      <c r="J5" s="642"/>
      <c r="K5" s="642"/>
      <c r="L5" s="642"/>
      <c r="M5" s="642"/>
      <c r="N5" s="233" t="s">
        <v>536</v>
      </c>
      <c r="O5" s="234"/>
      <c r="P5" s="234"/>
    </row>
    <row r="6" spans="1:16" s="239" customFormat="1" ht="25.5">
      <c r="A6" s="236"/>
      <c r="B6" s="231">
        <v>1</v>
      </c>
      <c r="C6" s="231">
        <v>2</v>
      </c>
      <c r="D6" s="231">
        <v>3</v>
      </c>
      <c r="E6" s="231">
        <v>4</v>
      </c>
      <c r="F6" s="231">
        <v>5</v>
      </c>
      <c r="G6" s="231">
        <v>6</v>
      </c>
      <c r="H6" s="237" t="s">
        <v>683</v>
      </c>
      <c r="I6" s="238" t="s">
        <v>684</v>
      </c>
      <c r="J6" s="231">
        <v>1</v>
      </c>
      <c r="K6" s="231">
        <v>2</v>
      </c>
      <c r="L6" s="231">
        <v>3</v>
      </c>
      <c r="M6" s="232" t="s">
        <v>685</v>
      </c>
      <c r="N6" s="232">
        <v>1</v>
      </c>
      <c r="O6" s="231">
        <v>2</v>
      </c>
      <c r="P6" s="232" t="s">
        <v>685</v>
      </c>
    </row>
    <row r="7" spans="1:16" ht="15.75" customHeight="1">
      <c r="A7" s="134" t="s">
        <v>618</v>
      </c>
      <c r="B7" s="240">
        <f>+'OLD...Tabs'!B41+'OLD...Tabs'!C41</f>
        <v>72.454788792073074</v>
      </c>
      <c r="C7" s="240">
        <f>+'OLD...Tabs'!B72+'OLD...Tabs'!C72</f>
        <v>66.219354267435548</v>
      </c>
      <c r="D7" s="240">
        <f>+'OLD...Tabs'!B102+'OLD...Tabs'!C102</f>
        <v>51.477019556068974</v>
      </c>
      <c r="E7" s="240">
        <f>+'OLD...Tabs'!B133+'OLD...Tabs'!C133</f>
        <v>50.672239838570199</v>
      </c>
      <c r="F7" s="240">
        <f>+'OLD...Tabs'!B164+'OLD...Tabs'!C164</f>
        <v>40.383633521589203</v>
      </c>
      <c r="G7" s="240">
        <f>+'OLD...Tabs'!B194+'OLD...Tabs'!C194</f>
        <v>0</v>
      </c>
      <c r="H7" s="241">
        <f>+'OLD...Tabs'!B9+'OLD...Tabs'!C9</f>
        <v>64.192530376596011</v>
      </c>
      <c r="I7" s="242">
        <f>+'OLD...Tabs'!B256+'OLD...Tabs'!C256</f>
        <v>0</v>
      </c>
      <c r="J7" s="240">
        <f>+'OLD...Tabs'!B287+'OLD...Tabs'!C287</f>
        <v>44.062793560299312</v>
      </c>
      <c r="K7" s="240">
        <f>+'OLD...Tabs'!B318+'OLD...Tabs'!C318</f>
        <v>56.180697934381243</v>
      </c>
      <c r="L7" s="240">
        <f>+'OLD...Tabs'!B349+'OLD...Tabs'!C349</f>
        <v>43.633311849674129</v>
      </c>
      <c r="M7" s="242">
        <f>+'OLD...Tabs'!B225+'OLD...Tabs'!C225</f>
        <v>49.926418371172375</v>
      </c>
      <c r="N7" s="243">
        <f>+'OLD...Tabs'!B410+'OLD...Tabs'!C410</f>
        <v>45.58130400628437</v>
      </c>
      <c r="O7" s="169">
        <f>+'OLD...Tabs'!B440+'OLD...Tabs'!C440</f>
        <v>84.550002689762763</v>
      </c>
      <c r="P7" s="244">
        <f>+'OLD...Tabs'!B380+'OLD...Tabs'!C380</f>
        <v>64.175886233539543</v>
      </c>
    </row>
    <row r="8" spans="1:16" ht="15.75" customHeight="1">
      <c r="A8" s="134" t="s">
        <v>619</v>
      </c>
      <c r="B8" s="240">
        <f>+'OLD...Tabs'!B42+'OLD...Tabs'!C42</f>
        <v>86.697313298427417</v>
      </c>
      <c r="C8" s="240">
        <f>+'OLD...Tabs'!B73+'OLD...Tabs'!C73</f>
        <v>54.707987788473908</v>
      </c>
      <c r="D8" s="240">
        <f>+'OLD...Tabs'!B103+'OLD...Tabs'!C103</f>
        <v>72.225526846724279</v>
      </c>
      <c r="E8" s="240">
        <f>+'OLD...Tabs'!B134+'OLD...Tabs'!C134</f>
        <v>68.21376511838632</v>
      </c>
      <c r="F8" s="240">
        <f>+'OLD...Tabs'!B165+'OLD...Tabs'!C165</f>
        <v>0</v>
      </c>
      <c r="G8" s="240">
        <f>+'OLD...Tabs'!B195+'OLD...Tabs'!C195</f>
        <v>70.901067735179282</v>
      </c>
      <c r="H8" s="245">
        <f>+'OLD...Tabs'!B10+'OLD...Tabs'!C10</f>
        <v>74.656002881753196</v>
      </c>
      <c r="I8" s="242">
        <f>+'OLD...Tabs'!B257+'OLD...Tabs'!C257</f>
        <v>0</v>
      </c>
      <c r="J8" s="240">
        <f>+'OLD...Tabs'!B288+'OLD...Tabs'!C288</f>
        <v>64.674278925483463</v>
      </c>
      <c r="K8" s="240">
        <f>+'OLD...Tabs'!B319+'OLD...Tabs'!C319</f>
        <v>62.780398625718398</v>
      </c>
      <c r="L8" s="240">
        <f>+'OLD...Tabs'!B350+'OLD...Tabs'!C350</f>
        <v>64.130248353457731</v>
      </c>
      <c r="M8" s="242">
        <f>+'OLD...Tabs'!B226+'OLD...Tabs'!C226</f>
        <v>63.941555015439448</v>
      </c>
      <c r="N8" s="243">
        <f>+'OLD...Tabs'!B411+'OLD...Tabs'!C411</f>
        <v>0</v>
      </c>
      <c r="O8" s="169">
        <f>+'OLD...Tabs'!B441+'OLD...Tabs'!C441</f>
        <v>0</v>
      </c>
      <c r="P8" s="242">
        <f>+'OLD...Tabs'!B381+'OLD...Tabs'!C381</f>
        <v>0</v>
      </c>
    </row>
    <row r="9" spans="1:16" ht="15.75" customHeight="1">
      <c r="A9" s="134" t="s">
        <v>620</v>
      </c>
      <c r="B9" s="240">
        <f>+'OLD...Tabs'!B43+'OLD...Tabs'!C43</f>
        <v>49.079771965928089</v>
      </c>
      <c r="C9" s="240">
        <f>+'OLD...Tabs'!B74+'OLD...Tabs'!C74</f>
        <v>0</v>
      </c>
      <c r="D9" s="240">
        <f>+'OLD...Tabs'!B104+'OLD...Tabs'!C104</f>
        <v>79.296311481633325</v>
      </c>
      <c r="E9" s="240">
        <f>+'OLD...Tabs'!B135+'OLD...Tabs'!C135</f>
        <v>0</v>
      </c>
      <c r="F9" s="240">
        <f>+'OLD...Tabs'!B166+'OLD...Tabs'!C166</f>
        <v>0</v>
      </c>
      <c r="G9" s="240">
        <f>+'OLD...Tabs'!B196+'OLD...Tabs'!C196</f>
        <v>0</v>
      </c>
      <c r="H9" s="245">
        <f>+'OLD...Tabs'!B11+'OLD...Tabs'!C11</f>
        <v>54.514159149440545</v>
      </c>
      <c r="I9" s="242">
        <f>+'OLD...Tabs'!B258+'OLD...Tabs'!C258</f>
        <v>74.155805748893073</v>
      </c>
      <c r="J9" s="240">
        <f>+'OLD...Tabs'!B289+'OLD...Tabs'!C289</f>
        <v>0</v>
      </c>
      <c r="K9" s="240">
        <f>+'OLD...Tabs'!B320+'OLD...Tabs'!C320</f>
        <v>0</v>
      </c>
      <c r="L9" s="240">
        <f>+'OLD...Tabs'!B351+'OLD...Tabs'!C351</f>
        <v>0</v>
      </c>
      <c r="M9" s="242">
        <f>+'OLD...Tabs'!B227+'OLD...Tabs'!C227</f>
        <v>74.155805748893073</v>
      </c>
      <c r="N9" s="243">
        <f>+'OLD...Tabs'!B412+'OLD...Tabs'!C412</f>
        <v>0</v>
      </c>
      <c r="O9" s="169">
        <f>+'OLD...Tabs'!B442+'OLD...Tabs'!C442</f>
        <v>0</v>
      </c>
      <c r="P9" s="242">
        <f>+'OLD...Tabs'!B382+'OLD...Tabs'!C382</f>
        <v>0</v>
      </c>
    </row>
    <row r="10" spans="1:16" ht="15.75" customHeight="1">
      <c r="A10" s="134" t="s">
        <v>621</v>
      </c>
      <c r="B10" s="240">
        <f>+'OLD...Tabs'!B44+'OLD...Tabs'!C44</f>
        <v>0</v>
      </c>
      <c r="C10" s="240">
        <f>+'OLD...Tabs'!B75+'OLD...Tabs'!C75</f>
        <v>0</v>
      </c>
      <c r="D10" s="240">
        <f>+'OLD...Tabs'!B105+'OLD...Tabs'!C105</f>
        <v>0</v>
      </c>
      <c r="E10" s="240">
        <f>+'OLD...Tabs'!B136+'OLD...Tabs'!C136</f>
        <v>0</v>
      </c>
      <c r="F10" s="240">
        <f>+'OLD...Tabs'!B167+'OLD...Tabs'!C167</f>
        <v>0</v>
      </c>
      <c r="G10" s="240">
        <f>+'OLD...Tabs'!B197+'OLD...Tabs'!C197</f>
        <v>0</v>
      </c>
      <c r="H10" s="245">
        <f>+'OLD...Tabs'!B12+'OLD...Tabs'!C12</f>
        <v>0</v>
      </c>
      <c r="I10" s="242">
        <f>+'OLD...Tabs'!B259+'OLD...Tabs'!C259</f>
        <v>38.6983744703087</v>
      </c>
      <c r="J10" s="240">
        <f>+'OLD...Tabs'!B290+'OLD...Tabs'!C290</f>
        <v>36.367919346767401</v>
      </c>
      <c r="K10" s="240">
        <f>+'OLD...Tabs'!B321+'OLD...Tabs'!C321</f>
        <v>0</v>
      </c>
      <c r="L10" s="240">
        <f>+'OLD...Tabs'!B352+'OLD...Tabs'!C352</f>
        <v>43.034953909503535</v>
      </c>
      <c r="M10" s="242">
        <f>+'OLD...Tabs'!B228+'OLD...Tabs'!C228</f>
        <v>38.501353028036633</v>
      </c>
      <c r="N10" s="243">
        <f>+'OLD...Tabs'!B413+'OLD...Tabs'!C413</f>
        <v>0</v>
      </c>
      <c r="O10" s="169">
        <f>+'OLD...Tabs'!B443+'OLD...Tabs'!C443</f>
        <v>0</v>
      </c>
      <c r="P10" s="242">
        <f>+'OLD...Tabs'!B383+'OLD...Tabs'!C383</f>
        <v>0</v>
      </c>
    </row>
    <row r="11" spans="1:16" ht="15.75" customHeight="1">
      <c r="A11" s="134"/>
      <c r="B11" s="240"/>
      <c r="C11" s="240"/>
      <c r="D11" s="240"/>
      <c r="E11" s="240"/>
      <c r="F11" s="240"/>
      <c r="G11" s="240"/>
      <c r="H11" s="245"/>
      <c r="I11" s="242"/>
      <c r="J11" s="240"/>
      <c r="K11" s="240"/>
      <c r="L11" s="240"/>
      <c r="M11" s="242"/>
      <c r="N11" s="243"/>
      <c r="O11" s="169"/>
      <c r="P11" s="242"/>
    </row>
    <row r="12" spans="1:16" ht="15.75" customHeight="1">
      <c r="A12" s="134" t="s">
        <v>622</v>
      </c>
      <c r="B12" s="240">
        <f>+'OLD...Tabs'!B46+'OLD...Tabs'!C46</f>
        <v>57.897282907504326</v>
      </c>
      <c r="C12" s="240">
        <f>+'OLD...Tabs'!B77+'OLD...Tabs'!C77</f>
        <v>43.048733928381473</v>
      </c>
      <c r="D12" s="240">
        <f>+'OLD...Tabs'!B107+'OLD...Tabs'!C107</f>
        <v>50.894697851228536</v>
      </c>
      <c r="E12" s="240">
        <f>+'OLD...Tabs'!B138+'OLD...Tabs'!C138</f>
        <v>60.674065879268618</v>
      </c>
      <c r="F12" s="240">
        <f>+'OLD...Tabs'!B169+'OLD...Tabs'!C169</f>
        <v>53.154958989162424</v>
      </c>
      <c r="G12" s="240">
        <f>+'OLD...Tabs'!B199+'OLD...Tabs'!C199</f>
        <v>62.896653540377478</v>
      </c>
      <c r="H12" s="245">
        <f>+'OLD...Tabs'!B14+'OLD...Tabs'!C14</f>
        <v>55.513457888707528</v>
      </c>
      <c r="I12" s="242">
        <f>+'OLD...Tabs'!B261+'OLD...Tabs'!C261</f>
        <v>47.772927025670469</v>
      </c>
      <c r="J12" s="240">
        <f>+'OLD...Tabs'!B292+'OLD...Tabs'!C292</f>
        <v>0</v>
      </c>
      <c r="K12" s="240">
        <f>+'OLD...Tabs'!B323+'OLD...Tabs'!C323</f>
        <v>0</v>
      </c>
      <c r="L12" s="240">
        <f>+'OLD...Tabs'!B354+'OLD...Tabs'!C354</f>
        <v>0</v>
      </c>
      <c r="M12" s="242">
        <f>+'OLD...Tabs'!B230+'OLD...Tabs'!C230</f>
        <v>47.772927025670469</v>
      </c>
      <c r="N12" s="243">
        <f>+'OLD...Tabs'!B415+'OLD...Tabs'!C415</f>
        <v>44.266334009841188</v>
      </c>
      <c r="O12" s="169">
        <f>+'OLD...Tabs'!B445+'OLD...Tabs'!C445</f>
        <v>0</v>
      </c>
      <c r="P12" s="242">
        <f>+'OLD...Tabs'!B385+'OLD...Tabs'!C385</f>
        <v>44.266334009841188</v>
      </c>
    </row>
    <row r="13" spans="1:16" ht="15.75" customHeight="1">
      <c r="A13" s="134" t="s">
        <v>623</v>
      </c>
      <c r="B13" s="240">
        <f>+'OLD...Tabs'!B47+'OLD...Tabs'!C47</f>
        <v>60.783658410763792</v>
      </c>
      <c r="C13" s="240">
        <f>+'OLD...Tabs'!B78+'OLD...Tabs'!C78</f>
        <v>0</v>
      </c>
      <c r="D13" s="240">
        <f>+'OLD...Tabs'!B108+'OLD...Tabs'!C108</f>
        <v>63.811270563528176</v>
      </c>
      <c r="E13" s="240">
        <f>+'OLD...Tabs'!B139+'OLD...Tabs'!C139</f>
        <v>63.751929012345684</v>
      </c>
      <c r="F13" s="240">
        <f>+'OLD...Tabs'!B170+'OLD...Tabs'!C170</f>
        <v>0</v>
      </c>
      <c r="G13" s="240">
        <f>+'OLD...Tabs'!B200+'OLD...Tabs'!C200</f>
        <v>0</v>
      </c>
      <c r="H13" s="245">
        <f>+'OLD...Tabs'!B15+'OLD...Tabs'!C15</f>
        <v>62.592027029318636</v>
      </c>
      <c r="I13" s="242">
        <f>+'OLD...Tabs'!B262+'OLD...Tabs'!C262</f>
        <v>0</v>
      </c>
      <c r="J13" s="240">
        <f>+'OLD...Tabs'!B293+'OLD...Tabs'!C293</f>
        <v>53.329972567965939</v>
      </c>
      <c r="K13" s="240">
        <f>+'OLD...Tabs'!B324+'OLD...Tabs'!C324</f>
        <v>47.019796890307191</v>
      </c>
      <c r="L13" s="240">
        <f>+'OLD...Tabs'!B355+'OLD...Tabs'!C355</f>
        <v>44.814172984682038</v>
      </c>
      <c r="M13" s="242">
        <f>+'OLD...Tabs'!B231+'OLD...Tabs'!C231</f>
        <v>48.576339625790851</v>
      </c>
      <c r="N13" s="243">
        <f>+'OLD...Tabs'!B416+'OLD...Tabs'!C416</f>
        <v>56.419124454437238</v>
      </c>
      <c r="O13" s="169">
        <f>+'OLD...Tabs'!B446+'OLD...Tabs'!C446</f>
        <v>0</v>
      </c>
      <c r="P13" s="242">
        <f>+'OLD...Tabs'!B386+'OLD...Tabs'!C386</f>
        <v>56.419124454437238</v>
      </c>
    </row>
    <row r="14" spans="1:16" ht="15.75" customHeight="1">
      <c r="A14" s="134" t="s">
        <v>624</v>
      </c>
      <c r="B14" s="240">
        <f>+'OLD...Tabs'!B48+'OLD...Tabs'!C48</f>
        <v>67.226786158825035</v>
      </c>
      <c r="C14" s="240">
        <f>+'OLD...Tabs'!B79+'OLD...Tabs'!C79</f>
        <v>72.036381856758965</v>
      </c>
      <c r="D14" s="240">
        <f>+'OLD...Tabs'!B109+'OLD...Tabs'!C109</f>
        <v>60.041296219418108</v>
      </c>
      <c r="E14" s="240">
        <f>+'OLD...Tabs'!B140+'OLD...Tabs'!C140</f>
        <v>51.047624244143151</v>
      </c>
      <c r="F14" s="240">
        <f>+'OLD...Tabs'!B171+'OLD...Tabs'!C171</f>
        <v>0</v>
      </c>
      <c r="G14" s="240">
        <f>+'OLD...Tabs'!B201+'OLD...Tabs'!C201</f>
        <v>51.570881226053643</v>
      </c>
      <c r="H14" s="245">
        <f>+'OLD...Tabs'!B16+'OLD...Tabs'!C16</f>
        <v>62.125286030135641</v>
      </c>
      <c r="I14" s="242">
        <f>+'OLD...Tabs'!B263+'OLD...Tabs'!C263</f>
        <v>0</v>
      </c>
      <c r="J14" s="240">
        <f>+'OLD...Tabs'!B294+'OLD...Tabs'!C294</f>
        <v>44.143373388796768</v>
      </c>
      <c r="K14" s="240">
        <f>+'OLD...Tabs'!B325+'OLD...Tabs'!C325</f>
        <v>51.917058056546786</v>
      </c>
      <c r="L14" s="240">
        <f>+'OLD...Tabs'!B356+'OLD...Tabs'!C356</f>
        <v>54.242141180507318</v>
      </c>
      <c r="M14" s="242">
        <f>+'OLD...Tabs'!B232+'OLD...Tabs'!C232</f>
        <v>48.840557955289995</v>
      </c>
      <c r="N14" s="243">
        <f>+'OLD...Tabs'!B417+'OLD...Tabs'!C417</f>
        <v>69.127552540240004</v>
      </c>
      <c r="O14" s="169">
        <f>+'OLD...Tabs'!B447+'OLD...Tabs'!C447</f>
        <v>91.390728476821195</v>
      </c>
      <c r="P14" s="242">
        <f>+'OLD...Tabs'!B387+'OLD...Tabs'!C387</f>
        <v>71.198370513246218</v>
      </c>
    </row>
    <row r="15" spans="1:16" ht="15.75" customHeight="1">
      <c r="A15" s="134" t="s">
        <v>625</v>
      </c>
      <c r="B15" s="240">
        <f>+'OLD...Tabs'!B49+'OLD...Tabs'!C49</f>
        <v>50.191269763976059</v>
      </c>
      <c r="C15" s="240">
        <f>+'OLD...Tabs'!B80+'OLD...Tabs'!C80</f>
        <v>54.495394543972708</v>
      </c>
      <c r="D15" s="240">
        <f>+'OLD...Tabs'!B110+'OLD...Tabs'!C110</f>
        <v>54.616663364886861</v>
      </c>
      <c r="E15" s="240">
        <f>+'OLD...Tabs'!B141+'OLD...Tabs'!C141</f>
        <v>51.060353290268459</v>
      </c>
      <c r="F15" s="240">
        <f>+'OLD...Tabs'!B172+'OLD...Tabs'!C172</f>
        <v>74.856268133354689</v>
      </c>
      <c r="G15" s="240">
        <f>+'OLD...Tabs'!B202+'OLD...Tabs'!C202</f>
        <v>77.434472059726573</v>
      </c>
      <c r="H15" s="245">
        <f>+'OLD...Tabs'!B17+'OLD...Tabs'!C17</f>
        <v>41.000029206460468</v>
      </c>
      <c r="I15" s="242">
        <f>+'OLD...Tabs'!B264+'OLD...Tabs'!C264</f>
        <v>0</v>
      </c>
      <c r="J15" s="240">
        <f>+'OLD...Tabs'!B295+'OLD...Tabs'!C295</f>
        <v>35.494103175996486</v>
      </c>
      <c r="K15" s="240">
        <f>+'OLD...Tabs'!B326+'OLD...Tabs'!C326</f>
        <v>42.169639833988342</v>
      </c>
      <c r="L15" s="240">
        <f>+'OLD...Tabs'!B357+'OLD...Tabs'!C357</f>
        <v>48.1015047317333</v>
      </c>
      <c r="M15" s="242">
        <f>+'OLD...Tabs'!B233+'OLD...Tabs'!C233</f>
        <v>37.868953209119667</v>
      </c>
      <c r="N15" s="243">
        <f>+'OLD...Tabs'!B418+'OLD...Tabs'!C418</f>
        <v>0</v>
      </c>
      <c r="O15" s="169">
        <f>+'OLD...Tabs'!B448+'OLD...Tabs'!C448</f>
        <v>0</v>
      </c>
      <c r="P15" s="242">
        <f>+'OLD...Tabs'!B388+'OLD...Tabs'!C388</f>
        <v>0</v>
      </c>
    </row>
    <row r="16" spans="1:16" ht="15.75" customHeight="1">
      <c r="A16" s="134"/>
      <c r="B16" s="240"/>
      <c r="C16" s="240"/>
      <c r="D16" s="240"/>
      <c r="E16" s="240"/>
      <c r="F16" s="240"/>
      <c r="G16" s="240"/>
      <c r="H16" s="245"/>
      <c r="I16" s="242"/>
      <c r="J16" s="240"/>
      <c r="K16" s="240"/>
      <c r="L16" s="240"/>
      <c r="M16" s="242"/>
      <c r="N16" s="243"/>
      <c r="O16" s="169"/>
      <c r="P16" s="242"/>
    </row>
    <row r="17" spans="1:16" ht="15.75" customHeight="1">
      <c r="A17" s="134" t="s">
        <v>626</v>
      </c>
      <c r="B17" s="240">
        <f>+'OLD...Tabs'!B51+'OLD...Tabs'!C51</f>
        <v>54.695269625689974</v>
      </c>
      <c r="C17" s="240">
        <f>+'OLD...Tabs'!B82+'OLD...Tabs'!C82</f>
        <v>36.3848709449423</v>
      </c>
      <c r="D17" s="240">
        <f>+'OLD...Tabs'!B112+'OLD...Tabs'!C112</f>
        <v>0</v>
      </c>
      <c r="E17" s="240">
        <f>+'OLD...Tabs'!B143+'OLD...Tabs'!C143</f>
        <v>55.248673387158078</v>
      </c>
      <c r="F17" s="240">
        <f>+'OLD...Tabs'!B174+'OLD...Tabs'!C174</f>
        <v>0</v>
      </c>
      <c r="G17" s="240">
        <f>+'OLD...Tabs'!B204+'OLD...Tabs'!C204</f>
        <v>0</v>
      </c>
      <c r="H17" s="245">
        <f>+'OLD...Tabs'!B19+'OLD...Tabs'!C19</f>
        <v>53.414044823521692</v>
      </c>
      <c r="I17" s="242">
        <f>+'OLD...Tabs'!B266+'OLD...Tabs'!C266</f>
        <v>0</v>
      </c>
      <c r="J17" s="240">
        <f>+'OLD...Tabs'!B297+'OLD...Tabs'!C297</f>
        <v>59.146956154917682</v>
      </c>
      <c r="K17" s="240">
        <f>+'OLD...Tabs'!B328+'OLD...Tabs'!C328</f>
        <v>62.882073189149537</v>
      </c>
      <c r="L17" s="240">
        <f>+'OLD...Tabs'!B359+'OLD...Tabs'!C359</f>
        <v>61.0776306781475</v>
      </c>
      <c r="M17" s="242">
        <f>+'OLD...Tabs'!B235+'OLD...Tabs'!C235</f>
        <v>61.047452581693591</v>
      </c>
      <c r="N17" s="243">
        <f>+'OLD...Tabs'!B420+'OLD...Tabs'!C420</f>
        <v>0</v>
      </c>
      <c r="O17" s="169">
        <f>+'OLD...Tabs'!B450+'OLD...Tabs'!C450</f>
        <v>0</v>
      </c>
      <c r="P17" s="242">
        <f>+'OLD...Tabs'!B390+'OLD...Tabs'!C390</f>
        <v>0</v>
      </c>
    </row>
    <row r="18" spans="1:16" ht="15.75" customHeight="1">
      <c r="A18" s="134" t="s">
        <v>627</v>
      </c>
      <c r="B18" s="240">
        <f>+'OLD...Tabs'!B52+'OLD...Tabs'!C52</f>
        <v>48.386807653369885</v>
      </c>
      <c r="C18" s="240">
        <f>+'OLD...Tabs'!B83+'OLD...Tabs'!C83</f>
        <v>50.458564296166045</v>
      </c>
      <c r="D18" s="240">
        <f>+'OLD...Tabs'!B113+'OLD...Tabs'!C113</f>
        <v>46.666011661449012</v>
      </c>
      <c r="E18" s="240">
        <f>+'OLD...Tabs'!B144+'OLD...Tabs'!C144</f>
        <v>37.151919399225712</v>
      </c>
      <c r="F18" s="240">
        <f>+'OLD...Tabs'!B175+'OLD...Tabs'!C175</f>
        <v>47.485024493561504</v>
      </c>
      <c r="G18" s="240">
        <f>+'OLD...Tabs'!B205+'OLD...Tabs'!C205</f>
        <v>64.625025543219124</v>
      </c>
      <c r="H18" s="245">
        <f>+'OLD...Tabs'!B20+'OLD...Tabs'!C20</f>
        <v>48.538177392751074</v>
      </c>
      <c r="I18" s="242">
        <f>+'OLD...Tabs'!B267+'OLD...Tabs'!C267</f>
        <v>0</v>
      </c>
      <c r="J18" s="240">
        <f>+'OLD...Tabs'!B298+'OLD...Tabs'!C298</f>
        <v>35.325452263836375</v>
      </c>
      <c r="K18" s="240">
        <f>+'OLD...Tabs'!B329+'OLD...Tabs'!C329</f>
        <v>36.563423275937389</v>
      </c>
      <c r="L18" s="240">
        <f>+'OLD...Tabs'!B360+'OLD...Tabs'!C360</f>
        <v>35.781808752456556</v>
      </c>
      <c r="M18" s="242">
        <f>+'OLD...Tabs'!B236+'OLD...Tabs'!C236</f>
        <v>35.854274087348223</v>
      </c>
      <c r="N18" s="243">
        <f>+'OLD...Tabs'!B421+'OLD...Tabs'!C421</f>
        <v>0</v>
      </c>
      <c r="O18" s="169">
        <f>+'OLD...Tabs'!B451+'OLD...Tabs'!C451</f>
        <v>0</v>
      </c>
      <c r="P18" s="242">
        <f>+'OLD...Tabs'!B391+'OLD...Tabs'!C391</f>
        <v>0</v>
      </c>
    </row>
    <row r="19" spans="1:16" ht="15.75" customHeight="1">
      <c r="A19" s="134" t="s">
        <v>628</v>
      </c>
      <c r="B19" s="240">
        <f>+'OLD...Tabs'!B53+'OLD...Tabs'!C53</f>
        <v>0</v>
      </c>
      <c r="C19" s="240">
        <f>+'OLD...Tabs'!B84+'OLD...Tabs'!C84</f>
        <v>0</v>
      </c>
      <c r="D19" s="240">
        <f>+'OLD...Tabs'!B114+'OLD...Tabs'!C114</f>
        <v>0</v>
      </c>
      <c r="E19" s="240">
        <f>+'OLD...Tabs'!B145+'OLD...Tabs'!C145</f>
        <v>0</v>
      </c>
      <c r="F19" s="240">
        <f>+'OLD...Tabs'!B176+'OLD...Tabs'!C176</f>
        <v>0</v>
      </c>
      <c r="G19" s="240">
        <f>+'OLD...Tabs'!B206+'OLD...Tabs'!C206</f>
        <v>0</v>
      </c>
      <c r="H19" s="245">
        <f>+'OLD...Tabs'!B21+'OLD...Tabs'!C21</f>
        <v>0</v>
      </c>
      <c r="I19" s="242">
        <f>+'OLD...Tabs'!B268+'OLD...Tabs'!C268</f>
        <v>0</v>
      </c>
      <c r="J19" s="240">
        <f>+'OLD...Tabs'!B299+'OLD...Tabs'!C299</f>
        <v>0</v>
      </c>
      <c r="K19" s="240">
        <f>+'OLD...Tabs'!B330+'OLD...Tabs'!C330</f>
        <v>0</v>
      </c>
      <c r="L19" s="240">
        <f>+'OLD...Tabs'!B361+'OLD...Tabs'!C361</f>
        <v>0</v>
      </c>
      <c r="M19" s="242">
        <f>+'OLD...Tabs'!B237+'OLD...Tabs'!C237</f>
        <v>0</v>
      </c>
      <c r="N19" s="243">
        <f>+'OLD...Tabs'!B422+'OLD...Tabs'!C422</f>
        <v>0</v>
      </c>
      <c r="O19" s="169">
        <f>+'OLD...Tabs'!B452+'OLD...Tabs'!C452</f>
        <v>0</v>
      </c>
      <c r="P19" s="242">
        <f>+'OLD...Tabs'!B392+'OLD...Tabs'!C392</f>
        <v>0</v>
      </c>
    </row>
    <row r="20" spans="1:16" ht="15.75" customHeight="1">
      <c r="A20" s="134" t="s">
        <v>629</v>
      </c>
      <c r="B20" s="240">
        <f>+'OLD...Tabs'!B54+'OLD...Tabs'!C54</f>
        <v>57.284763518780608</v>
      </c>
      <c r="C20" s="240">
        <f>+'OLD...Tabs'!B85+'OLD...Tabs'!C85</f>
        <v>0</v>
      </c>
      <c r="D20" s="240">
        <f>+'OLD...Tabs'!B115+'OLD...Tabs'!C115</f>
        <v>70.291472831973564</v>
      </c>
      <c r="E20" s="240">
        <f>+'OLD...Tabs'!B146+'OLD...Tabs'!C146</f>
        <v>76.247001552137718</v>
      </c>
      <c r="F20" s="240">
        <f>+'OLD...Tabs'!B177+'OLD...Tabs'!C177</f>
        <v>68.035688757704946</v>
      </c>
      <c r="G20" s="240">
        <f>+'OLD...Tabs'!B207+'OLD...Tabs'!C207</f>
        <v>52.739202338889768</v>
      </c>
      <c r="H20" s="245">
        <f>+'OLD...Tabs'!B22+'OLD...Tabs'!C22</f>
        <v>61.998079050416756</v>
      </c>
      <c r="I20" s="242">
        <f>+'OLD...Tabs'!B269+'OLD...Tabs'!C269</f>
        <v>0</v>
      </c>
      <c r="J20" s="240">
        <f>+'OLD...Tabs'!B300+'OLD...Tabs'!C300</f>
        <v>37.79965674762866</v>
      </c>
      <c r="K20" s="240">
        <f>+'OLD...Tabs'!B331+'OLD...Tabs'!C331</f>
        <v>36.946484821453467</v>
      </c>
      <c r="L20" s="240">
        <f>+'OLD...Tabs'!B362+'OLD...Tabs'!C362</f>
        <v>41.01201398746668</v>
      </c>
      <c r="M20" s="242">
        <f>+'OLD...Tabs'!B238+'OLD...Tabs'!C238</f>
        <v>38.060588157872012</v>
      </c>
      <c r="N20" s="243">
        <f>+'OLD...Tabs'!B423+'OLD...Tabs'!C423</f>
        <v>0</v>
      </c>
      <c r="O20" s="169">
        <f>+'OLD...Tabs'!B453+'OLD...Tabs'!C453</f>
        <v>0</v>
      </c>
      <c r="P20" s="242">
        <f>+'OLD...Tabs'!B393+'OLD...Tabs'!C393</f>
        <v>0</v>
      </c>
    </row>
    <row r="21" spans="1:16" ht="15.75" customHeight="1">
      <c r="A21" s="134"/>
      <c r="B21" s="240"/>
      <c r="C21" s="240"/>
      <c r="D21" s="240"/>
      <c r="E21" s="240"/>
      <c r="F21" s="240"/>
      <c r="G21" s="240"/>
      <c r="H21" s="245"/>
      <c r="I21" s="242"/>
      <c r="J21" s="240"/>
      <c r="K21" s="240"/>
      <c r="L21" s="240"/>
      <c r="M21" s="242"/>
      <c r="N21" s="243"/>
      <c r="O21" s="169"/>
      <c r="P21" s="242"/>
    </row>
    <row r="22" spans="1:16" ht="15.75" customHeight="1">
      <c r="A22" s="134" t="s">
        <v>630</v>
      </c>
      <c r="B22" s="240">
        <f>+'OLD...Tabs'!B56+'OLD...Tabs'!C56</f>
        <v>77.250516508969682</v>
      </c>
      <c r="C22" s="240">
        <f>+'OLD...Tabs'!B87+'OLD...Tabs'!C87</f>
        <v>56.312554477716859</v>
      </c>
      <c r="D22" s="240">
        <f>+'OLD...Tabs'!B117+'OLD...Tabs'!C117</f>
        <v>41.011429861009702</v>
      </c>
      <c r="E22" s="240">
        <f>+'OLD...Tabs'!B148+'OLD...Tabs'!C148</f>
        <v>55.419312458944596</v>
      </c>
      <c r="F22" s="240">
        <f>+'OLD...Tabs'!B179+'OLD...Tabs'!C179</f>
        <v>0</v>
      </c>
      <c r="G22" s="240">
        <f>+'OLD...Tabs'!B209+'OLD...Tabs'!C209</f>
        <v>0</v>
      </c>
      <c r="H22" s="245">
        <f>+'OLD...Tabs'!B24+'OLD...Tabs'!C24</f>
        <v>60.151742631428483</v>
      </c>
      <c r="I22" s="242">
        <f>+'OLD...Tabs'!B271+'OLD...Tabs'!C271</f>
        <v>0</v>
      </c>
      <c r="J22" s="240">
        <f>+'OLD...Tabs'!B302+'OLD...Tabs'!C302</f>
        <v>34.809844447130345</v>
      </c>
      <c r="K22" s="240">
        <f>+'OLD...Tabs'!B333+'OLD...Tabs'!C333</f>
        <v>43.575731569187283</v>
      </c>
      <c r="L22" s="240">
        <f>+'OLD...Tabs'!B364+'OLD...Tabs'!C364</f>
        <v>59.567296386297727</v>
      </c>
      <c r="M22" s="242">
        <f>+'OLD...Tabs'!B240+'OLD...Tabs'!C240</f>
        <v>39.569684537130129</v>
      </c>
      <c r="N22" s="243">
        <f>+'OLD...Tabs'!B425+'OLD...Tabs'!C425</f>
        <v>0</v>
      </c>
      <c r="O22" s="169">
        <f>+'OLD...Tabs'!B455+'OLD...Tabs'!C455</f>
        <v>0</v>
      </c>
      <c r="P22" s="242">
        <f>+'OLD...Tabs'!B395+'OLD...Tabs'!C395</f>
        <v>0</v>
      </c>
    </row>
    <row r="23" spans="1:16" ht="15.75" customHeight="1">
      <c r="A23" s="134" t="s">
        <v>631</v>
      </c>
      <c r="B23" s="240">
        <f>+'OLD...Tabs'!B57+'OLD...Tabs'!C57</f>
        <v>46.100644786524953</v>
      </c>
      <c r="C23" s="240">
        <f>+'OLD...Tabs'!B88+'OLD...Tabs'!C88</f>
        <v>47.741286066165699</v>
      </c>
      <c r="D23" s="240">
        <f>+'OLD...Tabs'!B118+'OLD...Tabs'!C118</f>
        <v>42.487134708536857</v>
      </c>
      <c r="E23" s="240">
        <f>+'OLD...Tabs'!B149+'OLD...Tabs'!C149</f>
        <v>26.974476426221198</v>
      </c>
      <c r="F23" s="240">
        <f>+'OLD...Tabs'!B180+'OLD...Tabs'!C180</f>
        <v>53.67890657503429</v>
      </c>
      <c r="G23" s="240">
        <f>+'OLD...Tabs'!B210+'OLD...Tabs'!C210</f>
        <v>0</v>
      </c>
      <c r="H23" s="245">
        <f>+'OLD...Tabs'!B25+'OLD...Tabs'!C25</f>
        <v>44.384189192031641</v>
      </c>
      <c r="I23" s="242">
        <f>+'OLD...Tabs'!B272+'OLD...Tabs'!C272</f>
        <v>36.998416493142379</v>
      </c>
      <c r="J23" s="240">
        <f>+'OLD...Tabs'!B303+'OLD...Tabs'!C303</f>
        <v>41.520807567259126</v>
      </c>
      <c r="K23" s="240">
        <f>+'OLD...Tabs'!B334+'OLD...Tabs'!C334</f>
        <v>41.102180286174693</v>
      </c>
      <c r="L23" s="240">
        <f>+'OLD...Tabs'!B365+'OLD...Tabs'!C365</f>
        <v>40.617599222111679</v>
      </c>
      <c r="M23" s="242">
        <f>+'OLD...Tabs'!B241+'OLD...Tabs'!C241</f>
        <v>41.168408960513254</v>
      </c>
      <c r="N23" s="243">
        <f>+'OLD...Tabs'!B426+'OLD...Tabs'!C426</f>
        <v>0</v>
      </c>
      <c r="O23" s="169">
        <f>+'OLD...Tabs'!B456+'OLD...Tabs'!C456</f>
        <v>0</v>
      </c>
      <c r="P23" s="242">
        <f>+'OLD...Tabs'!B396+'OLD...Tabs'!C396</f>
        <v>0</v>
      </c>
    </row>
    <row r="24" spans="1:16" ht="15.75" customHeight="1">
      <c r="A24" s="134" t="s">
        <v>632</v>
      </c>
      <c r="B24" s="240">
        <f>+'OLD...Tabs'!B58+'OLD...Tabs'!C58</f>
        <v>55.915634449100843</v>
      </c>
      <c r="C24" s="240">
        <f>+'OLD...Tabs'!B89+'OLD...Tabs'!C89</f>
        <v>56.842622931068568</v>
      </c>
      <c r="D24" s="240">
        <f>+'OLD...Tabs'!B119+'OLD...Tabs'!C119</f>
        <v>59.380352164279735</v>
      </c>
      <c r="E24" s="240">
        <f>+'OLD...Tabs'!B150+'OLD...Tabs'!C150</f>
        <v>68.202950249265371</v>
      </c>
      <c r="F24" s="240">
        <f>+'OLD...Tabs'!B181+'OLD...Tabs'!C181</f>
        <v>66.516601476663439</v>
      </c>
      <c r="G24" s="240">
        <f>+'OLD...Tabs'!B211+'OLD...Tabs'!C211</f>
        <v>72.946902075467577</v>
      </c>
      <c r="H24" s="245">
        <f>+'OLD...Tabs'!B26+'OLD...Tabs'!C26</f>
        <v>57.864750660482422</v>
      </c>
      <c r="I24" s="242">
        <f>+'OLD...Tabs'!B273+'OLD...Tabs'!C273</f>
        <v>0</v>
      </c>
      <c r="J24" s="240">
        <f>+'OLD...Tabs'!B304+'OLD...Tabs'!C304</f>
        <v>45.119746907463046</v>
      </c>
      <c r="K24" s="240">
        <f>+'OLD...Tabs'!B335+'OLD...Tabs'!C335</f>
        <v>40.741621963657131</v>
      </c>
      <c r="L24" s="240">
        <f>+'OLD...Tabs'!B366+'OLD...Tabs'!C366</f>
        <v>41.422119990714755</v>
      </c>
      <c r="M24" s="242">
        <f>+'OLD...Tabs'!B242+'OLD...Tabs'!C242</f>
        <v>43.311021655493285</v>
      </c>
      <c r="N24" s="243">
        <f>+'OLD...Tabs'!B427+'OLD...Tabs'!C427</f>
        <v>0</v>
      </c>
      <c r="O24" s="169">
        <f>+'OLD...Tabs'!B457+'OLD...Tabs'!C457</f>
        <v>0</v>
      </c>
      <c r="P24" s="242">
        <f>+'OLD...Tabs'!B397+'OLD...Tabs'!C397</f>
        <v>0</v>
      </c>
    </row>
    <row r="25" spans="1:16" ht="15.75" customHeight="1">
      <c r="A25" s="140" t="s">
        <v>633</v>
      </c>
      <c r="B25" s="246">
        <f>+'OLD...Tabs'!B59+'OLD...Tabs'!C59</f>
        <v>56.548339844565554</v>
      </c>
      <c r="C25" s="246">
        <f>+'OLD...Tabs'!B90+'OLD...Tabs'!C90</f>
        <v>0</v>
      </c>
      <c r="D25" s="246">
        <f>+'OLD...Tabs'!B120+'OLD...Tabs'!C120</f>
        <v>51.784761352510849</v>
      </c>
      <c r="E25" s="246">
        <f>+'OLD...Tabs'!B151+'OLD...Tabs'!C151</f>
        <v>73.605222316442934</v>
      </c>
      <c r="F25" s="246">
        <f>+'OLD...Tabs'!B182+'OLD...Tabs'!C182</f>
        <v>56.132466328665934</v>
      </c>
      <c r="G25" s="246">
        <f>+'OLD...Tabs'!B212+'OLD...Tabs'!C212</f>
        <v>61.879999629227953</v>
      </c>
      <c r="H25" s="247">
        <f>+'OLD...Tabs'!B27+'OLD...Tabs'!C27</f>
        <v>57.705483989120857</v>
      </c>
      <c r="I25" s="248">
        <f>+'OLD...Tabs'!B274+'OLD...Tabs'!C274</f>
        <v>62.187284962853241</v>
      </c>
      <c r="J25" s="246">
        <f>+'OLD...Tabs'!B305+'OLD...Tabs'!C305</f>
        <v>0</v>
      </c>
      <c r="K25" s="246">
        <f>+'OLD...Tabs'!B336+'OLD...Tabs'!C336</f>
        <v>44.816329741209785</v>
      </c>
      <c r="L25" s="249">
        <f>+'OLD...Tabs'!B367+'OLD...Tabs'!C367</f>
        <v>48.658138951592676</v>
      </c>
      <c r="M25" s="248">
        <f>+'OLD...Tabs'!B243+'OLD...Tabs'!C243</f>
        <v>51.529574957656507</v>
      </c>
      <c r="N25" s="250">
        <f>+'OLD...Tabs'!B428+'OLD...Tabs'!C428</f>
        <v>0</v>
      </c>
      <c r="O25" s="179">
        <f>+'OLD...Tabs'!B458+'OLD...Tabs'!C458</f>
        <v>0</v>
      </c>
      <c r="P25" s="248">
        <f>+'OLD...Tabs'!B398+'OLD...Tabs'!C398</f>
        <v>0</v>
      </c>
    </row>
    <row r="26" spans="1:16" s="181" customFormat="1" ht="24" customHeight="1">
      <c r="A26" s="641" t="s">
        <v>744</v>
      </c>
      <c r="B26" s="641"/>
      <c r="C26" s="641"/>
      <c r="D26" s="641"/>
      <c r="E26" s="641"/>
      <c r="F26" s="641"/>
      <c r="G26" s="641"/>
      <c r="H26" s="641"/>
      <c r="I26" s="641"/>
      <c r="J26" s="641"/>
      <c r="K26" s="641"/>
      <c r="L26" s="641"/>
      <c r="M26" s="641"/>
      <c r="N26" s="641"/>
      <c r="O26" s="641"/>
      <c r="P26" s="641"/>
    </row>
    <row r="27" spans="1:16" s="181" customFormat="1" ht="11.25">
      <c r="M27" s="251"/>
      <c r="P27" s="187" t="s">
        <v>992</v>
      </c>
    </row>
    <row r="28" spans="1:16" ht="18">
      <c r="A28" s="636" t="s">
        <v>686</v>
      </c>
      <c r="B28" s="636"/>
      <c r="C28" s="636"/>
      <c r="D28" s="636"/>
      <c r="E28" s="636"/>
      <c r="F28" s="636"/>
      <c r="G28" s="636"/>
      <c r="H28" s="636"/>
      <c r="I28" s="636"/>
      <c r="J28" s="636"/>
      <c r="K28" s="636"/>
      <c r="L28" s="636"/>
      <c r="M28" s="636"/>
      <c r="N28" s="636"/>
      <c r="O28" s="636"/>
      <c r="P28" s="636"/>
    </row>
    <row r="29" spans="1:16" s="134" customFormat="1" ht="12.75">
      <c r="A29" s="135"/>
      <c r="B29" s="131"/>
      <c r="C29" s="131"/>
      <c r="D29" s="131"/>
      <c r="E29" s="131"/>
      <c r="F29" s="131"/>
      <c r="G29" s="131"/>
      <c r="H29" s="131"/>
      <c r="I29" s="131"/>
      <c r="J29" s="131"/>
      <c r="K29" s="131"/>
      <c r="L29" s="131"/>
      <c r="M29" s="131"/>
    </row>
    <row r="30" spans="1:16" ht="15.75">
      <c r="A30" s="645" t="s">
        <v>861</v>
      </c>
      <c r="B30" s="645"/>
      <c r="C30" s="645"/>
      <c r="D30" s="645"/>
      <c r="E30" s="645"/>
      <c r="F30" s="645"/>
      <c r="G30" s="645"/>
      <c r="H30" s="645"/>
      <c r="I30" s="645"/>
      <c r="J30" s="645"/>
      <c r="K30" s="645"/>
      <c r="L30" s="645"/>
      <c r="M30" s="645"/>
      <c r="N30" s="645"/>
      <c r="O30" s="645"/>
      <c r="P30" s="645"/>
    </row>
    <row r="31" spans="1:16" s="134" customFormat="1" ht="9.75" customHeight="1">
      <c r="A31" s="253"/>
      <c r="B31" s="131"/>
      <c r="C31" s="131"/>
      <c r="D31" s="131"/>
      <c r="E31" s="131"/>
      <c r="F31" s="131"/>
      <c r="G31" s="131"/>
      <c r="H31" s="131"/>
      <c r="I31" s="131"/>
      <c r="J31" s="131"/>
      <c r="K31" s="131"/>
      <c r="L31" s="131"/>
      <c r="M31" s="131"/>
    </row>
    <row r="32" spans="1:16" s="235" customFormat="1" ht="18" customHeight="1">
      <c r="A32" s="230"/>
      <c r="B32" s="234" t="s">
        <v>517</v>
      </c>
      <c r="C32" s="234"/>
      <c r="D32" s="234"/>
      <c r="E32" s="234"/>
      <c r="F32" s="234"/>
      <c r="G32" s="234"/>
      <c r="H32" s="254"/>
      <c r="I32" s="233" t="s">
        <v>520</v>
      </c>
      <c r="J32" s="234"/>
      <c r="K32" s="234"/>
      <c r="L32" s="234"/>
      <c r="M32" s="234"/>
      <c r="N32" s="233" t="s">
        <v>536</v>
      </c>
      <c r="O32" s="234"/>
      <c r="P32" s="234"/>
    </row>
    <row r="33" spans="1:16" s="239" customFormat="1" ht="26.25" customHeight="1">
      <c r="A33" s="236"/>
      <c r="B33" s="231">
        <v>1</v>
      </c>
      <c r="C33" s="231">
        <v>2</v>
      </c>
      <c r="D33" s="231">
        <v>3</v>
      </c>
      <c r="E33" s="231">
        <v>4</v>
      </c>
      <c r="F33" s="231">
        <v>5</v>
      </c>
      <c r="G33" s="231">
        <v>6</v>
      </c>
      <c r="H33" s="237" t="s">
        <v>683</v>
      </c>
      <c r="I33" s="238" t="s">
        <v>684</v>
      </c>
      <c r="J33" s="231">
        <v>1</v>
      </c>
      <c r="K33" s="231">
        <v>2</v>
      </c>
      <c r="L33" s="231">
        <v>3</v>
      </c>
      <c r="M33" s="232" t="s">
        <v>685</v>
      </c>
      <c r="N33" s="232">
        <v>1</v>
      </c>
      <c r="O33" s="231">
        <v>2</v>
      </c>
      <c r="P33" s="232" t="s">
        <v>685</v>
      </c>
    </row>
    <row r="34" spans="1:16" ht="15.75" customHeight="1">
      <c r="A34" s="134" t="s">
        <v>618</v>
      </c>
      <c r="B34" s="240">
        <f>+'OLD...Tabs'!D41</f>
        <v>27.545211207926926</v>
      </c>
      <c r="C34" s="240">
        <f>+'OLD...Tabs'!D72</f>
        <v>33.780645732564444</v>
      </c>
      <c r="D34" s="240">
        <f>+'OLD...Tabs'!D102</f>
        <v>48.522980443931019</v>
      </c>
      <c r="E34" s="240">
        <f>+'OLD...Tabs'!D133</f>
        <v>49.327760161429808</v>
      </c>
      <c r="F34" s="240">
        <f>+'OLD...Tabs'!D164</f>
        <v>59.616366478410797</v>
      </c>
      <c r="G34" s="240">
        <f>+'OLD...Tabs'!D194</f>
        <v>0</v>
      </c>
      <c r="H34" s="244">
        <f>+'OLD...Tabs'!D9</f>
        <v>35.807469623403982</v>
      </c>
      <c r="I34" s="244">
        <f>+'OLD...Tabs'!D256</f>
        <v>0</v>
      </c>
      <c r="J34" s="240">
        <f>+'OLD...Tabs'!D287</f>
        <v>55.937206439700695</v>
      </c>
      <c r="K34" s="240">
        <f>+'OLD...Tabs'!D318</f>
        <v>43.753211801416633</v>
      </c>
      <c r="L34" s="240">
        <f>+'OLD...Tabs'!D349</f>
        <v>56.34014951248178</v>
      </c>
      <c r="M34" s="242">
        <f>+'OLD...Tabs'!D225</f>
        <v>50.036157330192118</v>
      </c>
      <c r="N34" s="243">
        <f>+'OLD...Tabs'!D410</f>
        <v>54.418695993715637</v>
      </c>
      <c r="O34" s="169">
        <f>+'OLD...Tabs'!D440</f>
        <v>15.449997310237237</v>
      </c>
      <c r="P34" s="242">
        <f>+'OLD...Tabs'!D380</f>
        <v>35.824113766460457</v>
      </c>
    </row>
    <row r="35" spans="1:16" ht="15.75" customHeight="1">
      <c r="A35" s="134" t="s">
        <v>619</v>
      </c>
      <c r="B35" s="240">
        <f>+'OLD...Tabs'!D42</f>
        <v>12.960269917521822</v>
      </c>
      <c r="C35" s="240">
        <f>+'OLD...Tabs'!D73</f>
        <v>45.292012211526092</v>
      </c>
      <c r="D35" s="240">
        <f>+'OLD...Tabs'!D103</f>
        <v>27.774473153275714</v>
      </c>
      <c r="E35" s="240">
        <f>+'OLD...Tabs'!D134</f>
        <v>31.78623488161368</v>
      </c>
      <c r="F35" s="240">
        <f>+'OLD...Tabs'!D165</f>
        <v>0</v>
      </c>
      <c r="G35" s="240">
        <f>+'OLD...Tabs'!D195</f>
        <v>29.098932264820718</v>
      </c>
      <c r="H35" s="242">
        <f>+'OLD...Tabs'!D10</f>
        <v>25.234422347217187</v>
      </c>
      <c r="I35" s="242">
        <f>+'OLD...Tabs'!D257</f>
        <v>0</v>
      </c>
      <c r="J35" s="240">
        <f>+'OLD...Tabs'!D288</f>
        <v>35.325721074516537</v>
      </c>
      <c r="K35" s="240">
        <f>+'OLD...Tabs'!D319</f>
        <v>37.219601374281602</v>
      </c>
      <c r="L35" s="240">
        <f>+'OLD...Tabs'!D350</f>
        <v>35.869751646542262</v>
      </c>
      <c r="M35" s="242">
        <f>+'OLD...Tabs'!D226</f>
        <v>36.058444984560559</v>
      </c>
      <c r="N35" s="243">
        <f>+'OLD...Tabs'!D411</f>
        <v>0</v>
      </c>
      <c r="O35" s="169">
        <f>+'OLD...Tabs'!D441</f>
        <v>0</v>
      </c>
      <c r="P35" s="242">
        <f>+'OLD...Tabs'!D381</f>
        <v>0</v>
      </c>
    </row>
    <row r="36" spans="1:16" ht="15.75" customHeight="1">
      <c r="A36" s="134" t="s">
        <v>620</v>
      </c>
      <c r="B36" s="240">
        <f>+'OLD...Tabs'!D43</f>
        <v>50.920228034071911</v>
      </c>
      <c r="C36" s="240">
        <f>+'OLD...Tabs'!D74</f>
        <v>0</v>
      </c>
      <c r="D36" s="240">
        <f>+'OLD...Tabs'!D104</f>
        <v>20.703688518366665</v>
      </c>
      <c r="E36" s="240">
        <f>+'OLD...Tabs'!D135</f>
        <v>0</v>
      </c>
      <c r="F36" s="240">
        <f>+'OLD...Tabs'!D166</f>
        <v>0</v>
      </c>
      <c r="G36" s="240">
        <f>+'OLD...Tabs'!D196</f>
        <v>0</v>
      </c>
      <c r="H36" s="242">
        <f>+'OLD...Tabs'!D11</f>
        <v>45.485840850559455</v>
      </c>
      <c r="I36" s="242">
        <f>+'OLD...Tabs'!D258</f>
        <v>25.844194251106913</v>
      </c>
      <c r="J36" s="240">
        <f>+'OLD...Tabs'!D289</f>
        <v>0</v>
      </c>
      <c r="K36" s="240">
        <f>+'OLD...Tabs'!D320</f>
        <v>0</v>
      </c>
      <c r="L36" s="240">
        <f>+'OLD...Tabs'!D351</f>
        <v>0</v>
      </c>
      <c r="M36" s="242">
        <f>+'OLD...Tabs'!D227</f>
        <v>25.844194251106913</v>
      </c>
      <c r="N36" s="243">
        <f>+'OLD...Tabs'!D412</f>
        <v>0</v>
      </c>
      <c r="O36" s="169">
        <f>+'OLD...Tabs'!D442</f>
        <v>0</v>
      </c>
      <c r="P36" s="242">
        <f>+'OLD...Tabs'!D382</f>
        <v>0</v>
      </c>
    </row>
    <row r="37" spans="1:16" ht="15.75" customHeight="1">
      <c r="A37" s="134" t="s">
        <v>657</v>
      </c>
      <c r="B37" s="240">
        <f>+'OLD...Tabs'!D44</f>
        <v>0</v>
      </c>
      <c r="C37" s="240">
        <f>+'OLD...Tabs'!D75</f>
        <v>0</v>
      </c>
      <c r="D37" s="240">
        <f>+'OLD...Tabs'!D105</f>
        <v>0</v>
      </c>
      <c r="E37" s="240">
        <f>+'OLD...Tabs'!D136</f>
        <v>0</v>
      </c>
      <c r="F37" s="240">
        <f>+'OLD...Tabs'!D167</f>
        <v>0</v>
      </c>
      <c r="G37" s="240">
        <f>+'OLD...Tabs'!D197</f>
        <v>0</v>
      </c>
      <c r="H37" s="242">
        <f>+'OLD...Tabs'!D12</f>
        <v>0</v>
      </c>
      <c r="I37" s="242">
        <f>+'OLD...Tabs'!D259</f>
        <v>61.260323965011061</v>
      </c>
      <c r="J37" s="240">
        <f>+'OLD...Tabs'!D290</f>
        <v>63.632080653232606</v>
      </c>
      <c r="K37" s="240">
        <f>+'OLD...Tabs'!D321</f>
        <v>0</v>
      </c>
      <c r="L37" s="240">
        <f>+'OLD...Tabs'!D352</f>
        <v>56.965046090496472</v>
      </c>
      <c r="M37" s="242">
        <f>+'OLD...Tabs'!D228</f>
        <v>61.461414273425831</v>
      </c>
      <c r="N37" s="243">
        <f>+'OLD...Tabs'!D413</f>
        <v>0</v>
      </c>
      <c r="O37" s="169">
        <f>+'OLD...Tabs'!D443</f>
        <v>0</v>
      </c>
      <c r="P37" s="242">
        <f>+'OLD...Tabs'!D383</f>
        <v>0</v>
      </c>
    </row>
    <row r="38" spans="1:16" ht="15.75" customHeight="1">
      <c r="B38" s="134"/>
      <c r="C38" s="134"/>
      <c r="D38" s="134"/>
      <c r="E38" s="134"/>
      <c r="F38" s="134"/>
      <c r="G38" s="134"/>
      <c r="H38" s="255"/>
      <c r="I38" s="255"/>
      <c r="J38" s="134"/>
      <c r="K38" s="134"/>
      <c r="L38" s="134"/>
      <c r="M38" s="255"/>
      <c r="N38" s="255"/>
      <c r="O38" s="134"/>
      <c r="P38" s="255"/>
    </row>
    <row r="39" spans="1:16" ht="15.75" customHeight="1">
      <c r="A39" s="134" t="s">
        <v>622</v>
      </c>
      <c r="B39" s="240">
        <f>+'OLD...Tabs'!D46</f>
        <v>42.102717092495674</v>
      </c>
      <c r="C39" s="240">
        <f>+'OLD...Tabs'!D77</f>
        <v>56.951266071618534</v>
      </c>
      <c r="D39" s="240">
        <f>+'OLD...Tabs'!D107</f>
        <v>49.105302148771457</v>
      </c>
      <c r="E39" s="240">
        <f>+'OLD...Tabs'!D138</f>
        <v>39.325934120731382</v>
      </c>
      <c r="F39" s="240">
        <f>+'OLD...Tabs'!D169</f>
        <v>46.845041010837583</v>
      </c>
      <c r="G39" s="240">
        <f>+'OLD...Tabs'!D199</f>
        <v>37.103346459622522</v>
      </c>
      <c r="H39" s="242">
        <f>+'OLD...Tabs'!D14</f>
        <v>44.486542111292465</v>
      </c>
      <c r="I39" s="242">
        <f>+'OLD...Tabs'!D261</f>
        <v>52.227072974329538</v>
      </c>
      <c r="J39" s="240">
        <f>+'OLD...Tabs'!D292</f>
        <v>0</v>
      </c>
      <c r="K39" s="240">
        <f>+'OLD...Tabs'!D323</f>
        <v>0</v>
      </c>
      <c r="L39" s="240">
        <f>+'OLD...Tabs'!D354</f>
        <v>0</v>
      </c>
      <c r="M39" s="242">
        <f>+'OLD...Tabs'!D230</f>
        <v>52.227072974329538</v>
      </c>
      <c r="N39" s="243">
        <f>+'OLD...Tabs'!D415</f>
        <v>55.733665990158819</v>
      </c>
      <c r="O39" s="169">
        <f>+'OLD...Tabs'!D445</f>
        <v>0</v>
      </c>
      <c r="P39" s="242">
        <f>+'OLD...Tabs'!D385</f>
        <v>55.733665990158819</v>
      </c>
    </row>
    <row r="40" spans="1:16" ht="15.75" customHeight="1">
      <c r="A40" s="134" t="s">
        <v>623</v>
      </c>
      <c r="B40" s="240">
        <f>+'OLD...Tabs'!D47</f>
        <v>39.216341589236215</v>
      </c>
      <c r="C40" s="240">
        <f>+'OLD...Tabs'!D78</f>
        <v>0</v>
      </c>
      <c r="D40" s="240">
        <f>+'OLD...Tabs'!D108</f>
        <v>36.188729436471824</v>
      </c>
      <c r="E40" s="240">
        <f>+'OLD...Tabs'!D139</f>
        <v>36.248070987654316</v>
      </c>
      <c r="F40" s="240">
        <f>+'OLD...Tabs'!D170</f>
        <v>0</v>
      </c>
      <c r="G40" s="240">
        <f>+'OLD...Tabs'!D200</f>
        <v>0</v>
      </c>
      <c r="H40" s="242">
        <f>+'OLD...Tabs'!D15</f>
        <v>37.407972970681357</v>
      </c>
      <c r="I40" s="242">
        <f>+'OLD...Tabs'!D262</f>
        <v>0</v>
      </c>
      <c r="J40" s="240">
        <f>+'OLD...Tabs'!D293</f>
        <v>46.670027432034068</v>
      </c>
      <c r="K40" s="240">
        <f>+'OLD...Tabs'!D324</f>
        <v>52.980203109692816</v>
      </c>
      <c r="L40" s="240">
        <f>+'OLD...Tabs'!D355</f>
        <v>55.185827015317969</v>
      </c>
      <c r="M40" s="242">
        <f>+'OLD...Tabs'!D231</f>
        <v>51.423660374209156</v>
      </c>
      <c r="N40" s="243">
        <f>+'OLD...Tabs'!D416</f>
        <v>43.580875545562762</v>
      </c>
      <c r="O40" s="169">
        <f>+'OLD...Tabs'!D446</f>
        <v>0</v>
      </c>
      <c r="P40" s="242">
        <f>+'OLD...Tabs'!D386</f>
        <v>43.580875545562762</v>
      </c>
    </row>
    <row r="41" spans="1:16" ht="15.75" customHeight="1">
      <c r="A41" s="134" t="s">
        <v>624</v>
      </c>
      <c r="B41" s="240">
        <f>+'OLD...Tabs'!D48</f>
        <v>32.773213841174972</v>
      </c>
      <c r="C41" s="240">
        <f>+'OLD...Tabs'!D79</f>
        <v>27.963618143241035</v>
      </c>
      <c r="D41" s="240">
        <f>+'OLD...Tabs'!D109</f>
        <v>39.958703780581907</v>
      </c>
      <c r="E41" s="240">
        <f>+'OLD...Tabs'!D140</f>
        <v>48.952375755856849</v>
      </c>
      <c r="F41" s="240">
        <f>+'OLD...Tabs'!D171</f>
        <v>100</v>
      </c>
      <c r="G41" s="240">
        <f>+'OLD...Tabs'!D201</f>
        <v>48.429118773946364</v>
      </c>
      <c r="H41" s="242">
        <f>+'OLD...Tabs'!D16</f>
        <v>37.874713969864366</v>
      </c>
      <c r="I41" s="242">
        <f>+'OLD...Tabs'!D263</f>
        <v>0</v>
      </c>
      <c r="J41" s="240">
        <f>+'OLD...Tabs'!D294</f>
        <v>55.856626611203232</v>
      </c>
      <c r="K41" s="240">
        <f>+'OLD...Tabs'!D325</f>
        <v>48.082941943453214</v>
      </c>
      <c r="L41" s="240">
        <f>+'OLD...Tabs'!D356</f>
        <v>45.757858819492689</v>
      </c>
      <c r="M41" s="242">
        <f>+'OLD...Tabs'!D232</f>
        <v>51.159442044710005</v>
      </c>
      <c r="N41" s="243">
        <f>+'OLD...Tabs'!D417</f>
        <v>30.872447459760004</v>
      </c>
      <c r="O41" s="169">
        <f>+'OLD...Tabs'!D447</f>
        <v>8.6092715231788102</v>
      </c>
      <c r="P41" s="242">
        <f>+'OLD...Tabs'!D387</f>
        <v>28.801629486753772</v>
      </c>
    </row>
    <row r="42" spans="1:16" ht="15.75" customHeight="1">
      <c r="A42" s="134" t="s">
        <v>625</v>
      </c>
      <c r="B42" s="240">
        <f>+'OLD...Tabs'!D49</f>
        <v>49.808730236023941</v>
      </c>
      <c r="C42" s="240">
        <f>+'OLD...Tabs'!D80</f>
        <v>45.504605456027292</v>
      </c>
      <c r="D42" s="240">
        <f>+'OLD...Tabs'!D110</f>
        <v>45.383336635113139</v>
      </c>
      <c r="E42" s="240">
        <f>+'OLD...Tabs'!D141</f>
        <v>48.939646709731534</v>
      </c>
      <c r="F42" s="240">
        <f>+'OLD...Tabs'!D172</f>
        <v>25.143731866645307</v>
      </c>
      <c r="G42" s="240">
        <f>+'OLD...Tabs'!D202</f>
        <v>22.565527940273427</v>
      </c>
      <c r="H42" s="242">
        <f>+'OLD...Tabs'!D17</f>
        <v>58.999970793539525</v>
      </c>
      <c r="I42" s="242">
        <f>+'OLD...Tabs'!D264</f>
        <v>0</v>
      </c>
      <c r="J42" s="240">
        <f>+'OLD...Tabs'!D295</f>
        <v>64.505896824003514</v>
      </c>
      <c r="K42" s="240">
        <f>+'OLD...Tabs'!D326</f>
        <v>57.830360166011658</v>
      </c>
      <c r="L42" s="240">
        <f>+'OLD...Tabs'!D357</f>
        <v>51.8984952682667</v>
      </c>
      <c r="M42" s="242">
        <f>+'OLD...Tabs'!D233</f>
        <v>62.131046790880333</v>
      </c>
      <c r="N42" s="243">
        <f>+'OLD...Tabs'!D418</f>
        <v>0</v>
      </c>
      <c r="O42" s="169">
        <f>+'OLD...Tabs'!D448</f>
        <v>0</v>
      </c>
      <c r="P42" s="242">
        <f>+'OLD...Tabs'!D388</f>
        <v>0</v>
      </c>
    </row>
    <row r="43" spans="1:16" ht="15.75" customHeight="1">
      <c r="B43" s="134"/>
      <c r="C43" s="134"/>
      <c r="D43" s="134"/>
      <c r="E43" s="134"/>
      <c r="F43" s="134"/>
      <c r="G43" s="134"/>
      <c r="H43" s="255"/>
      <c r="I43" s="255"/>
      <c r="J43" s="134"/>
      <c r="K43" s="134"/>
      <c r="L43" s="134"/>
      <c r="M43" s="255"/>
      <c r="N43" s="255"/>
      <c r="O43" s="134"/>
      <c r="P43" s="255"/>
    </row>
    <row r="44" spans="1:16" ht="15.75" customHeight="1">
      <c r="A44" s="134" t="s">
        <v>672</v>
      </c>
      <c r="B44" s="240">
        <f>+'OLD...Tabs'!D51</f>
        <v>44.989873927135704</v>
      </c>
      <c r="C44" s="240">
        <f>+'OLD...Tabs'!D82</f>
        <v>63.615129055057693</v>
      </c>
      <c r="D44" s="240">
        <f>+'OLD...Tabs'!D112</f>
        <v>0</v>
      </c>
      <c r="E44" s="240">
        <f>+'OLD...Tabs'!D143</f>
        <v>44.595097994495887</v>
      </c>
      <c r="F44" s="240">
        <f>+'OLD...Tabs'!D174</f>
        <v>0</v>
      </c>
      <c r="G44" s="240">
        <f>+'OLD...Tabs'!D204</f>
        <v>0</v>
      </c>
      <c r="H44" s="242">
        <f>+'OLD...Tabs'!D19</f>
        <v>46.318023643367994</v>
      </c>
      <c r="I44" s="242">
        <f>+'OLD...Tabs'!D266</f>
        <v>0</v>
      </c>
      <c r="J44" s="240">
        <f>+'OLD...Tabs'!D297</f>
        <v>40.853043845082318</v>
      </c>
      <c r="K44" s="240">
        <f>+'OLD...Tabs'!D328</f>
        <v>37.117926810850463</v>
      </c>
      <c r="L44" s="240">
        <f>+'OLD...Tabs'!D359</f>
        <v>38.922369321852493</v>
      </c>
      <c r="M44" s="242">
        <f>+'OLD...Tabs'!D235</f>
        <v>38.952547418306409</v>
      </c>
      <c r="N44" s="243">
        <f>+'OLD...Tabs'!D420</f>
        <v>0</v>
      </c>
      <c r="O44" s="169">
        <f>+'OLD...Tabs'!D450</f>
        <v>0</v>
      </c>
      <c r="P44" s="242">
        <f>+'OLD...Tabs'!D390</f>
        <v>0</v>
      </c>
    </row>
    <row r="45" spans="1:16" ht="15.75" customHeight="1">
      <c r="A45" s="134" t="s">
        <v>627</v>
      </c>
      <c r="B45" s="240">
        <f>+'OLD...Tabs'!D52</f>
        <v>51.613192346630107</v>
      </c>
      <c r="C45" s="240">
        <f>+'OLD...Tabs'!D83</f>
        <v>49.541435703833955</v>
      </c>
      <c r="D45" s="240">
        <f>+'OLD...Tabs'!D113</f>
        <v>53.333988338550995</v>
      </c>
      <c r="E45" s="240">
        <f>+'OLD...Tabs'!D144</f>
        <v>62.848080600774288</v>
      </c>
      <c r="F45" s="240">
        <f>+'OLD...Tabs'!D175</f>
        <v>52.514975506438496</v>
      </c>
      <c r="G45" s="240">
        <f>+'OLD...Tabs'!D205</f>
        <v>35.374974456780869</v>
      </c>
      <c r="H45" s="242">
        <f>+'OLD...Tabs'!D20</f>
        <v>51.461822607248919</v>
      </c>
      <c r="I45" s="242">
        <f>+'OLD...Tabs'!D267</f>
        <v>0</v>
      </c>
      <c r="J45" s="240">
        <f>+'OLD...Tabs'!D298</f>
        <v>64.674547736163618</v>
      </c>
      <c r="K45" s="240">
        <f>+'OLD...Tabs'!D329</f>
        <v>63.436576724062611</v>
      </c>
      <c r="L45" s="240">
        <f>+'OLD...Tabs'!D360</f>
        <v>64.218191247543444</v>
      </c>
      <c r="M45" s="242">
        <f>+'OLD...Tabs'!D236</f>
        <v>64.145725912651784</v>
      </c>
      <c r="N45" s="243">
        <f>+'OLD...Tabs'!D421</f>
        <v>0</v>
      </c>
      <c r="O45" s="169">
        <f>+'OLD...Tabs'!D451</f>
        <v>0</v>
      </c>
      <c r="P45" s="242">
        <f>+'OLD...Tabs'!D391</f>
        <v>0</v>
      </c>
    </row>
    <row r="46" spans="1:16" ht="15.75" customHeight="1">
      <c r="A46" s="134" t="s">
        <v>628</v>
      </c>
      <c r="B46" s="240">
        <f>+'OLD...Tabs'!D53</f>
        <v>0</v>
      </c>
      <c r="C46" s="240">
        <f>+'OLD...Tabs'!D84</f>
        <v>0</v>
      </c>
      <c r="D46" s="240">
        <f>+'OLD...Tabs'!D114</f>
        <v>0</v>
      </c>
      <c r="E46" s="240">
        <f>+'OLD...Tabs'!D145</f>
        <v>0</v>
      </c>
      <c r="F46" s="240">
        <f>+'OLD...Tabs'!D176</f>
        <v>0</v>
      </c>
      <c r="G46" s="240">
        <f>+'OLD...Tabs'!D206</f>
        <v>0</v>
      </c>
      <c r="H46" s="242">
        <f>+'OLD...Tabs'!D21</f>
        <v>0</v>
      </c>
      <c r="I46" s="242">
        <f>+'OLD...Tabs'!D268</f>
        <v>0</v>
      </c>
      <c r="J46" s="240">
        <f>+'OLD...Tabs'!D299</f>
        <v>0</v>
      </c>
      <c r="K46" s="240">
        <f>+'OLD...Tabs'!D330</f>
        <v>0</v>
      </c>
      <c r="L46" s="240">
        <f>+'OLD...Tabs'!D361</f>
        <v>0</v>
      </c>
      <c r="M46" s="242">
        <f>+'OLD...Tabs'!D237</f>
        <v>0</v>
      </c>
      <c r="N46" s="243">
        <f>+'OLD...Tabs'!D422</f>
        <v>0</v>
      </c>
      <c r="O46" s="169">
        <f>+'OLD...Tabs'!D452</f>
        <v>0</v>
      </c>
      <c r="P46" s="242">
        <f>+'OLD...Tabs'!D392</f>
        <v>0</v>
      </c>
    </row>
    <row r="47" spans="1:16" s="181" customFormat="1" ht="16.5" customHeight="1">
      <c r="A47" s="134" t="s">
        <v>629</v>
      </c>
      <c r="B47" s="240">
        <f>+'OLD...Tabs'!D54</f>
        <v>42.715236481219392</v>
      </c>
      <c r="C47" s="240">
        <f>+'OLD...Tabs'!D85</f>
        <v>0</v>
      </c>
      <c r="D47" s="240">
        <f>+'OLD...Tabs'!D115</f>
        <v>29.708527168026432</v>
      </c>
      <c r="E47" s="240">
        <f>+'OLD...Tabs'!D146</f>
        <v>23.752998447862282</v>
      </c>
      <c r="F47" s="240">
        <f>+'OLD...Tabs'!D177</f>
        <v>31.964311242295047</v>
      </c>
      <c r="G47" s="240">
        <f>+'OLD...Tabs'!D207</f>
        <v>47.260797661110232</v>
      </c>
      <c r="H47" s="242">
        <f>+'OLD...Tabs'!D22</f>
        <v>38.001920949583251</v>
      </c>
      <c r="I47" s="242">
        <f>+'OLD...Tabs'!D269</f>
        <v>0</v>
      </c>
      <c r="J47" s="240">
        <f>+'OLD...Tabs'!D300</f>
        <v>62.200343252371347</v>
      </c>
      <c r="K47" s="240">
        <f>+'OLD...Tabs'!D331</f>
        <v>63.05351517854654</v>
      </c>
      <c r="L47" s="240">
        <f>+'OLD...Tabs'!D362</f>
        <v>58.987986012533327</v>
      </c>
      <c r="M47" s="242">
        <f>+'OLD...Tabs'!D238</f>
        <v>61.939411842127988</v>
      </c>
      <c r="N47" s="243">
        <f>+'OLD...Tabs'!D423</f>
        <v>0</v>
      </c>
      <c r="O47" s="169">
        <f>+'OLD...Tabs'!D453</f>
        <v>0</v>
      </c>
      <c r="P47" s="242">
        <f>+'OLD...Tabs'!D393</f>
        <v>0</v>
      </c>
    </row>
    <row r="48" spans="1:16" s="181" customFormat="1" ht="14.25" customHeight="1">
      <c r="H48" s="256"/>
      <c r="I48" s="256"/>
      <c r="M48" s="256"/>
      <c r="N48" s="256"/>
      <c r="P48" s="256"/>
    </row>
    <row r="49" spans="1:16" s="181" customFormat="1" ht="15" customHeight="1">
      <c r="A49" s="134" t="s">
        <v>630</v>
      </c>
      <c r="B49" s="240">
        <f>+'OLD...Tabs'!D56</f>
        <v>22.247876472027567</v>
      </c>
      <c r="C49" s="240">
        <f>+'OLD...Tabs'!D87</f>
        <v>43.149388443694647</v>
      </c>
      <c r="D49" s="240">
        <f>+'OLD...Tabs'!D117</f>
        <v>58.326540907220327</v>
      </c>
      <c r="E49" s="240">
        <f>+'OLD...Tabs'!D148</f>
        <v>44.465576026775942</v>
      </c>
      <c r="F49" s="240">
        <f>+'OLD...Tabs'!D179</f>
        <v>0</v>
      </c>
      <c r="G49" s="240">
        <f>+'OLD...Tabs'!D209</f>
        <v>0</v>
      </c>
      <c r="H49" s="242">
        <f>+'OLD...Tabs'!D24</f>
        <v>39.314991593311476</v>
      </c>
      <c r="I49" s="242">
        <f>+'OLD...Tabs'!D271</f>
        <v>0</v>
      </c>
      <c r="J49" s="240">
        <f>+'OLD...Tabs'!D302</f>
        <v>65.054733971972155</v>
      </c>
      <c r="K49" s="240">
        <f>+'OLD...Tabs'!D333</f>
        <v>56.228061263944127</v>
      </c>
      <c r="L49" s="240">
        <f>+'OLD...Tabs'!D364</f>
        <v>39.911421180528336</v>
      </c>
      <c r="M49" s="242">
        <f>+'OLD...Tabs'!D240</f>
        <v>60.254502751381096</v>
      </c>
      <c r="N49" s="243">
        <f>+'OLD...Tabs'!D425</f>
        <v>0</v>
      </c>
      <c r="O49" s="169">
        <f>+'OLD...Tabs'!D455</f>
        <v>0</v>
      </c>
      <c r="P49" s="242">
        <f>+'OLD...Tabs'!D395</f>
        <v>0</v>
      </c>
    </row>
    <row r="50" spans="1:16" s="181" customFormat="1" ht="12.75">
      <c r="A50" s="134" t="s">
        <v>631</v>
      </c>
      <c r="B50" s="240">
        <f>+'OLD...Tabs'!D57</f>
        <v>53.899355213475047</v>
      </c>
      <c r="C50" s="240">
        <f>+'OLD...Tabs'!D88</f>
        <v>52.258713933834294</v>
      </c>
      <c r="D50" s="240">
        <f>+'OLD...Tabs'!D118</f>
        <v>57.512865291463143</v>
      </c>
      <c r="E50" s="240">
        <f>+'OLD...Tabs'!D149</f>
        <v>73.025523573778813</v>
      </c>
      <c r="F50" s="240">
        <f>+'OLD...Tabs'!D180</f>
        <v>46.321093424965717</v>
      </c>
      <c r="G50" s="240">
        <f>+'OLD...Tabs'!D210</f>
        <v>0</v>
      </c>
      <c r="H50" s="242">
        <f>+'OLD...Tabs'!D25</f>
        <v>55.615810807968359</v>
      </c>
      <c r="I50" s="242">
        <f>+'OLD...Tabs'!D272</f>
        <v>63.001583506857621</v>
      </c>
      <c r="J50" s="240">
        <f>+'OLD...Tabs'!D303</f>
        <v>58.479192432740888</v>
      </c>
      <c r="K50" s="240">
        <f>+'OLD...Tabs'!D334</f>
        <v>58.897819713825307</v>
      </c>
      <c r="L50" s="240">
        <f>+'OLD...Tabs'!D365</f>
        <v>59.382400777888321</v>
      </c>
      <c r="M50" s="242">
        <f>+'OLD...Tabs'!D241</f>
        <v>58.831591039486746</v>
      </c>
      <c r="N50" s="243">
        <f>+'OLD...Tabs'!D426</f>
        <v>0</v>
      </c>
      <c r="O50" s="169">
        <f>+'OLD...Tabs'!D456</f>
        <v>0</v>
      </c>
      <c r="P50" s="242">
        <f>+'OLD...Tabs'!D396</f>
        <v>0</v>
      </c>
    </row>
    <row r="51" spans="1:16" s="181" customFormat="1" ht="16.5" customHeight="1">
      <c r="A51" s="134" t="s">
        <v>632</v>
      </c>
      <c r="B51" s="240">
        <f>+'OLD...Tabs'!D58</f>
        <v>44.08436555089915</v>
      </c>
      <c r="C51" s="240">
        <f>+'OLD...Tabs'!D89</f>
        <v>43.157377068931432</v>
      </c>
      <c r="D51" s="240">
        <f>+'OLD...Tabs'!D119</f>
        <v>40.619647835720258</v>
      </c>
      <c r="E51" s="240">
        <f>+'OLD...Tabs'!D150</f>
        <v>31.79704975073464</v>
      </c>
      <c r="F51" s="240">
        <f>+'OLD...Tabs'!D181</f>
        <v>33.483398523336561</v>
      </c>
      <c r="G51" s="240">
        <f>+'OLD...Tabs'!D211</f>
        <v>27.05309792453242</v>
      </c>
      <c r="H51" s="242">
        <f>+'OLD...Tabs'!D26</f>
        <v>42.135249339517593</v>
      </c>
      <c r="I51" s="242">
        <f>+'OLD...Tabs'!D273</f>
        <v>0</v>
      </c>
      <c r="J51" s="240">
        <f>+'OLD...Tabs'!D304</f>
        <v>54.880253092536961</v>
      </c>
      <c r="K51" s="240">
        <f>+'OLD...Tabs'!D335</f>
        <v>59.258378036342876</v>
      </c>
      <c r="L51" s="240">
        <f>+'OLD...Tabs'!D366</f>
        <v>58.577880009285245</v>
      </c>
      <c r="M51" s="242">
        <f>+'OLD...Tabs'!D242</f>
        <v>56.688978344506708</v>
      </c>
      <c r="N51" s="243">
        <f>+'OLD...Tabs'!D427</f>
        <v>0</v>
      </c>
      <c r="O51" s="169">
        <f>+'OLD...Tabs'!D457</f>
        <v>0</v>
      </c>
      <c r="P51" s="242">
        <f>+'OLD...Tabs'!D397</f>
        <v>0</v>
      </c>
    </row>
    <row r="52" spans="1:16" s="134" customFormat="1">
      <c r="A52" s="134" t="s">
        <v>633</v>
      </c>
      <c r="B52" s="240">
        <f>+'OLD...Tabs'!D59</f>
        <v>43.451660155434439</v>
      </c>
      <c r="C52" s="240">
        <f>+'OLD...Tabs'!D90</f>
        <v>0</v>
      </c>
      <c r="D52" s="240">
        <f>+'OLD...Tabs'!D120</f>
        <v>48.215238647489144</v>
      </c>
      <c r="E52" s="240">
        <f>+'OLD...Tabs'!D151</f>
        <v>26.394777683557063</v>
      </c>
      <c r="F52" s="240">
        <f>+'OLD...Tabs'!D182</f>
        <v>43.867533671334073</v>
      </c>
      <c r="G52" s="240">
        <f>+'OLD...Tabs'!D212</f>
        <v>38.12000037077204</v>
      </c>
      <c r="H52" s="242">
        <f>+'OLD...Tabs'!D27</f>
        <v>42.294516010879136</v>
      </c>
      <c r="I52" s="242">
        <f>+'OLD...Tabs'!D274</f>
        <v>37.812715037146759</v>
      </c>
      <c r="J52" s="240">
        <f>+'OLD...Tabs'!D305</f>
        <v>0</v>
      </c>
      <c r="K52" s="240">
        <f>+'OLD...Tabs'!D336</f>
        <v>55.183670258790215</v>
      </c>
      <c r="L52" s="240">
        <f>+'OLD...Tabs'!D367</f>
        <v>51.341861048407324</v>
      </c>
      <c r="M52" s="257">
        <f>+'OLD...Tabs'!D243</f>
        <v>48.470425042343493</v>
      </c>
      <c r="N52" s="243">
        <f>+'OLD...Tabs'!D428</f>
        <v>0</v>
      </c>
      <c r="O52" s="169">
        <f>+'OLD...Tabs'!D458</f>
        <v>0</v>
      </c>
      <c r="P52" s="242">
        <f>+'OLD...Tabs'!D398</f>
        <v>0</v>
      </c>
    </row>
    <row r="53" spans="1:16" ht="24" customHeight="1">
      <c r="A53" s="641" t="s">
        <v>744</v>
      </c>
      <c r="B53" s="641"/>
      <c r="C53" s="641"/>
      <c r="D53" s="641"/>
      <c r="E53" s="641"/>
      <c r="F53" s="641"/>
      <c r="G53" s="641"/>
      <c r="H53" s="641"/>
      <c r="I53" s="641"/>
      <c r="J53" s="641"/>
      <c r="K53" s="641"/>
      <c r="L53" s="641"/>
      <c r="M53" s="641"/>
      <c r="N53" s="641"/>
      <c r="O53" s="641"/>
      <c r="P53" s="641"/>
    </row>
    <row r="54" spans="1:16" ht="23.25" customHeight="1">
      <c r="A54" s="633" t="s">
        <v>687</v>
      </c>
      <c r="B54" s="634"/>
      <c r="C54" s="634"/>
      <c r="D54" s="634"/>
      <c r="E54" s="634"/>
      <c r="F54" s="634"/>
      <c r="G54" s="634"/>
      <c r="H54" s="634"/>
      <c r="I54" s="634"/>
      <c r="J54" s="634"/>
      <c r="K54" s="634"/>
      <c r="L54" s="634"/>
      <c r="M54" s="634"/>
      <c r="N54" s="634"/>
      <c r="O54" s="634"/>
      <c r="P54" s="634"/>
    </row>
    <row r="55" spans="1:16">
      <c r="A55" s="181"/>
      <c r="B55" s="181"/>
      <c r="C55" s="181"/>
      <c r="D55" s="181"/>
      <c r="E55" s="181"/>
      <c r="F55" s="181"/>
      <c r="G55" s="181"/>
      <c r="H55" s="181"/>
      <c r="I55" s="181"/>
      <c r="J55" s="181"/>
      <c r="K55" s="181"/>
      <c r="L55" s="181"/>
      <c r="M55" s="251"/>
      <c r="N55" s="181"/>
      <c r="O55" s="181"/>
      <c r="P55" s="187" t="s">
        <v>992</v>
      </c>
    </row>
    <row r="56" spans="1:16" s="235" customFormat="1" ht="18">
      <c r="A56" s="129" t="s">
        <v>688</v>
      </c>
      <c r="B56" s="130"/>
      <c r="C56" s="130"/>
      <c r="D56" s="130"/>
      <c r="E56" s="130"/>
      <c r="F56" s="130"/>
      <c r="G56" s="224"/>
      <c r="H56" s="224"/>
      <c r="I56" s="258" t="s">
        <v>533</v>
      </c>
      <c r="J56" s="259"/>
      <c r="K56" s="259"/>
      <c r="L56" s="259"/>
      <c r="M56" s="259"/>
      <c r="N56" s="62"/>
      <c r="O56" s="62"/>
      <c r="P56" s="62"/>
    </row>
    <row r="57" spans="1:16" s="239" customFormat="1" ht="12.75">
      <c r="A57" s="135"/>
      <c r="B57" s="131"/>
      <c r="C57" s="131"/>
      <c r="D57" s="131"/>
      <c r="E57" s="131"/>
      <c r="F57" s="131"/>
      <c r="G57" s="131"/>
      <c r="H57" s="131"/>
      <c r="I57" s="260"/>
      <c r="J57" s="260"/>
      <c r="K57" s="260"/>
      <c r="L57" s="260"/>
      <c r="M57" s="260"/>
      <c r="N57" s="134"/>
      <c r="O57" s="134"/>
      <c r="P57" s="134"/>
    </row>
    <row r="58" spans="1:16" ht="15" customHeight="1">
      <c r="A58" s="226" t="s">
        <v>689</v>
      </c>
      <c r="B58" s="130"/>
      <c r="C58" s="130"/>
      <c r="D58" s="130"/>
      <c r="E58" s="130"/>
      <c r="F58" s="130"/>
      <c r="G58" s="224"/>
      <c r="H58" s="224"/>
      <c r="I58" s="258" t="s">
        <v>533</v>
      </c>
      <c r="J58" s="259"/>
      <c r="K58" s="259"/>
      <c r="L58" s="259"/>
      <c r="M58" s="259"/>
    </row>
    <row r="59" spans="1:16" ht="15.75" customHeight="1">
      <c r="A59" s="226" t="s">
        <v>690</v>
      </c>
      <c r="B59" s="131"/>
      <c r="C59" s="131"/>
      <c r="D59" s="131"/>
      <c r="E59" s="131"/>
      <c r="F59" s="131"/>
      <c r="G59" s="224"/>
      <c r="H59" s="224"/>
      <c r="I59" s="258" t="s">
        <v>533</v>
      </c>
      <c r="J59" s="259"/>
      <c r="K59" s="259"/>
      <c r="L59" s="259"/>
      <c r="M59" s="259"/>
    </row>
    <row r="60" spans="1:16" ht="15.75" customHeight="1">
      <c r="A60" s="226" t="s">
        <v>862</v>
      </c>
      <c r="B60" s="131"/>
      <c r="C60" s="131"/>
      <c r="D60" s="131"/>
      <c r="E60" s="131"/>
      <c r="F60" s="131"/>
      <c r="G60" s="224"/>
      <c r="H60" s="224"/>
      <c r="I60" s="258" t="s">
        <v>533</v>
      </c>
      <c r="J60" s="259"/>
      <c r="K60" s="259"/>
      <c r="L60" s="259"/>
      <c r="M60" s="259"/>
    </row>
    <row r="61" spans="1:16" ht="15.75" customHeight="1">
      <c r="A61" s="261"/>
      <c r="B61" s="262"/>
      <c r="C61" s="262"/>
      <c r="D61" s="262"/>
      <c r="E61" s="262"/>
      <c r="F61" s="262"/>
      <c r="G61" s="262"/>
      <c r="H61" s="262"/>
    </row>
    <row r="62" spans="1:16" ht="15.75" customHeight="1">
      <c r="A62" s="230"/>
      <c r="B62" s="231" t="s">
        <v>517</v>
      </c>
      <c r="C62" s="231"/>
      <c r="D62" s="231"/>
      <c r="E62" s="231"/>
      <c r="F62" s="231"/>
      <c r="G62" s="231"/>
      <c r="H62" s="231"/>
      <c r="I62" s="239"/>
      <c r="J62" s="239"/>
      <c r="K62" s="239"/>
      <c r="L62" s="239"/>
      <c r="M62" s="239"/>
      <c r="N62" s="235"/>
      <c r="O62" s="235"/>
      <c r="P62" s="235"/>
    </row>
    <row r="63" spans="1:16" ht="15.75" customHeight="1">
      <c r="A63" s="236"/>
      <c r="B63" s="231">
        <v>1</v>
      </c>
      <c r="C63" s="231">
        <v>2</v>
      </c>
      <c r="D63" s="231">
        <v>3</v>
      </c>
      <c r="E63" s="231">
        <v>4</v>
      </c>
      <c r="F63" s="231">
        <v>5</v>
      </c>
      <c r="G63" s="231">
        <v>6</v>
      </c>
      <c r="H63" s="232" t="s">
        <v>683</v>
      </c>
      <c r="I63" s="239"/>
      <c r="J63" s="239"/>
      <c r="K63" s="239"/>
      <c r="L63" s="239"/>
      <c r="M63" s="239"/>
      <c r="N63" s="239"/>
      <c r="O63" s="239"/>
      <c r="P63" s="239"/>
    </row>
    <row r="64" spans="1:16" ht="15.75" customHeight="1">
      <c r="A64" s="134" t="s">
        <v>618</v>
      </c>
      <c r="B64" s="263">
        <f>+'OLD...Tabs'!J41+'OLD...Tabs'!K41</f>
        <v>66.751531400560324</v>
      </c>
      <c r="C64" s="263">
        <f>+'OLD...Tabs'!J72+'OLD...Tabs'!K72</f>
        <v>53.060654429369514</v>
      </c>
      <c r="D64" s="263">
        <f>+'OLD...Tabs'!J102+'OLD...Tabs'!K102</f>
        <v>20.776525955504852</v>
      </c>
      <c r="E64" s="263">
        <f>+'OLD...Tabs'!J133+'OLD...Tabs'!K133</f>
        <v>8.4188348522060021</v>
      </c>
      <c r="F64" s="263">
        <f>+'OLD...Tabs'!J164+'OLD...Tabs'!K164</f>
        <v>40.82564049372472</v>
      </c>
      <c r="G64" s="263">
        <f>+'OLD...Tabs'!J194+'OLD...Tabs'!K194</f>
        <v>0</v>
      </c>
      <c r="H64" s="244">
        <f>+'OLD...Tabs'!J9+'OLD...Tabs'!K9</f>
        <v>44.977011929968967</v>
      </c>
      <c r="I64" s="264"/>
      <c r="J64" s="265"/>
      <c r="K64" s="265"/>
      <c r="L64" s="265"/>
      <c r="M64" s="265"/>
    </row>
    <row r="65" spans="1:16" ht="15.75" customHeight="1">
      <c r="A65" s="134" t="s">
        <v>619</v>
      </c>
      <c r="B65" s="240">
        <f>+'OLD...Tabs'!J42+'OLD...Tabs'!K42</f>
        <v>59.999747001973383</v>
      </c>
      <c r="C65" s="240">
        <f>+'OLD...Tabs'!J73+'OLD...Tabs'!K73</f>
        <v>66.678529387609842</v>
      </c>
      <c r="D65" s="240">
        <f>+'OLD...Tabs'!J103+'OLD...Tabs'!K103</f>
        <v>24.781565485083071</v>
      </c>
      <c r="E65" s="240">
        <f>+'OLD...Tabs'!J134+'OLD...Tabs'!K134</f>
        <v>14.028516571716345</v>
      </c>
      <c r="F65" s="240">
        <f>+'OLD...Tabs'!J165+'OLD...Tabs'!K165</f>
        <v>0</v>
      </c>
      <c r="G65" s="240">
        <f>+'OLD...Tabs'!J195+'OLD...Tabs'!K195</f>
        <v>44.675925925925924</v>
      </c>
      <c r="H65" s="242">
        <f>+'OLD...Tabs'!J10+'OLD...Tabs'!K10</f>
        <v>44.41712719202819</v>
      </c>
      <c r="I65" s="264"/>
      <c r="J65" s="265"/>
      <c r="K65" s="265"/>
      <c r="L65" s="265"/>
      <c r="M65" s="265"/>
    </row>
    <row r="66" spans="1:16" ht="15.75" customHeight="1">
      <c r="A66" s="134" t="s">
        <v>620</v>
      </c>
      <c r="B66" s="240">
        <f>+'OLD...Tabs'!J43+'OLD...Tabs'!K43</f>
        <v>49.689041389663309</v>
      </c>
      <c r="C66" s="240">
        <f>+'OLD...Tabs'!J74+'OLD...Tabs'!K74</f>
        <v>0</v>
      </c>
      <c r="D66" s="240">
        <f>+'OLD...Tabs'!J104+'OLD...Tabs'!K104</f>
        <v>54.222792388283089</v>
      </c>
      <c r="E66" s="240">
        <f>+'OLD...Tabs'!J135+'OLD...Tabs'!K135</f>
        <v>0</v>
      </c>
      <c r="F66" s="240">
        <f>+'OLD...Tabs'!J166+'OLD...Tabs'!K166</f>
        <v>0</v>
      </c>
      <c r="G66" s="240">
        <f>+'OLD...Tabs'!J196+'OLD...Tabs'!K196</f>
        <v>0</v>
      </c>
      <c r="H66" s="242">
        <f>+'OLD...Tabs'!J11+'OLD...Tabs'!K11</f>
        <v>50.194135442223867</v>
      </c>
      <c r="I66" s="264"/>
      <c r="J66" s="265"/>
      <c r="K66" s="265"/>
      <c r="L66" s="265"/>
      <c r="M66" s="265"/>
    </row>
    <row r="67" spans="1:16" ht="15.75" customHeight="1">
      <c r="A67" s="134" t="s">
        <v>621</v>
      </c>
      <c r="B67" s="240">
        <f>+'OLD...Tabs'!J44+'OLD...Tabs'!K44</f>
        <v>0</v>
      </c>
      <c r="C67" s="240">
        <f>+'OLD...Tabs'!J75+'OLD...Tabs'!K75</f>
        <v>0</v>
      </c>
      <c r="D67" s="240">
        <f>+'OLD...Tabs'!J105+'OLD...Tabs'!K105</f>
        <v>0</v>
      </c>
      <c r="E67" s="240">
        <f>+'OLD...Tabs'!J136+'OLD...Tabs'!K136</f>
        <v>0</v>
      </c>
      <c r="F67" s="240">
        <f>+'OLD...Tabs'!J167+'OLD...Tabs'!K167</f>
        <v>0</v>
      </c>
      <c r="G67" s="240">
        <f>+'OLD...Tabs'!J197+'OLD...Tabs'!K197</f>
        <v>0</v>
      </c>
      <c r="H67" s="242">
        <f>+'OLD...Tabs'!J12+'OLD...Tabs'!K12</f>
        <v>0</v>
      </c>
      <c r="I67" s="264"/>
      <c r="J67" s="265"/>
      <c r="K67" s="265"/>
      <c r="L67" s="265"/>
      <c r="M67" s="265"/>
    </row>
    <row r="68" spans="1:16" ht="15.75" customHeight="1">
      <c r="A68" s="134"/>
      <c r="B68" s="240"/>
      <c r="C68" s="240"/>
      <c r="D68" s="240"/>
      <c r="E68" s="240"/>
      <c r="F68" s="240"/>
      <c r="G68" s="240"/>
      <c r="H68" s="242"/>
      <c r="I68" s="264"/>
      <c r="J68" s="265"/>
      <c r="K68" s="265"/>
      <c r="L68" s="265"/>
      <c r="M68" s="265"/>
    </row>
    <row r="69" spans="1:16" ht="15.75" customHeight="1">
      <c r="A69" s="134" t="s">
        <v>622</v>
      </c>
      <c r="B69" s="240">
        <f>+'OLD...Tabs'!J46+'OLD...Tabs'!K46</f>
        <v>68.02321835077791</v>
      </c>
      <c r="C69" s="240">
        <f>+'OLD...Tabs'!J77+'OLD...Tabs'!K77</f>
        <v>39.580273552193297</v>
      </c>
      <c r="D69" s="240">
        <f>+'OLD...Tabs'!J107+'OLD...Tabs'!K107</f>
        <v>20.902182402134137</v>
      </c>
      <c r="E69" s="240">
        <f>+'OLD...Tabs'!J138+'OLD...Tabs'!K138</f>
        <v>60.616710049239771</v>
      </c>
      <c r="F69" s="240">
        <f>+'OLD...Tabs'!J169+'OLD...Tabs'!K169</f>
        <v>33.756109633112665</v>
      </c>
      <c r="G69" s="240">
        <f>+'OLD...Tabs'!J199+'OLD...Tabs'!K199</f>
        <v>0</v>
      </c>
      <c r="H69" s="242">
        <f>+'OLD...Tabs'!J14+'OLD...Tabs'!K14</f>
        <v>50.923119591715839</v>
      </c>
      <c r="I69" s="264"/>
      <c r="J69" s="265"/>
      <c r="K69" s="265"/>
      <c r="L69" s="265"/>
      <c r="M69" s="265"/>
    </row>
    <row r="70" spans="1:16" ht="15.75" customHeight="1">
      <c r="A70" s="134" t="s">
        <v>623</v>
      </c>
      <c r="B70" s="240">
        <f>+'OLD...Tabs'!J47+'OLD...Tabs'!K47</f>
        <v>48.146509515213722</v>
      </c>
      <c r="C70" s="240">
        <f>+'OLD...Tabs'!J78+'OLD...Tabs'!K78</f>
        <v>0</v>
      </c>
      <c r="D70" s="240">
        <f>+'OLD...Tabs'!J108+'OLD...Tabs'!K108</f>
        <v>27.775619861461774</v>
      </c>
      <c r="E70" s="240">
        <f>+'OLD...Tabs'!J139+'OLD...Tabs'!K139</f>
        <v>57.210031347962385</v>
      </c>
      <c r="F70" s="240">
        <f>+'OLD...Tabs'!J170+'OLD...Tabs'!K170</f>
        <v>0</v>
      </c>
      <c r="G70" s="240">
        <f>+'OLD...Tabs'!J200+'OLD...Tabs'!K200</f>
        <v>0</v>
      </c>
      <c r="H70" s="242">
        <f>+'OLD...Tabs'!J15+'OLD...Tabs'!K15</f>
        <v>37.611968744044212</v>
      </c>
      <c r="I70" s="264"/>
      <c r="J70" s="265"/>
      <c r="K70" s="265"/>
      <c r="L70" s="265"/>
      <c r="M70" s="265"/>
    </row>
    <row r="71" spans="1:16" ht="15.75" customHeight="1">
      <c r="A71" s="134" t="s">
        <v>624</v>
      </c>
      <c r="B71" s="240">
        <f>+'OLD...Tabs'!J48+'OLD...Tabs'!K48</f>
        <v>81.099033816425163</v>
      </c>
      <c r="C71" s="240">
        <f>+'OLD...Tabs'!J79+'OLD...Tabs'!K79</f>
        <v>70.729974668528939</v>
      </c>
      <c r="D71" s="240">
        <f>+'OLD...Tabs'!J109+'OLD...Tabs'!K109</f>
        <v>40.222567864178949</v>
      </c>
      <c r="E71" s="240">
        <f>+'OLD...Tabs'!J140+'OLD...Tabs'!K140</f>
        <v>22.744955900219839</v>
      </c>
      <c r="F71" s="240">
        <f>+'OLD...Tabs'!J171+'OLD...Tabs'!K171</f>
        <v>0</v>
      </c>
      <c r="G71" s="240">
        <f>+'OLD...Tabs'!J201+'OLD...Tabs'!K201</f>
        <v>0</v>
      </c>
      <c r="H71" s="242">
        <f>+'OLD...Tabs'!J16+'OLD...Tabs'!K16</f>
        <v>53.120721797986548</v>
      </c>
      <c r="I71" s="264"/>
      <c r="J71" s="265"/>
      <c r="K71" s="265"/>
      <c r="L71" s="265"/>
      <c r="M71" s="265"/>
    </row>
    <row r="72" spans="1:16" ht="15.75" customHeight="1">
      <c r="A72" s="134" t="s">
        <v>625</v>
      </c>
      <c r="B72" s="240">
        <f>+'OLD...Tabs'!J49+'OLD...Tabs'!K49</f>
        <v>59.022185483440893</v>
      </c>
      <c r="C72" s="240">
        <f>+'OLD...Tabs'!J80+'OLD...Tabs'!K80</f>
        <v>51.622760461899716</v>
      </c>
      <c r="D72" s="240">
        <f>+'OLD...Tabs'!J110+'OLD...Tabs'!K110</f>
        <v>59.771341192368553</v>
      </c>
      <c r="E72" s="240">
        <f>+'OLD...Tabs'!J141+'OLD...Tabs'!K141</f>
        <v>40.366171906514204</v>
      </c>
      <c r="F72" s="240">
        <f>+'OLD...Tabs'!J172+'OLD...Tabs'!K172</f>
        <v>80.667372881355931</v>
      </c>
      <c r="G72" s="240">
        <f>+'OLD...Tabs'!J202+'OLD...Tabs'!K202</f>
        <v>32.845894263217097</v>
      </c>
      <c r="H72" s="242">
        <f>+'OLD...Tabs'!J17+'OLD...Tabs'!K17</f>
        <v>41.007932774818528</v>
      </c>
      <c r="I72" s="264"/>
      <c r="J72" s="265"/>
      <c r="K72" s="265"/>
      <c r="L72" s="265"/>
      <c r="M72" s="265"/>
    </row>
    <row r="73" spans="1:16" ht="15.75" customHeight="1">
      <c r="A73" s="134"/>
      <c r="B73" s="240"/>
      <c r="C73" s="240"/>
      <c r="D73" s="240"/>
      <c r="E73" s="240"/>
      <c r="F73" s="240"/>
      <c r="G73" s="240"/>
      <c r="H73" s="242"/>
      <c r="I73" s="264"/>
      <c r="J73" s="265"/>
      <c r="K73" s="265"/>
      <c r="L73" s="265"/>
      <c r="M73" s="265"/>
    </row>
    <row r="74" spans="1:16" ht="15.75" customHeight="1">
      <c r="A74" s="134" t="s">
        <v>626</v>
      </c>
      <c r="B74" s="240">
        <f>+'OLD...Tabs'!J51+'OLD...Tabs'!K51</f>
        <v>54.731437430974431</v>
      </c>
      <c r="C74" s="240">
        <f>+'OLD...Tabs'!J82+'OLD...Tabs'!K82</f>
        <v>30.157900847556022</v>
      </c>
      <c r="D74" s="240">
        <f>+'OLD...Tabs'!J112+'OLD...Tabs'!K112</f>
        <v>0</v>
      </c>
      <c r="E74" s="240">
        <f>+'OLD...Tabs'!J143+'OLD...Tabs'!K143</f>
        <v>18.224976547175714</v>
      </c>
      <c r="F74" s="240">
        <f>+'OLD...Tabs'!J174+'OLD...Tabs'!K174</f>
        <v>0</v>
      </c>
      <c r="G74" s="240">
        <f>+'OLD...Tabs'!J204+'OLD...Tabs'!K204</f>
        <v>0</v>
      </c>
      <c r="H74" s="242">
        <f>+'OLD...Tabs'!J19+'OLD...Tabs'!K19</f>
        <v>46.471420541546337</v>
      </c>
      <c r="I74" s="264"/>
      <c r="J74" s="265"/>
      <c r="K74" s="265"/>
      <c r="L74" s="265"/>
      <c r="M74" s="265"/>
    </row>
    <row r="75" spans="1:16" ht="15.75" customHeight="1">
      <c r="A75" s="134" t="s">
        <v>627</v>
      </c>
      <c r="B75" s="240">
        <f>+'OLD...Tabs'!J52+'OLD...Tabs'!K52</f>
        <v>53.573328915439561</v>
      </c>
      <c r="C75" s="240">
        <f>+'OLD...Tabs'!J83+'OLD...Tabs'!K83</f>
        <v>31.519547173730537</v>
      </c>
      <c r="D75" s="240">
        <f>+'OLD...Tabs'!J113+'OLD...Tabs'!K113</f>
        <v>36.066487764829859</v>
      </c>
      <c r="E75" s="240">
        <f>+'OLD...Tabs'!J144+'OLD...Tabs'!K144</f>
        <v>21.893659368780209</v>
      </c>
      <c r="F75" s="240">
        <f>+'OLD...Tabs'!J175+'OLD...Tabs'!K175</f>
        <v>17.989665354330711</v>
      </c>
      <c r="G75" s="240">
        <f>+'OLD...Tabs'!J205+'OLD...Tabs'!K205</f>
        <v>32.489451476793249</v>
      </c>
      <c r="H75" s="242">
        <f>+'OLD...Tabs'!J20+'OLD...Tabs'!K20</f>
        <v>45.017769880053308</v>
      </c>
      <c r="I75" s="264"/>
      <c r="J75" s="265"/>
      <c r="K75" s="265"/>
      <c r="L75" s="265"/>
      <c r="M75" s="265"/>
    </row>
    <row r="76" spans="1:16" ht="15.75" customHeight="1">
      <c r="A76" s="134" t="s">
        <v>628</v>
      </c>
      <c r="B76" s="240">
        <f>+'OLD...Tabs'!J53+'OLD...Tabs'!K53</f>
        <v>0</v>
      </c>
      <c r="C76" s="240">
        <f>+'OLD...Tabs'!J84+'OLD...Tabs'!K84</f>
        <v>0</v>
      </c>
      <c r="D76" s="240">
        <f>+'OLD...Tabs'!J114+'OLD...Tabs'!K114</f>
        <v>0</v>
      </c>
      <c r="E76" s="240">
        <f>+'OLD...Tabs'!J145+'OLD...Tabs'!K145</f>
        <v>0</v>
      </c>
      <c r="F76" s="240">
        <f>+'OLD...Tabs'!J176+'OLD...Tabs'!K176</f>
        <v>0</v>
      </c>
      <c r="G76" s="240">
        <f>+'OLD...Tabs'!J206+'OLD...Tabs'!K206</f>
        <v>0</v>
      </c>
      <c r="H76" s="242">
        <f>+'OLD...Tabs'!J21+'OLD...Tabs'!K21</f>
        <v>0</v>
      </c>
      <c r="I76" s="264"/>
      <c r="J76" s="265"/>
      <c r="K76" s="265"/>
      <c r="L76" s="265"/>
      <c r="M76" s="265"/>
    </row>
    <row r="77" spans="1:16" s="181" customFormat="1">
      <c r="A77" s="134" t="s">
        <v>629</v>
      </c>
      <c r="B77" s="240">
        <f>+'OLD...Tabs'!J54+'OLD...Tabs'!K54</f>
        <v>55.450116278634319</v>
      </c>
      <c r="C77" s="240">
        <f>+'OLD...Tabs'!J85+'OLD...Tabs'!K85</f>
        <v>0</v>
      </c>
      <c r="D77" s="240">
        <f>+'OLD...Tabs'!J115+'OLD...Tabs'!K115</f>
        <v>34.88512570559687</v>
      </c>
      <c r="E77" s="240">
        <f>+'OLD...Tabs'!J146+'OLD...Tabs'!K146</f>
        <v>37.703235990528803</v>
      </c>
      <c r="F77" s="240">
        <f>+'OLD...Tabs'!J177+'OLD...Tabs'!K177</f>
        <v>38.742294558517003</v>
      </c>
      <c r="G77" s="240">
        <f>+'OLD...Tabs'!J207+'OLD...Tabs'!K207</f>
        <v>29.243145252662586</v>
      </c>
      <c r="H77" s="242">
        <f>+'OLD...Tabs'!J22+'OLD...Tabs'!K22</f>
        <v>50.381107537212642</v>
      </c>
      <c r="I77" s="264"/>
      <c r="J77" s="265"/>
      <c r="K77" s="265"/>
      <c r="L77" s="265"/>
      <c r="M77" s="265"/>
      <c r="N77" s="62"/>
      <c r="O77" s="62"/>
      <c r="P77" s="62"/>
    </row>
    <row r="78" spans="1:16" s="181" customFormat="1" ht="27.75" customHeight="1">
      <c r="A78" s="134"/>
      <c r="B78" s="240"/>
      <c r="C78" s="240"/>
      <c r="D78" s="240"/>
      <c r="E78" s="240"/>
      <c r="F78" s="240"/>
      <c r="G78" s="240"/>
      <c r="H78" s="242"/>
      <c r="I78" s="264"/>
      <c r="J78" s="265"/>
      <c r="K78" s="265"/>
      <c r="L78" s="265"/>
      <c r="M78" s="265"/>
      <c r="N78" s="62"/>
      <c r="O78" s="62"/>
      <c r="P78" s="62"/>
    </row>
    <row r="79" spans="1:16" s="181" customFormat="1">
      <c r="A79" s="134" t="s">
        <v>630</v>
      </c>
      <c r="B79" s="240">
        <f>+'OLD...Tabs'!J56+'OLD...Tabs'!K56</f>
        <v>55.400671913880458</v>
      </c>
      <c r="C79" s="240">
        <f>+'OLD...Tabs'!J87+'OLD...Tabs'!K87</f>
        <v>37.332911805095883</v>
      </c>
      <c r="D79" s="240">
        <f>+'OLD...Tabs'!J117+'OLD...Tabs'!K117</f>
        <v>20.410169542794055</v>
      </c>
      <c r="E79" s="240">
        <f>+'OLD...Tabs'!J148+'OLD...Tabs'!K148</f>
        <v>4.8190704853369919</v>
      </c>
      <c r="F79" s="240">
        <f>+'OLD...Tabs'!J179+'OLD...Tabs'!K179</f>
        <v>0</v>
      </c>
      <c r="G79" s="240">
        <f>+'OLD...Tabs'!J209+'OLD...Tabs'!K209</f>
        <v>0</v>
      </c>
      <c r="H79" s="242">
        <f>+'OLD...Tabs'!J24+'OLD...Tabs'!K24</f>
        <v>41.746662396380643</v>
      </c>
      <c r="I79" s="264"/>
      <c r="J79" s="265"/>
      <c r="K79" s="265"/>
      <c r="L79" s="265"/>
      <c r="M79" s="265"/>
      <c r="N79" s="62"/>
      <c r="O79" s="62"/>
      <c r="P79" s="62"/>
    </row>
    <row r="80" spans="1:16">
      <c r="A80" s="134" t="s">
        <v>631</v>
      </c>
      <c r="B80" s="240">
        <f>+'OLD...Tabs'!J57+'OLD...Tabs'!K57</f>
        <v>51.33675755988844</v>
      </c>
      <c r="C80" s="240">
        <f>+'OLD...Tabs'!J88+'OLD...Tabs'!K88</f>
        <v>39.303173125493124</v>
      </c>
      <c r="D80" s="240">
        <f>+'OLD...Tabs'!J118+'OLD...Tabs'!K118</f>
        <v>20.278556146041822</v>
      </c>
      <c r="E80" s="240">
        <f>+'OLD...Tabs'!J149+'OLD...Tabs'!K149</f>
        <v>19.219781763686601</v>
      </c>
      <c r="F80" s="240">
        <f>+'OLD...Tabs'!J180+'OLD...Tabs'!K180</f>
        <v>39.92378390495405</v>
      </c>
      <c r="G80" s="240">
        <f>+'OLD...Tabs'!J210+'OLD...Tabs'!K210</f>
        <v>0</v>
      </c>
      <c r="H80" s="242">
        <f>+'OLD...Tabs'!J25+'OLD...Tabs'!K25</f>
        <v>39.435987366333251</v>
      </c>
      <c r="I80" s="264"/>
      <c r="J80" s="265"/>
      <c r="K80" s="265"/>
      <c r="L80" s="265"/>
      <c r="M80" s="265"/>
    </row>
    <row r="81" spans="1:16" s="134" customFormat="1">
      <c r="A81" s="134" t="s">
        <v>632</v>
      </c>
      <c r="B81" s="240">
        <f>+'OLD...Tabs'!J58+'OLD...Tabs'!K58</f>
        <v>61.171228340093336</v>
      </c>
      <c r="C81" s="240">
        <f>+'OLD...Tabs'!J89+'OLD...Tabs'!K89</f>
        <v>51.263006268760009</v>
      </c>
      <c r="D81" s="240">
        <f>+'OLD...Tabs'!J119+'OLD...Tabs'!K119</f>
        <v>49.91676084235597</v>
      </c>
      <c r="E81" s="240">
        <f>+'OLD...Tabs'!J150+'OLD...Tabs'!K150</f>
        <v>72.064203941933201</v>
      </c>
      <c r="F81" s="240">
        <f>+'OLD...Tabs'!J181+'OLD...Tabs'!K181</f>
        <v>26.820921260822416</v>
      </c>
      <c r="G81" s="240">
        <f>+'OLD...Tabs'!J211+'OLD...Tabs'!K211</f>
        <v>0</v>
      </c>
      <c r="H81" s="242">
        <f>+'OLD...Tabs'!J26+'OLD...Tabs'!K26</f>
        <v>58.689704757694599</v>
      </c>
      <c r="I81" s="264"/>
      <c r="J81" s="265"/>
      <c r="K81" s="265"/>
      <c r="L81" s="265"/>
      <c r="M81" s="265"/>
      <c r="N81" s="62"/>
      <c r="O81" s="62"/>
      <c r="P81" s="62"/>
    </row>
    <row r="82" spans="1:16">
      <c r="A82" s="140" t="s">
        <v>633</v>
      </c>
      <c r="B82" s="246">
        <f>+'OLD...Tabs'!J59+'OLD...Tabs'!K59</f>
        <v>59.069924939330662</v>
      </c>
      <c r="C82" s="246">
        <f>+'OLD...Tabs'!J90+'OLD...Tabs'!K90</f>
        <v>0</v>
      </c>
      <c r="D82" s="246">
        <f>+'OLD...Tabs'!J120+'OLD...Tabs'!K120</f>
        <v>38.755662353265905</v>
      </c>
      <c r="E82" s="246">
        <f>+'OLD...Tabs'!J151+'OLD...Tabs'!K151</f>
        <v>62.684411430929536</v>
      </c>
      <c r="F82" s="246">
        <f>+'OLD...Tabs'!J182+'OLD...Tabs'!K182</f>
        <v>22.592184920198129</v>
      </c>
      <c r="G82" s="246">
        <f>+'OLD...Tabs'!J212+'OLD...Tabs'!K212</f>
        <v>0</v>
      </c>
      <c r="H82" s="248">
        <f>+'OLD...Tabs'!J27+'OLD...Tabs'!K27</f>
        <v>47.998436837788901</v>
      </c>
      <c r="I82" s="264"/>
      <c r="J82" s="265"/>
      <c r="K82" s="265"/>
      <c r="L82" s="265"/>
      <c r="M82" s="265"/>
    </row>
    <row r="83" spans="1:16" ht="40.5" customHeight="1">
      <c r="A83" s="640" t="s">
        <v>745</v>
      </c>
      <c r="B83" s="640"/>
      <c r="C83" s="640"/>
      <c r="D83" s="640"/>
      <c r="E83" s="640"/>
      <c r="F83" s="640"/>
      <c r="G83" s="640"/>
      <c r="H83" s="640"/>
      <c r="I83" s="181"/>
      <c r="J83" s="181"/>
      <c r="K83" s="181"/>
      <c r="L83" s="181"/>
      <c r="M83" s="181"/>
      <c r="N83" s="181"/>
      <c r="O83" s="181"/>
      <c r="P83" s="181"/>
    </row>
    <row r="84" spans="1:16" s="239" customFormat="1" ht="12.75">
      <c r="A84" s="181"/>
      <c r="B84" s="181"/>
      <c r="C84" s="181"/>
      <c r="D84" s="181"/>
      <c r="E84" s="181"/>
      <c r="F84" s="181"/>
      <c r="G84" s="181"/>
      <c r="H84" s="187" t="s">
        <v>992</v>
      </c>
      <c r="I84" s="181"/>
      <c r="J84" s="181"/>
      <c r="K84" s="181"/>
      <c r="L84" s="181"/>
      <c r="M84" s="181"/>
      <c r="N84" s="181"/>
      <c r="O84" s="181"/>
      <c r="P84" s="181"/>
    </row>
    <row r="85" spans="1:16" s="239" customFormat="1" ht="18">
      <c r="A85" s="129" t="s">
        <v>691</v>
      </c>
      <c r="B85" s="130"/>
      <c r="C85" s="130"/>
      <c r="D85" s="130"/>
      <c r="E85" s="130"/>
      <c r="F85" s="130"/>
      <c r="G85" s="224"/>
      <c r="H85" s="224"/>
      <c r="I85" s="258"/>
      <c r="J85" s="259"/>
      <c r="K85" s="259"/>
      <c r="L85" s="259"/>
      <c r="M85" s="259"/>
      <c r="N85" s="62"/>
      <c r="O85" s="62"/>
      <c r="P85" s="62"/>
    </row>
    <row r="86" spans="1:16" ht="11.25" customHeight="1">
      <c r="A86" s="135"/>
      <c r="B86" s="131"/>
      <c r="C86" s="131"/>
      <c r="D86" s="131"/>
      <c r="E86" s="131"/>
      <c r="F86" s="131"/>
      <c r="G86" s="131"/>
      <c r="H86" s="131"/>
      <c r="I86" s="260"/>
      <c r="J86" s="260"/>
      <c r="K86" s="260"/>
      <c r="L86" s="260"/>
      <c r="M86" s="260"/>
      <c r="N86" s="134"/>
      <c r="O86" s="134"/>
      <c r="P86" s="134"/>
    </row>
    <row r="87" spans="1:16" ht="15.75" customHeight="1">
      <c r="A87" s="226" t="s">
        <v>692</v>
      </c>
      <c r="B87" s="130"/>
      <c r="C87" s="130"/>
      <c r="D87" s="130"/>
      <c r="E87" s="130"/>
      <c r="F87" s="130"/>
      <c r="G87" s="224"/>
      <c r="H87" s="224"/>
      <c r="I87" s="258"/>
      <c r="J87" s="259"/>
      <c r="K87" s="259"/>
      <c r="L87" s="259"/>
      <c r="M87" s="259"/>
    </row>
    <row r="88" spans="1:16" ht="15.75" customHeight="1">
      <c r="A88" s="226" t="s">
        <v>862</v>
      </c>
      <c r="B88" s="131"/>
      <c r="C88" s="131"/>
      <c r="D88" s="131"/>
      <c r="E88" s="131"/>
      <c r="F88" s="131"/>
      <c r="G88" s="224"/>
      <c r="H88" s="224"/>
      <c r="I88" s="258"/>
      <c r="J88" s="259"/>
      <c r="K88" s="259"/>
      <c r="L88" s="259"/>
      <c r="M88" s="259"/>
    </row>
    <row r="89" spans="1:16" ht="15.75" customHeight="1">
      <c r="A89" s="252"/>
      <c r="B89" s="260"/>
      <c r="C89" s="260"/>
      <c r="D89" s="260"/>
      <c r="E89" s="260"/>
      <c r="F89" s="260"/>
      <c r="G89" s="259"/>
      <c r="H89" s="259"/>
      <c r="I89" s="258"/>
      <c r="J89" s="259"/>
      <c r="K89" s="259"/>
      <c r="L89" s="259"/>
      <c r="M89" s="259"/>
    </row>
    <row r="90" spans="1:16" ht="15.75" customHeight="1">
      <c r="A90" s="236"/>
      <c r="B90" s="231" t="s">
        <v>517</v>
      </c>
      <c r="C90" s="231"/>
      <c r="D90" s="231"/>
      <c r="E90" s="231"/>
      <c r="F90" s="231"/>
      <c r="G90" s="231"/>
      <c r="H90" s="231"/>
      <c r="I90" s="239"/>
      <c r="J90" s="239"/>
      <c r="K90" s="239"/>
      <c r="L90" s="239"/>
      <c r="M90" s="239"/>
      <c r="N90" s="239"/>
      <c r="O90" s="239"/>
      <c r="P90" s="239"/>
    </row>
    <row r="91" spans="1:16" ht="15.75" customHeight="1">
      <c r="A91" s="236"/>
      <c r="B91" s="231">
        <v>1</v>
      </c>
      <c r="C91" s="231">
        <v>2</v>
      </c>
      <c r="D91" s="231">
        <v>3</v>
      </c>
      <c r="E91" s="231">
        <v>4</v>
      </c>
      <c r="F91" s="231">
        <v>5</v>
      </c>
      <c r="G91" s="231">
        <v>6</v>
      </c>
      <c r="H91" s="232" t="s">
        <v>683</v>
      </c>
      <c r="I91" s="239"/>
      <c r="J91" s="239"/>
      <c r="K91" s="239"/>
      <c r="L91" s="239"/>
      <c r="M91" s="239"/>
      <c r="N91" s="239"/>
      <c r="O91" s="239"/>
      <c r="P91" s="239"/>
    </row>
    <row r="92" spans="1:16">
      <c r="A92" s="134" t="s">
        <v>618</v>
      </c>
      <c r="B92" s="263">
        <f>+'OLD...Tabs'!L41</f>
        <v>33.248468599439676</v>
      </c>
      <c r="C92" s="263">
        <f>+'OLD...Tabs'!L72</f>
        <v>46.939345570630486</v>
      </c>
      <c r="D92" s="263">
        <f>+'OLD...Tabs'!L102</f>
        <v>79.223474044495148</v>
      </c>
      <c r="E92" s="263">
        <f>+'OLD...Tabs'!L133</f>
        <v>91.581165147793996</v>
      </c>
      <c r="F92" s="263">
        <f>+'OLD...Tabs'!L164</f>
        <v>59.174359506275287</v>
      </c>
      <c r="G92" s="263">
        <f>+'OLD...Tabs'!L194</f>
        <v>0</v>
      </c>
      <c r="H92" s="244">
        <f>+'OLD...Tabs'!L9</f>
        <v>55.022988070031019</v>
      </c>
      <c r="I92" s="264"/>
      <c r="J92" s="265"/>
      <c r="K92" s="265"/>
      <c r="L92" s="265"/>
      <c r="M92" s="265"/>
    </row>
    <row r="93" spans="1:16">
      <c r="A93" s="134" t="s">
        <v>619</v>
      </c>
      <c r="B93" s="240">
        <f>+'OLD...Tabs'!L42</f>
        <v>40.000252998026617</v>
      </c>
      <c r="C93" s="240">
        <f>+'OLD...Tabs'!L73</f>
        <v>33.321470612390158</v>
      </c>
      <c r="D93" s="240">
        <f>+'OLD...Tabs'!L103</f>
        <v>75.218434514916922</v>
      </c>
      <c r="E93" s="240">
        <f>+'OLD...Tabs'!L134</f>
        <v>85.971483428283662</v>
      </c>
      <c r="F93" s="240">
        <f>+'OLD...Tabs'!L165</f>
        <v>0</v>
      </c>
      <c r="G93" s="240">
        <f>+'OLD...Tabs'!L195</f>
        <v>55.324074074074069</v>
      </c>
      <c r="H93" s="242">
        <f>+'OLD...Tabs'!L10</f>
        <v>55.582872807971803</v>
      </c>
      <c r="I93" s="264"/>
      <c r="J93" s="265"/>
      <c r="K93" s="265"/>
      <c r="L93" s="265"/>
      <c r="M93" s="265"/>
    </row>
    <row r="94" spans="1:16">
      <c r="A94" s="134" t="s">
        <v>620</v>
      </c>
      <c r="B94" s="240">
        <f>+'OLD...Tabs'!L43</f>
        <v>50.310958610336698</v>
      </c>
      <c r="C94" s="240">
        <f>+'OLD...Tabs'!L74</f>
        <v>0</v>
      </c>
      <c r="D94" s="240">
        <f>+'OLD...Tabs'!L104</f>
        <v>45.777207611716911</v>
      </c>
      <c r="E94" s="240">
        <f>+'OLD...Tabs'!L135</f>
        <v>0</v>
      </c>
      <c r="F94" s="240">
        <f>+'OLD...Tabs'!L166</f>
        <v>0</v>
      </c>
      <c r="G94" s="240">
        <f>+'OLD...Tabs'!L196</f>
        <v>0</v>
      </c>
      <c r="H94" s="242">
        <f>+'OLD...Tabs'!L11</f>
        <v>49.805864557776133</v>
      </c>
      <c r="I94" s="264"/>
      <c r="J94" s="265"/>
      <c r="K94" s="265"/>
      <c r="L94" s="265"/>
      <c r="M94" s="265"/>
    </row>
    <row r="95" spans="1:16">
      <c r="A95" s="134" t="s">
        <v>657</v>
      </c>
      <c r="B95" s="240">
        <f>+'OLD...Tabs'!L44</f>
        <v>0</v>
      </c>
      <c r="C95" s="240">
        <f>+'OLD...Tabs'!L75</f>
        <v>0</v>
      </c>
      <c r="D95" s="240">
        <f>+'OLD...Tabs'!L105</f>
        <v>0</v>
      </c>
      <c r="E95" s="240">
        <f>+'OLD...Tabs'!L136</f>
        <v>0</v>
      </c>
      <c r="F95" s="240">
        <f>+'OLD...Tabs'!L167</f>
        <v>0</v>
      </c>
      <c r="G95" s="240">
        <f>+'OLD...Tabs'!L197</f>
        <v>0</v>
      </c>
      <c r="H95" s="242">
        <f>+'OLD...Tabs'!L12</f>
        <v>0</v>
      </c>
      <c r="I95" s="264"/>
      <c r="J95" s="265"/>
      <c r="K95" s="265"/>
      <c r="L95" s="265"/>
      <c r="M95" s="265"/>
    </row>
    <row r="96" spans="1:16">
      <c r="A96" s="134"/>
      <c r="B96" s="240"/>
      <c r="C96" s="240"/>
      <c r="D96" s="240"/>
      <c r="E96" s="240"/>
      <c r="F96" s="240"/>
      <c r="G96" s="240"/>
      <c r="H96" s="242"/>
      <c r="I96" s="264"/>
      <c r="J96" s="265"/>
      <c r="K96" s="265"/>
      <c r="L96" s="265"/>
      <c r="M96" s="265"/>
    </row>
    <row r="97" spans="1:16">
      <c r="A97" s="134" t="s">
        <v>622</v>
      </c>
      <c r="B97" s="240">
        <f>+'OLD...Tabs'!L46</f>
        <v>31.97678164922209</v>
      </c>
      <c r="C97" s="240">
        <f>+'OLD...Tabs'!L77</f>
        <v>60.419726447806696</v>
      </c>
      <c r="D97" s="240">
        <f>+'OLD...Tabs'!L107</f>
        <v>79.097817597865856</v>
      </c>
      <c r="E97" s="240">
        <f>+'OLD...Tabs'!L138</f>
        <v>39.383289950760229</v>
      </c>
      <c r="F97" s="240">
        <f>+'OLD...Tabs'!L169</f>
        <v>66.243890366887328</v>
      </c>
      <c r="G97" s="240">
        <f>+'OLD...Tabs'!L199</f>
        <v>0</v>
      </c>
      <c r="H97" s="242">
        <f>+'OLD...Tabs'!L14</f>
        <v>49.076880408284168</v>
      </c>
      <c r="I97" s="264"/>
      <c r="J97" s="265"/>
      <c r="K97" s="265"/>
      <c r="L97" s="265"/>
      <c r="M97" s="265"/>
    </row>
    <row r="98" spans="1:16">
      <c r="A98" s="134" t="s">
        <v>623</v>
      </c>
      <c r="B98" s="240">
        <f>+'OLD...Tabs'!L47</f>
        <v>51.853490484786278</v>
      </c>
      <c r="C98" s="240">
        <f>+'OLD...Tabs'!L78</f>
        <v>0</v>
      </c>
      <c r="D98" s="240">
        <f>+'OLD...Tabs'!L108</f>
        <v>72.224380138538223</v>
      </c>
      <c r="E98" s="240">
        <f>+'OLD...Tabs'!L139</f>
        <v>42.789968652037622</v>
      </c>
      <c r="F98" s="240">
        <f>+'OLD...Tabs'!L170</f>
        <v>0</v>
      </c>
      <c r="G98" s="240">
        <f>+'OLD...Tabs'!L200</f>
        <v>0</v>
      </c>
      <c r="H98" s="242">
        <f>+'OLD...Tabs'!L15</f>
        <v>62.388031255955788</v>
      </c>
      <c r="I98" s="264"/>
      <c r="J98" s="265"/>
      <c r="K98" s="265"/>
      <c r="L98" s="265"/>
      <c r="M98" s="265"/>
    </row>
    <row r="99" spans="1:16">
      <c r="A99" s="134" t="s">
        <v>624</v>
      </c>
      <c r="B99" s="240">
        <f>+'OLD...Tabs'!L48</f>
        <v>18.900966183574834</v>
      </c>
      <c r="C99" s="240">
        <f>+'OLD...Tabs'!L79</f>
        <v>29.270025331471068</v>
      </c>
      <c r="D99" s="240">
        <f>+'OLD...Tabs'!L109</f>
        <v>59.777432135821066</v>
      </c>
      <c r="E99" s="240">
        <f>+'OLD...Tabs'!L140</f>
        <v>77.25504409978015</v>
      </c>
      <c r="F99" s="240">
        <f>+'OLD...Tabs'!L171</f>
        <v>100</v>
      </c>
      <c r="G99" s="240">
        <f>+'OLD...Tabs'!L201</f>
        <v>0</v>
      </c>
      <c r="H99" s="242">
        <f>+'OLD...Tabs'!L16</f>
        <v>46.879278202013467</v>
      </c>
      <c r="I99" s="264"/>
      <c r="J99" s="265"/>
      <c r="K99" s="265"/>
      <c r="L99" s="265"/>
      <c r="M99" s="265"/>
    </row>
    <row r="100" spans="1:16">
      <c r="A100" s="134" t="s">
        <v>625</v>
      </c>
      <c r="B100" s="240">
        <f>+'OLD...Tabs'!L49</f>
        <v>40.977814516559114</v>
      </c>
      <c r="C100" s="240">
        <f>+'OLD...Tabs'!L80</f>
        <v>48.377239538100291</v>
      </c>
      <c r="D100" s="240">
        <f>+'OLD...Tabs'!L110</f>
        <v>40.228658807631447</v>
      </c>
      <c r="E100" s="240">
        <f>+'OLD...Tabs'!L141</f>
        <v>59.633828093485796</v>
      </c>
      <c r="F100" s="240">
        <f>+'OLD...Tabs'!L172</f>
        <v>19.332627118644069</v>
      </c>
      <c r="G100" s="240">
        <f>+'OLD...Tabs'!L202</f>
        <v>67.154105736782896</v>
      </c>
      <c r="H100" s="242">
        <f>+'OLD...Tabs'!L17</f>
        <v>58.992067225181472</v>
      </c>
      <c r="I100" s="264"/>
      <c r="J100" s="265"/>
      <c r="K100" s="265"/>
      <c r="L100" s="265"/>
      <c r="M100" s="265"/>
    </row>
    <row r="101" spans="1:16">
      <c r="A101" s="134"/>
      <c r="B101" s="240"/>
      <c r="C101" s="240"/>
      <c r="D101" s="240"/>
      <c r="E101" s="240"/>
      <c r="F101" s="240"/>
      <c r="G101" s="240"/>
      <c r="H101" s="242"/>
      <c r="I101" s="264"/>
      <c r="J101" s="265"/>
      <c r="K101" s="265"/>
      <c r="L101" s="265"/>
      <c r="M101" s="265"/>
    </row>
    <row r="102" spans="1:16">
      <c r="A102" s="134" t="s">
        <v>626</v>
      </c>
      <c r="B102" s="240">
        <f>+'OLD...Tabs'!L51</f>
        <v>45.239890408631389</v>
      </c>
      <c r="C102" s="240">
        <f>+'OLD...Tabs'!L82</f>
        <v>69.842099152443978</v>
      </c>
      <c r="D102" s="240">
        <f>+'OLD...Tabs'!L112</f>
        <v>0</v>
      </c>
      <c r="E102" s="240">
        <f>+'OLD...Tabs'!L143</f>
        <v>81.416834863689346</v>
      </c>
      <c r="F102" s="240">
        <f>+'OLD...Tabs'!L174</f>
        <v>0</v>
      </c>
      <c r="G102" s="240">
        <f>+'OLD...Tabs'!L204</f>
        <v>0</v>
      </c>
      <c r="H102" s="242">
        <f>+'OLD...Tabs'!L19</f>
        <v>53.458802550733623</v>
      </c>
      <c r="I102" s="264"/>
      <c r="J102" s="265"/>
      <c r="K102" s="265"/>
      <c r="L102" s="265"/>
      <c r="M102" s="265"/>
    </row>
    <row r="103" spans="1:16">
      <c r="A103" s="134" t="s">
        <v>627</v>
      </c>
      <c r="B103" s="240">
        <f>+'OLD...Tabs'!L52</f>
        <v>46.426671084560432</v>
      </c>
      <c r="C103" s="240">
        <f>+'OLD...Tabs'!L83</f>
        <v>68.480452826269456</v>
      </c>
      <c r="D103" s="240">
        <f>+'OLD...Tabs'!L113</f>
        <v>63.933512235170141</v>
      </c>
      <c r="E103" s="240">
        <f>+'OLD...Tabs'!L144</f>
        <v>78.10634063121978</v>
      </c>
      <c r="F103" s="240">
        <f>+'OLD...Tabs'!L175</f>
        <v>82.010334645669275</v>
      </c>
      <c r="G103" s="240">
        <f>+'OLD...Tabs'!L205</f>
        <v>67.510548523206751</v>
      </c>
      <c r="H103" s="242">
        <f>+'OLD...Tabs'!L20</f>
        <v>54.982230119946692</v>
      </c>
      <c r="I103" s="264"/>
      <c r="J103" s="265"/>
      <c r="K103" s="265"/>
      <c r="L103" s="265"/>
      <c r="M103" s="265"/>
    </row>
    <row r="104" spans="1:16">
      <c r="A104" s="134" t="s">
        <v>628</v>
      </c>
      <c r="B104" s="240">
        <f>+'OLD...Tabs'!L53</f>
        <v>0</v>
      </c>
      <c r="C104" s="240">
        <f>+'OLD...Tabs'!L84</f>
        <v>0</v>
      </c>
      <c r="D104" s="240">
        <f>+'OLD...Tabs'!L114</f>
        <v>0</v>
      </c>
      <c r="E104" s="240">
        <f>+'OLD...Tabs'!L145</f>
        <v>0</v>
      </c>
      <c r="F104" s="240">
        <f>+'OLD...Tabs'!L176</f>
        <v>0</v>
      </c>
      <c r="G104" s="240">
        <f>+'OLD...Tabs'!L206</f>
        <v>0</v>
      </c>
      <c r="H104" s="242">
        <f>+'OLD...Tabs'!L21</f>
        <v>0</v>
      </c>
      <c r="I104" s="264"/>
      <c r="J104" s="265"/>
      <c r="K104" s="265"/>
      <c r="L104" s="265"/>
      <c r="M104" s="265"/>
    </row>
    <row r="105" spans="1:16" s="181" customFormat="1">
      <c r="A105" s="134" t="s">
        <v>629</v>
      </c>
      <c r="B105" s="240">
        <f>+'OLD...Tabs'!L54</f>
        <v>44.549883721365688</v>
      </c>
      <c r="C105" s="240">
        <f>+'OLD...Tabs'!L85</f>
        <v>0</v>
      </c>
      <c r="D105" s="240">
        <f>+'OLD...Tabs'!L115</f>
        <v>65.114874294403137</v>
      </c>
      <c r="E105" s="240">
        <f>+'OLD...Tabs'!L146</f>
        <v>62.296764009471197</v>
      </c>
      <c r="F105" s="240">
        <f>+'OLD...Tabs'!L177</f>
        <v>61.25770544148299</v>
      </c>
      <c r="G105" s="240">
        <f>+'OLD...Tabs'!L207</f>
        <v>70.756854747337414</v>
      </c>
      <c r="H105" s="242">
        <f>+'OLD...Tabs'!L22</f>
        <v>49.618892462787365</v>
      </c>
      <c r="I105" s="264"/>
      <c r="J105" s="265"/>
      <c r="K105" s="265"/>
      <c r="L105" s="265"/>
      <c r="M105" s="265"/>
      <c r="N105" s="62"/>
      <c r="O105" s="62"/>
      <c r="P105" s="62"/>
    </row>
    <row r="106" spans="1:16" s="181" customFormat="1">
      <c r="A106" s="134"/>
      <c r="B106" s="240"/>
      <c r="C106" s="240"/>
      <c r="D106" s="240"/>
      <c r="E106" s="240"/>
      <c r="F106" s="240"/>
      <c r="G106" s="240"/>
      <c r="H106" s="242"/>
      <c r="I106" s="264"/>
      <c r="J106" s="265"/>
      <c r="K106" s="265"/>
      <c r="L106" s="265"/>
      <c r="M106" s="265"/>
      <c r="N106" s="62"/>
      <c r="O106" s="62"/>
      <c r="P106" s="62"/>
    </row>
    <row r="107" spans="1:16" s="181" customFormat="1">
      <c r="A107" s="134" t="s">
        <v>630</v>
      </c>
      <c r="B107" s="240">
        <f>+'OLD...Tabs'!L56</f>
        <v>41.746379362815588</v>
      </c>
      <c r="C107" s="240">
        <f>+'OLD...Tabs'!L87</f>
        <v>59.237890119443989</v>
      </c>
      <c r="D107" s="240">
        <f>+'OLD...Tabs'!L117</f>
        <v>76.98241050227621</v>
      </c>
      <c r="E107" s="240">
        <f>+'OLD...Tabs'!L148</f>
        <v>95.180929514663006</v>
      </c>
      <c r="F107" s="240">
        <f>+'OLD...Tabs'!L179</f>
        <v>0</v>
      </c>
      <c r="G107" s="240">
        <f>+'OLD...Tabs'!L209</f>
        <v>0</v>
      </c>
      <c r="H107" s="242">
        <f>+'OLD...Tabs'!L24</f>
        <v>55.374933998112994</v>
      </c>
      <c r="I107" s="264"/>
      <c r="J107" s="265"/>
      <c r="K107" s="265"/>
      <c r="L107" s="265"/>
      <c r="M107" s="265"/>
      <c r="N107" s="62"/>
      <c r="O107" s="62"/>
      <c r="P107" s="62"/>
    </row>
    <row r="108" spans="1:16" s="181" customFormat="1">
      <c r="A108" s="134" t="s">
        <v>631</v>
      </c>
      <c r="B108" s="240">
        <f>+'OLD...Tabs'!L57</f>
        <v>48.66324244011156</v>
      </c>
      <c r="C108" s="240">
        <f>+'OLD...Tabs'!L88</f>
        <v>60.696826874506883</v>
      </c>
      <c r="D108" s="240">
        <f>+'OLD...Tabs'!L118</f>
        <v>79.721443853958178</v>
      </c>
      <c r="E108" s="240">
        <f>+'OLD...Tabs'!L149</f>
        <v>80.780218236313388</v>
      </c>
      <c r="F108" s="240">
        <f>+'OLD...Tabs'!L180</f>
        <v>60.076216095045957</v>
      </c>
      <c r="G108" s="240">
        <f>+'OLD...Tabs'!L210</f>
        <v>0</v>
      </c>
      <c r="H108" s="242">
        <f>+'OLD...Tabs'!L25</f>
        <v>60.564012633666749</v>
      </c>
      <c r="I108" s="264"/>
      <c r="J108" s="265"/>
      <c r="K108" s="265"/>
      <c r="L108" s="265"/>
      <c r="M108" s="265"/>
      <c r="N108" s="62"/>
      <c r="O108" s="62"/>
      <c r="P108" s="62"/>
    </row>
    <row r="109" spans="1:16">
      <c r="A109" s="134" t="s">
        <v>632</v>
      </c>
      <c r="B109" s="240">
        <f>+'OLD...Tabs'!L58</f>
        <v>38.828771659906657</v>
      </c>
      <c r="C109" s="240">
        <f>+'OLD...Tabs'!L89</f>
        <v>48.736993731239991</v>
      </c>
      <c r="D109" s="240">
        <f>+'OLD...Tabs'!L119</f>
        <v>50.08323915764403</v>
      </c>
      <c r="E109" s="240">
        <f>+'OLD...Tabs'!L150</f>
        <v>27.935796058066803</v>
      </c>
      <c r="F109" s="240">
        <f>+'OLD...Tabs'!L181</f>
        <v>73.179078739177584</v>
      </c>
      <c r="G109" s="240">
        <f>+'OLD...Tabs'!L211</f>
        <v>0</v>
      </c>
      <c r="H109" s="242">
        <f>+'OLD...Tabs'!L26</f>
        <v>41.310295242305401</v>
      </c>
      <c r="I109" s="264"/>
      <c r="J109" s="265"/>
      <c r="K109" s="265"/>
      <c r="L109" s="265"/>
      <c r="M109" s="265"/>
    </row>
    <row r="110" spans="1:16">
      <c r="A110" s="140" t="s">
        <v>633</v>
      </c>
      <c r="B110" s="246">
        <f>+'OLD...Tabs'!L59</f>
        <v>40.930075060669338</v>
      </c>
      <c r="C110" s="246">
        <f>+'OLD...Tabs'!L90</f>
        <v>0</v>
      </c>
      <c r="D110" s="246">
        <f>+'OLD...Tabs'!L120</f>
        <v>61.244337646734095</v>
      </c>
      <c r="E110" s="246">
        <f>+'OLD...Tabs'!L151</f>
        <v>37.315588569070464</v>
      </c>
      <c r="F110" s="246">
        <f>+'OLD...Tabs'!L182</f>
        <v>77.407815079801864</v>
      </c>
      <c r="G110" s="246">
        <f>+'OLD...Tabs'!L212</f>
        <v>0</v>
      </c>
      <c r="H110" s="248">
        <f>+'OLD...Tabs'!L27</f>
        <v>52.001563162211099</v>
      </c>
      <c r="I110" s="264"/>
      <c r="J110" s="265"/>
      <c r="K110" s="265"/>
      <c r="L110" s="265"/>
      <c r="M110" s="265"/>
    </row>
    <row r="111" spans="1:16" ht="45.6" customHeight="1">
      <c r="A111" s="641" t="s">
        <v>745</v>
      </c>
      <c r="B111" s="641"/>
      <c r="C111" s="641"/>
      <c r="D111" s="641"/>
      <c r="E111" s="641"/>
      <c r="F111" s="641"/>
      <c r="G111" s="641"/>
      <c r="H111" s="641"/>
      <c r="I111" s="266"/>
      <c r="J111" s="267"/>
      <c r="K111" s="267"/>
      <c r="L111" s="267"/>
      <c r="M111" s="267"/>
      <c r="N111" s="267"/>
      <c r="O111" s="267"/>
      <c r="P111" s="267"/>
    </row>
    <row r="112" spans="1:16" ht="24" customHeight="1">
      <c r="A112" s="633" t="s">
        <v>693</v>
      </c>
      <c r="B112" s="634"/>
      <c r="C112" s="634"/>
      <c r="D112" s="634"/>
      <c r="E112" s="634"/>
      <c r="F112" s="634"/>
      <c r="G112" s="634"/>
      <c r="H112" s="634"/>
      <c r="I112" s="181"/>
      <c r="J112" s="181"/>
      <c r="K112" s="181"/>
      <c r="L112" s="181"/>
      <c r="M112" s="181"/>
      <c r="N112" s="181"/>
      <c r="O112" s="181"/>
      <c r="P112" s="181"/>
    </row>
    <row r="113" spans="1:16">
      <c r="A113" s="181"/>
      <c r="B113" s="181"/>
      <c r="C113" s="181"/>
      <c r="D113" s="181"/>
      <c r="E113" s="181"/>
      <c r="F113" s="181"/>
      <c r="G113" s="181"/>
      <c r="H113" s="187" t="s">
        <v>992</v>
      </c>
      <c r="I113" s="181"/>
      <c r="J113" s="181"/>
      <c r="K113" s="181"/>
      <c r="L113" s="181"/>
      <c r="M113" s="181"/>
      <c r="N113" s="181"/>
      <c r="O113" s="181"/>
      <c r="P113" s="181"/>
    </row>
  </sheetData>
  <mergeCells count="10">
    <mergeCell ref="A54:P54"/>
    <mergeCell ref="A83:H83"/>
    <mergeCell ref="A111:H111"/>
    <mergeCell ref="A112:H112"/>
    <mergeCell ref="B5:H5"/>
    <mergeCell ref="I5:M5"/>
    <mergeCell ref="A26:P26"/>
    <mergeCell ref="A28:P28"/>
    <mergeCell ref="A30:P30"/>
    <mergeCell ref="A53:P53"/>
  </mergeCells>
  <pageMargins left="0.7" right="0.7" top="0.75" bottom="0.75" header="0.3" footer="0.3"/>
  <pageSetup firstPageNumber="87" orientation="landscape" useFirstPageNumber="1" r:id="rId1"/>
  <headerFooter>
    <oddHeader>&amp;R&amp;"Arial,Regular"&amp;8SREB-State Data Exchange</oddHeader>
    <oddFooter>&amp;CC-&amp;P</oddFooter>
  </headerFooter>
  <rowBreaks count="3" manualBreakCount="3">
    <brk id="27" max="15" man="1"/>
    <brk id="55" max="15" man="1"/>
    <brk id="84" max="1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CB2D0-37CF-4F58-9CA9-290531D447B1}">
  <sheetPr>
    <tabColor rgb="FFC00000"/>
  </sheetPr>
  <dimension ref="A1:AO463"/>
  <sheetViews>
    <sheetView showZeros="0" view="pageBreakPreview" topLeftCell="A50" zoomScaleNormal="100" zoomScaleSheetLayoutView="100" workbookViewId="0">
      <selection activeCell="D73" sqref="D73"/>
    </sheetView>
  </sheetViews>
  <sheetFormatPr defaultColWidth="8.88671875" defaultRowHeight="12.75"/>
  <cols>
    <col min="1" max="1" width="10.44140625" style="134" customWidth="1"/>
    <col min="2" max="2" width="7.109375" style="134" customWidth="1"/>
    <col min="3" max="3" width="7.33203125" style="134" bestFit="1" customWidth="1"/>
    <col min="4" max="4" width="7.6640625" style="134" bestFit="1" customWidth="1"/>
    <col min="5" max="5" width="4.44140625" style="134" bestFit="1" customWidth="1"/>
    <col min="6" max="6" width="8.88671875" style="134" customWidth="1"/>
    <col min="7" max="7" width="6.109375" style="134" bestFit="1" customWidth="1"/>
    <col min="8" max="8" width="9.5546875" style="134" bestFit="1" customWidth="1"/>
    <col min="9" max="9" width="10.109375" style="200" customWidth="1"/>
    <col min="10" max="11" width="7" style="134" customWidth="1"/>
    <col min="12" max="12" width="7.77734375" style="134" bestFit="1" customWidth="1"/>
    <col min="13" max="13" width="5" style="134" bestFit="1" customWidth="1"/>
    <col min="14" max="14" width="8.77734375" style="134" customWidth="1"/>
    <col min="15" max="15" width="6.109375" style="134" bestFit="1" customWidth="1"/>
    <col min="16" max="16" width="11.44140625" style="134" customWidth="1"/>
    <col min="17" max="17" width="9" style="138" hidden="1" customWidth="1"/>
    <col min="18" max="18" width="9" style="144" hidden="1" customWidth="1"/>
    <col min="19" max="16384" width="8.88671875" style="213"/>
  </cols>
  <sheetData>
    <row r="1" spans="1:41" ht="18">
      <c r="A1" s="129" t="s">
        <v>637</v>
      </c>
      <c r="B1" s="130"/>
      <c r="C1" s="130"/>
      <c r="D1" s="130"/>
      <c r="E1" s="130"/>
      <c r="F1" s="130"/>
      <c r="G1" s="130"/>
      <c r="H1" s="130"/>
      <c r="I1" s="129" t="s">
        <v>638</v>
      </c>
      <c r="J1" s="131"/>
      <c r="K1" s="131"/>
      <c r="L1" s="130"/>
      <c r="M1" s="131"/>
      <c r="N1" s="131"/>
      <c r="O1" s="131"/>
      <c r="P1" s="131"/>
      <c r="Q1" s="132"/>
      <c r="R1" s="133"/>
    </row>
    <row r="2" spans="1:41" ht="15">
      <c r="A2" s="135"/>
      <c r="B2" s="131"/>
      <c r="C2" s="131"/>
      <c r="D2" s="131"/>
      <c r="E2" s="131"/>
      <c r="F2" s="131"/>
      <c r="G2" s="131"/>
      <c r="H2" s="131"/>
      <c r="I2" s="135"/>
      <c r="J2" s="131"/>
      <c r="K2" s="131"/>
      <c r="L2" s="131"/>
      <c r="M2" s="131"/>
      <c r="N2" s="131"/>
      <c r="O2" s="131"/>
      <c r="P2" s="131"/>
      <c r="Q2" s="647"/>
      <c r="R2" s="648"/>
      <c r="S2" s="648"/>
      <c r="T2" s="648"/>
      <c r="U2" s="648"/>
      <c r="V2" s="648"/>
      <c r="W2" s="648"/>
      <c r="X2" s="648"/>
    </row>
    <row r="3" spans="1:41" ht="15.75">
      <c r="A3" s="137" t="s">
        <v>639</v>
      </c>
      <c r="B3" s="131"/>
      <c r="C3" s="131"/>
      <c r="D3" s="131"/>
      <c r="E3" s="131"/>
      <c r="F3" s="131"/>
      <c r="G3" s="131"/>
      <c r="H3" s="131"/>
      <c r="I3" s="137" t="s">
        <v>640</v>
      </c>
      <c r="J3" s="131"/>
      <c r="K3" s="131"/>
      <c r="L3" s="131"/>
      <c r="M3" s="131"/>
      <c r="N3" s="131"/>
      <c r="O3" s="131"/>
      <c r="P3" s="131"/>
      <c r="R3" s="139" t="s">
        <v>533</v>
      </c>
    </row>
    <row r="4" spans="1:41" ht="15.75">
      <c r="A4" s="137" t="s">
        <v>961</v>
      </c>
      <c r="B4" s="131"/>
      <c r="C4" s="131"/>
      <c r="D4" s="131"/>
      <c r="E4" s="131"/>
      <c r="F4" s="131"/>
      <c r="G4" s="131"/>
      <c r="H4" s="131"/>
      <c r="I4" s="137" t="s">
        <v>961</v>
      </c>
      <c r="J4" s="131"/>
      <c r="K4" s="131"/>
      <c r="L4" s="131"/>
      <c r="M4" s="131"/>
      <c r="N4" s="131"/>
      <c r="O4" s="131"/>
      <c r="P4" s="131"/>
      <c r="R4" s="139" t="s">
        <v>533</v>
      </c>
    </row>
    <row r="5" spans="1:41">
      <c r="A5" s="140"/>
      <c r="B5" s="141"/>
      <c r="C5" s="141"/>
      <c r="D5" s="141"/>
      <c r="E5" s="141"/>
      <c r="F5" s="141"/>
      <c r="G5" s="141"/>
      <c r="H5" s="141"/>
      <c r="I5" s="142"/>
      <c r="L5" s="143"/>
      <c r="P5" s="140"/>
    </row>
    <row r="6" spans="1:41" s="150" customFormat="1" ht="12">
      <c r="A6" s="145"/>
      <c r="B6" s="146" t="s">
        <v>641</v>
      </c>
      <c r="C6" s="146"/>
      <c r="D6" s="146"/>
      <c r="E6" s="146"/>
      <c r="F6" s="146"/>
      <c r="G6" s="146"/>
      <c r="H6" s="147"/>
      <c r="I6" s="145"/>
      <c r="J6" s="146" t="s">
        <v>641</v>
      </c>
      <c r="K6" s="146"/>
      <c r="L6" s="146"/>
      <c r="M6" s="146"/>
      <c r="N6" s="146"/>
      <c r="O6" s="146"/>
      <c r="P6" s="147"/>
      <c r="Q6" s="214"/>
      <c r="R6" s="215"/>
    </row>
    <row r="7" spans="1:41" s="150" customFormat="1" ht="12">
      <c r="A7" s="145"/>
      <c r="B7" s="146" t="s">
        <v>642</v>
      </c>
      <c r="C7" s="146"/>
      <c r="D7" s="639" t="s">
        <v>643</v>
      </c>
      <c r="E7" s="637"/>
      <c r="F7" s="637"/>
      <c r="G7" s="637"/>
      <c r="H7" s="153" t="s">
        <v>533</v>
      </c>
      <c r="I7" s="145"/>
      <c r="J7" s="146" t="s">
        <v>642</v>
      </c>
      <c r="K7" s="146"/>
      <c r="L7" s="639" t="s">
        <v>643</v>
      </c>
      <c r="M7" s="637"/>
      <c r="N7" s="637"/>
      <c r="O7" s="637"/>
      <c r="P7" s="153" t="s">
        <v>533</v>
      </c>
      <c r="Q7" s="214"/>
      <c r="R7" s="215"/>
    </row>
    <row r="8" spans="1:41" s="150" customFormat="1" ht="40.5" customHeight="1">
      <c r="A8" s="145"/>
      <c r="B8" s="154" t="s">
        <v>644</v>
      </c>
      <c r="C8" s="155" t="s">
        <v>645</v>
      </c>
      <c r="D8" s="156" t="s">
        <v>646</v>
      </c>
      <c r="E8" s="157" t="s">
        <v>8</v>
      </c>
      <c r="F8" s="154" t="s">
        <v>647</v>
      </c>
      <c r="G8" s="158" t="s">
        <v>648</v>
      </c>
      <c r="H8" s="159" t="s">
        <v>649</v>
      </c>
      <c r="I8" s="145"/>
      <c r="J8" s="154" t="s">
        <v>644</v>
      </c>
      <c r="K8" s="155" t="s">
        <v>645</v>
      </c>
      <c r="L8" s="156" t="s">
        <v>646</v>
      </c>
      <c r="M8" s="157" t="s">
        <v>8</v>
      </c>
      <c r="N8" s="154" t="s">
        <v>647</v>
      </c>
      <c r="O8" s="158" t="s">
        <v>648</v>
      </c>
      <c r="P8" s="159" t="s">
        <v>649</v>
      </c>
      <c r="Q8" s="188" t="s">
        <v>650</v>
      </c>
      <c r="R8" s="188" t="s">
        <v>650</v>
      </c>
      <c r="T8" s="188"/>
    </row>
    <row r="9" spans="1:41" ht="15.75" customHeight="1">
      <c r="A9" s="162" t="s">
        <v>618</v>
      </c>
      <c r="B9" s="216">
        <f>('Pivot Table for Data Exchange'!$J$7)*100</f>
        <v>60.68423375628138</v>
      </c>
      <c r="C9" s="163">
        <f>('Pivot Table for Data Exchange'!$J$10)*100</f>
        <v>0.60519240936022556</v>
      </c>
      <c r="D9" s="164">
        <f>SUM(E9:G9)</f>
        <v>38.710573834358392</v>
      </c>
      <c r="E9" s="163">
        <f>('Pivot Table for Data Exchange'!$J$13)*100</f>
        <v>35.098278145997675</v>
      </c>
      <c r="F9" s="163">
        <f>('Pivot Table for Data Exchange'!$J$16)*100</f>
        <v>3.37318020736656</v>
      </c>
      <c r="G9" s="196">
        <f>('Pivot Table for Data Exchange'!$J$19)*100</f>
        <v>0.23911548099415664</v>
      </c>
      <c r="H9" s="163">
        <f>('Pivot Table for Data Exchange'!$J$22)*100</f>
        <v>0</v>
      </c>
      <c r="I9" s="189" t="s">
        <v>618</v>
      </c>
      <c r="J9" s="163">
        <f>('Pivot Table for Data Exchange'!$J$25)*100</f>
        <v>41.706544295262468</v>
      </c>
      <c r="K9" s="163">
        <f>('Pivot Table for Data Exchange'!$J$28)*100</f>
        <v>2.0800738418031015</v>
      </c>
      <c r="L9" s="164">
        <f>SUM(M9:O9)</f>
        <v>56.213381862934419</v>
      </c>
      <c r="M9" s="163">
        <f>('Pivot Table for Data Exchange'!$J$31)*100</f>
        <v>54.451456215345736</v>
      </c>
      <c r="N9" s="163">
        <f>('Pivot Table for Data Exchange'!$J$34)*100</f>
        <v>1.5242964407989055</v>
      </c>
      <c r="O9" s="196">
        <f>('Pivot Table for Data Exchange'!$J$37)*100</f>
        <v>0.23762920678977997</v>
      </c>
      <c r="P9" s="163">
        <f>('Pivot Table for Data Exchange'!$J$40)*100</f>
        <v>0</v>
      </c>
      <c r="Q9" s="168">
        <f>SUM(B9,C9,D9,H9)</f>
        <v>100</v>
      </c>
      <c r="R9" s="168">
        <f>SUM(J9,K9,L9,P9)</f>
        <v>99.999999999999986</v>
      </c>
      <c r="S9" s="217"/>
      <c r="T9" s="218"/>
      <c r="U9" s="218"/>
      <c r="V9" s="218"/>
      <c r="W9" s="218"/>
      <c r="X9" s="218"/>
      <c r="Y9" s="218"/>
      <c r="Z9" s="218"/>
      <c r="AA9" s="218"/>
      <c r="AB9" s="218"/>
      <c r="AC9" s="218"/>
      <c r="AD9" s="218"/>
      <c r="AE9" s="218"/>
      <c r="AF9" s="217"/>
      <c r="AG9" s="217"/>
      <c r="AH9" s="217"/>
      <c r="AI9" s="217"/>
      <c r="AJ9" s="217"/>
      <c r="AK9" s="217"/>
      <c r="AL9" s="217"/>
      <c r="AM9" s="217"/>
      <c r="AN9" s="217"/>
      <c r="AO9" s="217"/>
    </row>
    <row r="10" spans="1:41" ht="15.75" customHeight="1">
      <c r="A10" s="134" t="s">
        <v>619</v>
      </c>
      <c r="B10" s="163">
        <f>('Pivot Table for Data Exchange'!$J$43)*100</f>
        <v>24.951205788151093</v>
      </c>
      <c r="C10" s="163">
        <f>('Pivot Table for Data Exchange'!$J$46)*100</f>
        <v>3.4592655851446859</v>
      </c>
      <c r="D10" s="164">
        <f t="shared" ref="D10:D15" si="0">SUM(E10:G10)</f>
        <v>71.493396746643697</v>
      </c>
      <c r="E10" s="163">
        <f>('Pivot Table for Data Exchange'!$J$49)*100</f>
        <v>69.1816320137048</v>
      </c>
      <c r="F10" s="163">
        <f>('Pivot Table for Data Exchange'!$J$52)*100</f>
        <v>0.42249986840000475</v>
      </c>
      <c r="G10" s="171">
        <f>('Pivot Table for Data Exchange'!$J$55)*100</f>
        <v>1.8892648645388865</v>
      </c>
      <c r="H10" s="163">
        <f>('Pivot Table for Data Exchange'!$J$58)*100</f>
        <v>9.6131880060530889E-2</v>
      </c>
      <c r="I10" s="134" t="s">
        <v>619</v>
      </c>
      <c r="J10" s="163">
        <f>('Pivot Table for Data Exchange'!$J$61)*100</f>
        <v>25.883382620111657</v>
      </c>
      <c r="K10" s="163">
        <f>('Pivot Table for Data Exchange'!$J$64)*100</f>
        <v>4.7190653635507704</v>
      </c>
      <c r="L10" s="164">
        <f t="shared" ref="L10:L15" si="1">SUM(M10:O10)</f>
        <v>69.397552016337585</v>
      </c>
      <c r="M10" s="163">
        <f>('Pivot Table for Data Exchange'!$J$67)*100</f>
        <v>67.047169436008971</v>
      </c>
      <c r="N10" s="163">
        <f>('Pivot Table for Data Exchange'!$J$70)*100</f>
        <v>1.3616411834131206</v>
      </c>
      <c r="O10" s="171">
        <f>('Pivot Table for Data Exchange'!$J$73)*100</f>
        <v>0.98874139691548757</v>
      </c>
      <c r="P10" s="172">
        <f>('Pivot Table for Data Exchange'!$J$76)*100</f>
        <v>0</v>
      </c>
      <c r="Q10" s="168">
        <f>SUM(B10,C10,D10,H10)</f>
        <v>100</v>
      </c>
      <c r="R10" s="168">
        <f t="shared" ref="R10:R23" si="2">SUM(J10,K10,L10,P10)</f>
        <v>100.00000000000001</v>
      </c>
      <c r="S10" s="217"/>
      <c r="T10" s="218"/>
      <c r="U10" s="218"/>
      <c r="V10" s="218"/>
      <c r="W10" s="218"/>
      <c r="X10" s="218"/>
      <c r="Y10" s="218"/>
      <c r="Z10" s="218"/>
      <c r="AA10" s="218"/>
      <c r="AB10" s="218"/>
      <c r="AC10" s="218"/>
      <c r="AD10" s="218"/>
      <c r="AE10" s="218"/>
      <c r="AF10" s="217"/>
      <c r="AG10" s="217"/>
      <c r="AH10" s="217"/>
      <c r="AI10" s="217"/>
      <c r="AJ10" s="217"/>
      <c r="AK10" s="217"/>
      <c r="AL10" s="217"/>
      <c r="AM10" s="217"/>
      <c r="AN10" s="217"/>
      <c r="AO10" s="217"/>
    </row>
    <row r="11" spans="1:41" ht="15.75" customHeight="1">
      <c r="A11" s="134" t="s">
        <v>620</v>
      </c>
      <c r="B11" s="163">
        <f>('Pivot Table for Data Exchange'!$J$79)*100</f>
        <v>45.585500320081238</v>
      </c>
      <c r="C11" s="163">
        <f>('Pivot Table for Data Exchange'!$J$82)*100</f>
        <v>0</v>
      </c>
      <c r="D11" s="164">
        <f t="shared" si="0"/>
        <v>54.414499679918769</v>
      </c>
      <c r="E11" s="163">
        <f>('Pivot Table for Data Exchange'!$J$85)*100</f>
        <v>54.414499679918769</v>
      </c>
      <c r="F11" s="163">
        <f>('Pivot Table for Data Exchange'!$J$88)*100</f>
        <v>0</v>
      </c>
      <c r="G11" s="171">
        <f>('Pivot Table for Data Exchange'!$J$91)*100</f>
        <v>0</v>
      </c>
      <c r="H11" s="163">
        <f>('Pivot Table for Data Exchange'!$J$94)*100</f>
        <v>0</v>
      </c>
      <c r="I11" s="134" t="s">
        <v>620</v>
      </c>
      <c r="J11" s="163">
        <f>('Pivot Table for Data Exchange'!$J$97)*100</f>
        <v>43.403394207252724</v>
      </c>
      <c r="K11" s="163">
        <f>('Pivot Table for Data Exchange'!$J$100)*100</f>
        <v>0</v>
      </c>
      <c r="L11" s="164">
        <f t="shared" si="1"/>
        <v>56.596605792747269</v>
      </c>
      <c r="M11" s="163">
        <f>('Pivot Table for Data Exchange'!$J$103)*100</f>
        <v>56.596605792747269</v>
      </c>
      <c r="N11" s="163">
        <f>('Pivot Table for Data Exchange'!$J$106)*100</f>
        <v>0</v>
      </c>
      <c r="O11" s="171">
        <f>('Pivot Table for Data Exchange'!$J$109)*100</f>
        <v>0</v>
      </c>
      <c r="P11" s="163">
        <f>('Pivot Table for Data Exchange'!$J$112)*100</f>
        <v>0</v>
      </c>
      <c r="Q11" s="168">
        <f t="shared" ref="Q11:Q23" si="3">SUM(B11,C11,D11,H11)</f>
        <v>100</v>
      </c>
      <c r="R11" s="168">
        <f t="shared" si="2"/>
        <v>100</v>
      </c>
      <c r="S11" s="217"/>
      <c r="T11" s="218"/>
      <c r="U11" s="218"/>
      <c r="V11" s="218"/>
      <c r="W11" s="218"/>
      <c r="X11" s="218"/>
      <c r="Y11" s="218"/>
      <c r="Z11" s="218"/>
      <c r="AA11" s="218"/>
      <c r="AB11" s="218"/>
      <c r="AC11" s="218"/>
      <c r="AD11" s="218"/>
      <c r="AE11" s="218"/>
      <c r="AF11" s="217"/>
      <c r="AG11" s="217"/>
      <c r="AH11" s="217"/>
      <c r="AI11" s="217"/>
      <c r="AJ11" s="217"/>
      <c r="AK11" s="217"/>
      <c r="AL11" s="217"/>
      <c r="AM11" s="217"/>
      <c r="AN11" s="217"/>
      <c r="AO11" s="217"/>
    </row>
    <row r="12" spans="1:41" ht="15.75" customHeight="1">
      <c r="A12" s="134" t="s">
        <v>651</v>
      </c>
      <c r="B12" s="163">
        <f>('Pivot Table for Data Exchange'!$J$115)*100</f>
        <v>0</v>
      </c>
      <c r="C12" s="163">
        <f>('Pivot Table for Data Exchange'!$J$118)*100</f>
        <v>0</v>
      </c>
      <c r="D12" s="164">
        <f t="shared" si="0"/>
        <v>0</v>
      </c>
      <c r="E12" s="163">
        <f>('Pivot Table for Data Exchange'!$J$121)*100</f>
        <v>0</v>
      </c>
      <c r="F12" s="163">
        <f>('Pivot Table for Data Exchange'!$J$124)*100</f>
        <v>0</v>
      </c>
      <c r="G12" s="171">
        <f>('Pivot Table for Data Exchange'!$J$127)*100</f>
        <v>0</v>
      </c>
      <c r="H12" s="163">
        <f>('Pivot Table for Data Exchange'!$J$130)*100</f>
        <v>0</v>
      </c>
      <c r="I12" s="134" t="s">
        <v>651</v>
      </c>
      <c r="J12" s="163">
        <f>('Pivot Table for Data Exchange'!$J$133)*100</f>
        <v>0</v>
      </c>
      <c r="K12" s="163">
        <f>('Pivot Table for Data Exchange'!$J$136)*100</f>
        <v>0</v>
      </c>
      <c r="L12" s="164">
        <f t="shared" si="1"/>
        <v>0</v>
      </c>
      <c r="M12" s="163">
        <f>('Pivot Table for Data Exchange'!$J$139)*100</f>
        <v>0</v>
      </c>
      <c r="N12" s="163">
        <f>('Pivot Table for Data Exchange'!$J$142)*100</f>
        <v>0</v>
      </c>
      <c r="O12" s="170">
        <f>('Pivot Table for Data Exchange'!$J$145)*100</f>
        <v>0</v>
      </c>
      <c r="P12" s="175">
        <f>('Pivot Table for Data Exchange'!$J$148)*100</f>
        <v>0</v>
      </c>
      <c r="Q12" s="168">
        <f t="shared" si="3"/>
        <v>0</v>
      </c>
      <c r="R12" s="168">
        <f t="shared" si="2"/>
        <v>0</v>
      </c>
      <c r="S12" s="217"/>
      <c r="T12" s="218"/>
      <c r="U12" s="218"/>
      <c r="V12" s="218"/>
      <c r="W12" s="218"/>
      <c r="X12" s="218"/>
      <c r="Y12" s="218"/>
      <c r="Z12" s="218"/>
      <c r="AA12" s="218"/>
      <c r="AB12" s="218"/>
      <c r="AC12" s="218"/>
      <c r="AD12" s="218"/>
      <c r="AE12" s="218"/>
      <c r="AF12" s="217"/>
      <c r="AG12" s="217"/>
      <c r="AH12" s="217"/>
      <c r="AI12" s="217"/>
      <c r="AJ12" s="217"/>
      <c r="AK12" s="217"/>
      <c r="AL12" s="217"/>
      <c r="AM12" s="217"/>
      <c r="AN12" s="217"/>
      <c r="AO12" s="217"/>
    </row>
    <row r="13" spans="1:41" ht="9.75" customHeight="1">
      <c r="B13" s="163"/>
      <c r="C13" s="163"/>
      <c r="D13" s="164"/>
      <c r="E13" s="163"/>
      <c r="F13" s="163"/>
      <c r="G13" s="171"/>
      <c r="H13" s="163"/>
      <c r="I13" s="134"/>
      <c r="J13" s="163"/>
      <c r="K13" s="163"/>
      <c r="L13" s="164"/>
      <c r="M13" s="163"/>
      <c r="N13" s="163"/>
      <c r="O13" s="171"/>
      <c r="P13" s="163"/>
      <c r="Q13" s="168">
        <f t="shared" si="3"/>
        <v>0</v>
      </c>
      <c r="R13" s="168">
        <f t="shared" si="2"/>
        <v>0</v>
      </c>
      <c r="S13" s="217"/>
      <c r="T13" s="218"/>
      <c r="U13" s="218"/>
      <c r="V13" s="218"/>
      <c r="W13" s="218"/>
      <c r="X13" s="218"/>
      <c r="Y13" s="218"/>
      <c r="Z13" s="218"/>
      <c r="AA13" s="218"/>
      <c r="AB13" s="218"/>
      <c r="AC13" s="218"/>
      <c r="AD13" s="218"/>
      <c r="AE13" s="218"/>
      <c r="AF13" s="217"/>
      <c r="AG13" s="217"/>
      <c r="AH13" s="217"/>
      <c r="AI13" s="217"/>
      <c r="AJ13" s="217"/>
      <c r="AK13" s="217"/>
      <c r="AL13" s="217"/>
      <c r="AM13" s="217"/>
      <c r="AN13" s="217"/>
      <c r="AO13" s="217"/>
    </row>
    <row r="14" spans="1:41" ht="15.75" customHeight="1">
      <c r="A14" s="134" t="s">
        <v>622</v>
      </c>
      <c r="B14" s="163">
        <f>('Pivot Table for Data Exchange'!$J$151)*100</f>
        <v>53.02159187746112</v>
      </c>
      <c r="C14" s="163">
        <f>('Pivot Table for Data Exchange'!$J$154)*100</f>
        <v>0.94550243138653234</v>
      </c>
      <c r="D14" s="164">
        <f t="shared" si="0"/>
        <v>46.032905691152344</v>
      </c>
      <c r="E14" s="163">
        <f>('Pivot Table for Data Exchange'!$J$157)*100</f>
        <v>45.923122966213604</v>
      </c>
      <c r="F14" s="175">
        <f>('Pivot Table for Data Exchange'!$J$160)*100</f>
        <v>7.7758473003643885E-2</v>
      </c>
      <c r="G14" s="171">
        <f>('Pivot Table for Data Exchange'!$J$163)*100</f>
        <v>3.2024251935098891E-2</v>
      </c>
      <c r="H14" s="175">
        <f>('Pivot Table for Data Exchange'!$J$166)*100</f>
        <v>0</v>
      </c>
      <c r="I14" s="134" t="s">
        <v>622</v>
      </c>
      <c r="J14" s="163">
        <f>('Pivot Table for Data Exchange'!$J$169)*100</f>
        <v>47.744269035975236</v>
      </c>
      <c r="K14" s="163">
        <f>('Pivot Table for Data Exchange'!$J$172)*100</f>
        <v>7.9140344803575404</v>
      </c>
      <c r="L14" s="164">
        <f t="shared" si="1"/>
        <v>44.341696483667221</v>
      </c>
      <c r="M14" s="163">
        <f>('Pivot Table for Data Exchange'!$J$175)*100</f>
        <v>44.324477283944816</v>
      </c>
      <c r="N14" s="172">
        <f>('Pivot Table for Data Exchange'!$J$178)*100</f>
        <v>2.7086381585811037E-3</v>
      </c>
      <c r="O14" s="171">
        <f>('Pivot Table for Data Exchange'!$J$181)*100</f>
        <v>1.4510561563827341E-2</v>
      </c>
      <c r="P14" s="172">
        <f>('Pivot Table for Data Exchange'!$J$184)*100</f>
        <v>0</v>
      </c>
      <c r="Q14" s="168">
        <f t="shared" si="3"/>
        <v>100</v>
      </c>
      <c r="R14" s="168">
        <f>SUM(J14,K14,L14,P14)</f>
        <v>100</v>
      </c>
      <c r="S14" s="217"/>
      <c r="T14" s="218"/>
      <c r="U14" s="218"/>
      <c r="V14" s="218"/>
      <c r="W14" s="218"/>
      <c r="X14" s="218"/>
      <c r="Y14" s="218"/>
      <c r="Z14" s="218"/>
      <c r="AA14" s="218"/>
      <c r="AB14" s="218"/>
      <c r="AC14" s="218"/>
      <c r="AD14" s="218"/>
      <c r="AE14" s="218"/>
      <c r="AF14" s="217"/>
      <c r="AG14" s="217"/>
      <c r="AH14" s="217"/>
      <c r="AI14" s="217"/>
      <c r="AJ14" s="217"/>
      <c r="AK14" s="217"/>
      <c r="AL14" s="217"/>
      <c r="AM14" s="217"/>
      <c r="AN14" s="217"/>
      <c r="AO14" s="217"/>
    </row>
    <row r="15" spans="1:41" ht="15.75" customHeight="1">
      <c r="A15" s="134" t="s">
        <v>623</v>
      </c>
      <c r="B15" s="163">
        <f>('Pivot Table for Data Exchange'!$J$187)*100</f>
        <v>50.582908490569601</v>
      </c>
      <c r="C15" s="163">
        <f>('Pivot Table for Data Exchange'!$J$190)*100</f>
        <v>4.497670591921219</v>
      </c>
      <c r="D15" s="164">
        <f t="shared" si="0"/>
        <v>44.919420917509179</v>
      </c>
      <c r="E15" s="163">
        <f>('Pivot Table for Data Exchange'!$J$193)*100</f>
        <v>44.451523407264865</v>
      </c>
      <c r="F15" s="163">
        <f>('Pivot Table for Data Exchange'!$J$196)*100</f>
        <v>0.4546682026662725</v>
      </c>
      <c r="G15" s="170">
        <f>('Pivot Table for Data Exchange'!$J$199)*100</f>
        <v>1.3229307578041364E-2</v>
      </c>
      <c r="H15" s="163">
        <f>('Pivot Table for Data Exchange'!$J$202)*100</f>
        <v>0</v>
      </c>
      <c r="I15" s="134" t="s">
        <v>623</v>
      </c>
      <c r="J15" s="163">
        <f>('Pivot Table for Data Exchange'!$J$205)*100</f>
        <v>30.687622638802793</v>
      </c>
      <c r="K15" s="163">
        <f>('Pivot Table for Data Exchange'!$J$208)*100</f>
        <v>3.2517534466947078</v>
      </c>
      <c r="L15" s="164">
        <f t="shared" si="1"/>
        <v>66.0606239145025</v>
      </c>
      <c r="M15" s="163">
        <f>('Pivot Table for Data Exchange'!$J$211)*100</f>
        <v>65.94765532540589</v>
      </c>
      <c r="N15" s="163">
        <f>('Pivot Table for Data Exchange'!$J$214)*100</f>
        <v>7.2238417517560091E-2</v>
      </c>
      <c r="O15" s="170">
        <f>('Pivot Table for Data Exchange'!$J$217)*100</f>
        <v>4.0730171579049831E-2</v>
      </c>
      <c r="P15" s="163">
        <f>('Pivot Table for Data Exchange'!$J$220)*100</f>
        <v>0</v>
      </c>
      <c r="Q15" s="168">
        <f t="shared" si="3"/>
        <v>100</v>
      </c>
      <c r="R15" s="168">
        <f t="shared" si="2"/>
        <v>100</v>
      </c>
      <c r="S15" s="217"/>
      <c r="T15" s="218"/>
      <c r="U15" s="218"/>
      <c r="V15" s="218"/>
      <c r="W15" s="218"/>
      <c r="X15" s="218"/>
      <c r="Y15" s="218"/>
      <c r="Z15" s="218"/>
      <c r="AA15" s="218"/>
      <c r="AB15" s="218"/>
      <c r="AC15" s="218"/>
      <c r="AD15" s="218"/>
      <c r="AE15" s="218"/>
      <c r="AF15" s="217"/>
      <c r="AG15" s="217"/>
      <c r="AH15" s="217"/>
      <c r="AI15" s="217"/>
      <c r="AJ15" s="217"/>
      <c r="AK15" s="217"/>
      <c r="AL15" s="217"/>
      <c r="AM15" s="217"/>
      <c r="AN15" s="217"/>
      <c r="AO15" s="217"/>
    </row>
    <row r="16" spans="1:41" ht="15.75" customHeight="1">
      <c r="A16" s="134" t="s">
        <v>624</v>
      </c>
      <c r="B16" s="163">
        <f>('Pivot Table for Data Exchange'!$J$223)*100</f>
        <v>61.042943926711537</v>
      </c>
      <c r="C16" s="163">
        <f>('Pivot Table for Data Exchange'!$J$226)*100</f>
        <v>0</v>
      </c>
      <c r="D16" s="164">
        <f>SUM(E16:G16)</f>
        <v>38.957056073288435</v>
      </c>
      <c r="E16" s="163">
        <f>('Pivot Table for Data Exchange'!$J$229)*100</f>
        <v>38.957056073288435</v>
      </c>
      <c r="F16" s="163">
        <f>('Pivot Table for Data Exchange'!$J$232)*100</f>
        <v>0</v>
      </c>
      <c r="G16" s="171">
        <f>('Pivot Table for Data Exchange'!$J$235)*100</f>
        <v>0</v>
      </c>
      <c r="H16" s="163">
        <f>('Pivot Table for Data Exchange'!$J$238)*100</f>
        <v>0</v>
      </c>
      <c r="I16" s="134" t="s">
        <v>624</v>
      </c>
      <c r="J16" s="163">
        <f>('Pivot Table for Data Exchange'!$J$241)*100</f>
        <v>51.373514971968994</v>
      </c>
      <c r="K16" s="163">
        <f>('Pivot Table for Data Exchange'!$J$244)*100</f>
        <v>0</v>
      </c>
      <c r="L16" s="164">
        <f>SUM(M16:O16)</f>
        <v>48.626485028031013</v>
      </c>
      <c r="M16" s="163">
        <f>('Pivot Table for Data Exchange'!$J$247)*100</f>
        <v>48.626485028031013</v>
      </c>
      <c r="N16" s="163">
        <f>('Pivot Table for Data Exchange'!$J$250)*100</f>
        <v>0</v>
      </c>
      <c r="O16" s="171">
        <f>('Pivot Table for Data Exchange'!$J$253)*100</f>
        <v>0</v>
      </c>
      <c r="P16" s="163">
        <f>('Pivot Table for Data Exchange'!$J$256)*100</f>
        <v>0</v>
      </c>
      <c r="Q16" s="168">
        <f>SUM(B16,C16,D16,H16)</f>
        <v>99.999999999999972</v>
      </c>
      <c r="R16" s="168">
        <f>SUM(J16,K16,L16,P16)</f>
        <v>100</v>
      </c>
      <c r="S16" s="217"/>
      <c r="T16" s="218"/>
      <c r="U16" s="218"/>
      <c r="V16" s="218"/>
      <c r="W16" s="218"/>
      <c r="X16" s="218"/>
      <c r="Y16" s="218"/>
      <c r="Z16" s="218"/>
      <c r="AA16" s="218"/>
      <c r="AB16" s="218"/>
      <c r="AC16" s="218"/>
      <c r="AD16" s="218"/>
      <c r="AE16" s="218"/>
      <c r="AF16" s="217"/>
      <c r="AG16" s="217"/>
      <c r="AH16" s="217"/>
      <c r="AI16" s="217"/>
      <c r="AJ16" s="217"/>
      <c r="AK16" s="217"/>
      <c r="AL16" s="217"/>
      <c r="AM16" s="217"/>
      <c r="AN16" s="217"/>
      <c r="AO16" s="217"/>
    </row>
    <row r="17" spans="1:41" ht="15.75" customHeight="1">
      <c r="A17" s="134" t="s">
        <v>625</v>
      </c>
      <c r="B17" s="163">
        <f>('Pivot Table for Data Exchange'!$J$259)*100</f>
        <v>33.763968987849587</v>
      </c>
      <c r="C17" s="163">
        <f>('Pivot Table for Data Exchange'!$J$262)*100</f>
        <v>1.0523562762368732</v>
      </c>
      <c r="D17" s="164">
        <f>SUM(E17:G17)</f>
        <v>65.183674735913556</v>
      </c>
      <c r="E17" s="163">
        <f>('Pivot Table for Data Exchange'!$J$265)*100</f>
        <v>65.163224566209649</v>
      </c>
      <c r="F17" s="163">
        <f>('Pivot Table for Data Exchange'!$J$268)*100</f>
        <v>2.0450169703901046E-2</v>
      </c>
      <c r="G17" s="171">
        <f>('Pivot Table for Data Exchange'!$J$271)*100</f>
        <v>0</v>
      </c>
      <c r="H17" s="219">
        <f>('Pivot Table for Data Exchange'!$J$274)*100</f>
        <v>0</v>
      </c>
      <c r="I17" s="134" t="s">
        <v>625</v>
      </c>
      <c r="J17" s="163">
        <f>('Pivot Table for Data Exchange'!$J$277)*100</f>
        <v>30.11959781963089</v>
      </c>
      <c r="K17" s="163">
        <f>('Pivot Table for Data Exchange'!$J$280)*100</f>
        <v>4.4640638908038506</v>
      </c>
      <c r="L17" s="164">
        <f>SUM(M17:O17)</f>
        <v>65.41633828956526</v>
      </c>
      <c r="M17" s="163">
        <f>('Pivot Table for Data Exchange'!$J$283)*100</f>
        <v>65.320251996176296</v>
      </c>
      <c r="N17" s="163">
        <f>('Pivot Table for Data Exchange'!$J$286)*100</f>
        <v>9.6086293388966848E-2</v>
      </c>
      <c r="O17" s="171">
        <f>('Pivot Table for Data Exchange'!$J$289)*100</f>
        <v>0</v>
      </c>
      <c r="P17" s="163">
        <f>('Pivot Table for Data Exchange'!$J$292)*100</f>
        <v>0</v>
      </c>
      <c r="Q17" s="168">
        <f>SUM(B17,C17,D17,H17)</f>
        <v>100.00000000000001</v>
      </c>
      <c r="R17" s="168">
        <f>SUM(J17,K17,L17,P17)</f>
        <v>100</v>
      </c>
      <c r="S17" s="217"/>
      <c r="T17" s="218"/>
      <c r="U17" s="218"/>
      <c r="V17" s="218"/>
      <c r="W17" s="218"/>
      <c r="X17" s="218"/>
      <c r="Y17" s="218"/>
      <c r="Z17" s="218"/>
      <c r="AA17" s="218"/>
      <c r="AB17" s="218"/>
      <c r="AC17" s="218"/>
      <c r="AD17" s="218"/>
      <c r="AE17" s="218"/>
      <c r="AF17" s="217"/>
      <c r="AG17" s="217"/>
      <c r="AH17" s="217"/>
      <c r="AI17" s="217"/>
      <c r="AJ17" s="217"/>
      <c r="AK17" s="217"/>
      <c r="AL17" s="217"/>
      <c r="AM17" s="217"/>
      <c r="AN17" s="217"/>
      <c r="AO17" s="217"/>
    </row>
    <row r="18" spans="1:41" ht="11.25" customHeight="1">
      <c r="B18" s="163"/>
      <c r="C18" s="163"/>
      <c r="D18" s="164"/>
      <c r="E18" s="163"/>
      <c r="F18" s="163"/>
      <c r="G18" s="171"/>
      <c r="H18" s="163"/>
      <c r="I18" s="134"/>
      <c r="J18" s="163"/>
      <c r="K18" s="163"/>
      <c r="L18" s="164"/>
      <c r="M18" s="163"/>
      <c r="N18" s="163"/>
      <c r="O18" s="171"/>
      <c r="P18" s="163"/>
      <c r="Q18" s="168">
        <f t="shared" si="3"/>
        <v>0</v>
      </c>
      <c r="R18" s="168">
        <f t="shared" si="2"/>
        <v>0</v>
      </c>
      <c r="S18" s="217"/>
      <c r="T18" s="218"/>
      <c r="U18" s="218"/>
      <c r="V18" s="218"/>
      <c r="W18" s="218"/>
      <c r="X18" s="218"/>
      <c r="Y18" s="218"/>
      <c r="Z18" s="218"/>
      <c r="AA18" s="218"/>
      <c r="AB18" s="218"/>
      <c r="AC18" s="218"/>
      <c r="AD18" s="218"/>
      <c r="AE18" s="218"/>
      <c r="AF18" s="217"/>
      <c r="AG18" s="217"/>
      <c r="AH18" s="217"/>
      <c r="AI18" s="217"/>
      <c r="AJ18" s="217"/>
      <c r="AK18" s="217"/>
      <c r="AL18" s="217"/>
      <c r="AM18" s="217"/>
      <c r="AN18" s="217"/>
      <c r="AO18" s="217"/>
    </row>
    <row r="19" spans="1:41" ht="15.75" customHeight="1">
      <c r="A19" s="134" t="s">
        <v>626</v>
      </c>
      <c r="B19" s="163">
        <f>('Pivot Table for Data Exchange'!$J$295)*100</f>
        <v>49.606053125977581</v>
      </c>
      <c r="C19" s="163">
        <f>('Pivot Table for Data Exchange'!$J$298)*100</f>
        <v>2.6045738369082327</v>
      </c>
      <c r="D19" s="164">
        <f>SUM(E19:G19)</f>
        <v>47.52903936935509</v>
      </c>
      <c r="E19" s="163">
        <f>('Pivot Table for Data Exchange'!$J$301)*100</f>
        <v>47.111350818911099</v>
      </c>
      <c r="F19" s="163">
        <f>('Pivot Table for Data Exchange'!$J$304)*100</f>
        <v>0.41768855044399289</v>
      </c>
      <c r="G19" s="174">
        <f>('Pivot Table for Data Exchange'!$J$307)*100</f>
        <v>0</v>
      </c>
      <c r="H19" s="163">
        <f>('Pivot Table for Data Exchange'!$J$310)*100</f>
        <v>0.260333667759098</v>
      </c>
      <c r="I19" s="134" t="s">
        <v>626</v>
      </c>
      <c r="J19" s="163">
        <f>('Pivot Table for Data Exchange'!$J$313)*100</f>
        <v>42.247279420302917</v>
      </c>
      <c r="K19" s="163">
        <f>('Pivot Table for Data Exchange'!$J$316)*100</f>
        <v>2.211819595106336</v>
      </c>
      <c r="L19" s="164">
        <f>SUM(M19:O19)</f>
        <v>55.43483347227253</v>
      </c>
      <c r="M19" s="163">
        <f>('Pivot Table for Data Exchange'!$J$319)*100</f>
        <v>54.982140102705245</v>
      </c>
      <c r="N19" s="163">
        <f>('Pivot Table for Data Exchange'!$J$322)*100</f>
        <v>0.44125471627807022</v>
      </c>
      <c r="O19" s="170">
        <f>('Pivot Table for Data Exchange'!$J$325)*100</f>
        <v>1.1438653289219416E-2</v>
      </c>
      <c r="P19" s="175">
        <f>('Pivot Table for Data Exchange'!$J$328)*100</f>
        <v>0.1060675123182164</v>
      </c>
      <c r="Q19" s="168">
        <f>SUM(B19,C19,D19,H19)</f>
        <v>100</v>
      </c>
      <c r="R19" s="168">
        <f>SUM(J19,K19,L19,P19)</f>
        <v>100</v>
      </c>
      <c r="S19" s="217"/>
      <c r="T19" s="218"/>
      <c r="U19" s="218"/>
      <c r="V19" s="218"/>
      <c r="W19" s="218"/>
      <c r="X19" s="218"/>
      <c r="Y19" s="218"/>
      <c r="Z19" s="218"/>
      <c r="AA19" s="218"/>
      <c r="AB19" s="218"/>
      <c r="AC19" s="218"/>
      <c r="AD19" s="218"/>
      <c r="AE19" s="218"/>
      <c r="AF19" s="217"/>
      <c r="AG19" s="217"/>
      <c r="AH19" s="217"/>
      <c r="AI19" s="217"/>
      <c r="AJ19" s="217"/>
      <c r="AK19" s="217"/>
      <c r="AL19" s="217"/>
      <c r="AM19" s="217"/>
      <c r="AN19" s="217"/>
      <c r="AO19" s="217"/>
    </row>
    <row r="20" spans="1:41" ht="15.75" customHeight="1">
      <c r="A20" s="134" t="s">
        <v>627</v>
      </c>
      <c r="B20" s="163">
        <f>('Pivot Table for Data Exchange'!$J$331)*100</f>
        <v>41.59896964335725</v>
      </c>
      <c r="C20" s="163">
        <f>('Pivot Table for Data Exchange'!$J$334)*100</f>
        <v>1.1308278007781802</v>
      </c>
      <c r="D20" s="164">
        <f>SUM(E20:G20)</f>
        <v>57.270202555864579</v>
      </c>
      <c r="E20" s="163">
        <f>('Pivot Table for Data Exchange'!$J$337)*100</f>
        <v>56.94725954790966</v>
      </c>
      <c r="F20" s="163">
        <f>('Pivot Table for Data Exchange'!$J$340)*100</f>
        <v>0.26353381308015772</v>
      </c>
      <c r="G20" s="170">
        <f>('Pivot Table for Data Exchange'!$J$343)*100</f>
        <v>5.9409194874757751E-2</v>
      </c>
      <c r="H20" s="163">
        <f>('Pivot Table for Data Exchange'!$J$346)*100</f>
        <v>0</v>
      </c>
      <c r="I20" s="134" t="s">
        <v>627</v>
      </c>
      <c r="J20" s="163">
        <f>('Pivot Table for Data Exchange'!$J$349)*100</f>
        <v>38.390387643660262</v>
      </c>
      <c r="K20" s="163">
        <f>('Pivot Table for Data Exchange'!$J$352)*100</f>
        <v>3.1879273472750858</v>
      </c>
      <c r="L20" s="164">
        <f>SUM(M20:O20)</f>
        <v>58.421685009064653</v>
      </c>
      <c r="M20" s="163">
        <f>('Pivot Table for Data Exchange'!$J$355)*100</f>
        <v>58.115377344160649</v>
      </c>
      <c r="N20" s="163">
        <f>('Pivot Table for Data Exchange'!$J$358)*100</f>
        <v>0.1629342591408742</v>
      </c>
      <c r="O20" s="171">
        <f>('Pivot Table for Data Exchange'!$J$361)*100</f>
        <v>0.1433734057631301</v>
      </c>
      <c r="P20" s="163">
        <f>('Pivot Table for Data Exchange'!$J$364)*100</f>
        <v>0</v>
      </c>
      <c r="Q20" s="168">
        <f>SUM(B20,C20,D20,H20)</f>
        <v>100</v>
      </c>
      <c r="R20" s="168">
        <f>SUM(J20,K20,L20,P20)</f>
        <v>100</v>
      </c>
      <c r="S20" s="217"/>
      <c r="T20" s="218"/>
      <c r="U20" s="218"/>
      <c r="V20" s="218"/>
      <c r="W20" s="218"/>
      <c r="X20" s="218"/>
      <c r="Y20" s="218"/>
      <c r="Z20" s="218"/>
      <c r="AA20" s="218"/>
      <c r="AB20" s="218"/>
      <c r="AC20" s="218"/>
      <c r="AD20" s="218"/>
      <c r="AE20" s="218"/>
      <c r="AF20" s="217"/>
      <c r="AG20" s="217"/>
      <c r="AH20" s="217"/>
      <c r="AI20" s="217"/>
      <c r="AJ20" s="217"/>
      <c r="AK20" s="217"/>
      <c r="AL20" s="217"/>
      <c r="AM20" s="217"/>
      <c r="AN20" s="217"/>
      <c r="AO20" s="217"/>
    </row>
    <row r="21" spans="1:41" ht="15.75" customHeight="1">
      <c r="A21" s="134" t="s">
        <v>628</v>
      </c>
      <c r="B21" s="163">
        <f>('Pivot Table for Data Exchange'!$J$367)*100</f>
        <v>0</v>
      </c>
      <c r="C21" s="163">
        <f>('Pivot Table for Data Exchange'!$J$370)*100</f>
        <v>0</v>
      </c>
      <c r="D21" s="164">
        <f>SUM(E21:G21)</f>
        <v>0</v>
      </c>
      <c r="E21" s="163">
        <f>('Pivot Table for Data Exchange'!$J$373)*100</f>
        <v>0</v>
      </c>
      <c r="F21" s="163">
        <f>('Pivot Table for Data Exchange'!$J$376)*100</f>
        <v>0</v>
      </c>
      <c r="G21" s="171">
        <f>('Pivot Table for Data Exchange'!$J$379)*100</f>
        <v>0</v>
      </c>
      <c r="H21" s="163">
        <f>('Pivot Table for Data Exchange'!$J$382)*100</f>
        <v>0</v>
      </c>
      <c r="I21" s="134" t="s">
        <v>628</v>
      </c>
      <c r="J21" s="163">
        <f>('Pivot Table for Data Exchange'!$J$385)*100</f>
        <v>0</v>
      </c>
      <c r="K21" s="163">
        <f>('Pivot Table for Data Exchange'!$J$388)*100</f>
        <v>0</v>
      </c>
      <c r="L21" s="164">
        <f>SUM(M21:O21)</f>
        <v>0</v>
      </c>
      <c r="M21" s="163">
        <f>('Pivot Table for Data Exchange'!$J$391)*100</f>
        <v>0</v>
      </c>
      <c r="N21" s="163">
        <f>('Pivot Table for Data Exchange'!$J$394)*100</f>
        <v>0</v>
      </c>
      <c r="O21" s="171">
        <f>('Pivot Table for Data Exchange'!$J$397)*100</f>
        <v>0</v>
      </c>
      <c r="P21" s="163">
        <f>('Pivot Table for Data Exchange'!$J$400)*100</f>
        <v>0</v>
      </c>
      <c r="Q21" s="168">
        <f>SUM(B21,C21,D21,H21)</f>
        <v>0</v>
      </c>
      <c r="R21" s="168">
        <f>SUM(J21,K21,L21,P21)</f>
        <v>0</v>
      </c>
      <c r="S21" s="217"/>
      <c r="T21" s="218"/>
      <c r="U21" s="218"/>
      <c r="V21" s="218"/>
      <c r="W21" s="218"/>
      <c r="X21" s="218"/>
      <c r="Y21" s="218"/>
      <c r="Z21" s="218"/>
      <c r="AA21" s="218"/>
      <c r="AB21" s="218"/>
      <c r="AC21" s="218"/>
      <c r="AD21" s="218"/>
      <c r="AE21" s="218"/>
      <c r="AF21" s="217"/>
      <c r="AG21" s="217"/>
      <c r="AH21" s="217"/>
      <c r="AI21" s="217"/>
      <c r="AJ21" s="217"/>
      <c r="AK21" s="217"/>
      <c r="AL21" s="217"/>
      <c r="AM21" s="217"/>
      <c r="AN21" s="217"/>
      <c r="AO21" s="217"/>
    </row>
    <row r="22" spans="1:41" ht="15.75" customHeight="1">
      <c r="A22" s="134" t="s">
        <v>629</v>
      </c>
      <c r="B22" s="163">
        <f>('Pivot Table for Data Exchange'!$J$403)*100</f>
        <v>54.895554393145993</v>
      </c>
      <c r="C22" s="163">
        <f>('Pivot Table for Data Exchange'!$J$406)*100</f>
        <v>1.1579583680845771</v>
      </c>
      <c r="D22" s="164">
        <f>SUM(E22:G22)</f>
        <v>43.946487238769414</v>
      </c>
      <c r="E22" s="163">
        <f>('Pivot Table for Data Exchange'!$J$409)*100</f>
        <v>43.831218610683074</v>
      </c>
      <c r="F22" s="163">
        <f>('Pivot Table for Data Exchange'!$J$412)*100</f>
        <v>0.10171183237488342</v>
      </c>
      <c r="G22" s="171">
        <f>('Pivot Table for Data Exchange'!$J$415)*100</f>
        <v>1.3556795711461893E-2</v>
      </c>
      <c r="H22" s="163">
        <f>('Pivot Table for Data Exchange'!$J$418)*100</f>
        <v>0</v>
      </c>
      <c r="I22" s="134" t="s">
        <v>629</v>
      </c>
      <c r="J22" s="163">
        <f>('Pivot Table for Data Exchange'!$J$421)*100</f>
        <v>44.789503921332852</v>
      </c>
      <c r="K22" s="163">
        <f>('Pivot Table for Data Exchange'!$J$424)*100</f>
        <v>5.9406522639517947</v>
      </c>
      <c r="L22" s="164">
        <f>SUM(M22:O22)</f>
        <v>49.269843814715351</v>
      </c>
      <c r="M22" s="163">
        <f>('Pivot Table for Data Exchange'!$J$427)*100</f>
        <v>47.539380335885205</v>
      </c>
      <c r="N22" s="163">
        <f>('Pivot Table for Data Exchange'!$J$430)*100</f>
        <v>1.7267225139284141</v>
      </c>
      <c r="O22" s="171">
        <f>('Pivot Table for Data Exchange'!$J$433)*100</f>
        <v>3.7409649017328683E-3</v>
      </c>
      <c r="P22" s="163">
        <f>('Pivot Table for Data Exchange'!$J$436)*100</f>
        <v>0</v>
      </c>
      <c r="Q22" s="168">
        <f>SUM(B22,C22,D22,H22)</f>
        <v>99.999999999999986</v>
      </c>
      <c r="R22" s="168">
        <f>SUM(J22,K22,L22,P22)</f>
        <v>100</v>
      </c>
      <c r="S22" s="217"/>
      <c r="T22" s="218"/>
      <c r="U22" s="218"/>
      <c r="V22" s="218"/>
      <c r="W22" s="218"/>
      <c r="X22" s="218"/>
      <c r="Y22" s="218"/>
      <c r="Z22" s="218"/>
      <c r="AA22" s="218"/>
      <c r="AB22" s="218"/>
      <c r="AC22" s="218"/>
      <c r="AD22" s="218"/>
      <c r="AE22" s="218"/>
      <c r="AF22" s="217"/>
      <c r="AG22" s="217"/>
      <c r="AH22" s="217"/>
      <c r="AI22" s="217"/>
      <c r="AJ22" s="217"/>
      <c r="AK22" s="217"/>
      <c r="AL22" s="217"/>
      <c r="AM22" s="217"/>
      <c r="AN22" s="217"/>
      <c r="AO22" s="217"/>
    </row>
    <row r="23" spans="1:41" ht="9.75" customHeight="1">
      <c r="B23" s="163"/>
      <c r="C23" s="163"/>
      <c r="D23" s="164"/>
      <c r="E23" s="163"/>
      <c r="F23" s="163"/>
      <c r="G23" s="171"/>
      <c r="H23" s="163"/>
      <c r="I23" s="134"/>
      <c r="J23" s="163"/>
      <c r="K23" s="163"/>
      <c r="L23" s="164"/>
      <c r="M23" s="163"/>
      <c r="N23" s="163"/>
      <c r="O23" s="171"/>
      <c r="P23" s="163"/>
      <c r="Q23" s="168">
        <f t="shared" si="3"/>
        <v>0</v>
      </c>
      <c r="R23" s="168">
        <f t="shared" si="2"/>
        <v>0</v>
      </c>
      <c r="S23" s="217"/>
      <c r="T23" s="218"/>
      <c r="U23" s="218"/>
      <c r="V23" s="218"/>
      <c r="W23" s="218"/>
      <c r="X23" s="218"/>
      <c r="Y23" s="218"/>
      <c r="Z23" s="218"/>
      <c r="AA23" s="218"/>
      <c r="AB23" s="218"/>
      <c r="AC23" s="218"/>
      <c r="AD23" s="218"/>
      <c r="AE23" s="218"/>
      <c r="AF23" s="217"/>
      <c r="AG23" s="217"/>
      <c r="AH23" s="217"/>
      <c r="AI23" s="217"/>
      <c r="AJ23" s="217"/>
      <c r="AK23" s="217"/>
      <c r="AL23" s="217"/>
      <c r="AM23" s="217"/>
      <c r="AN23" s="217"/>
      <c r="AO23" s="217"/>
    </row>
    <row r="24" spans="1:41" ht="15.75" customHeight="1">
      <c r="A24" s="134" t="s">
        <v>630</v>
      </c>
      <c r="B24" s="163">
        <f>('Pivot Table for Data Exchange'!$J$439)*100</f>
        <v>53.319742435542494</v>
      </c>
      <c r="C24" s="163">
        <f>('Pivot Table for Data Exchange'!$J$442)*100</f>
        <v>2.2795228365776734</v>
      </c>
      <c r="D24" s="164">
        <f>SUM(E24:G24)</f>
        <v>43.85484799766926</v>
      </c>
      <c r="E24" s="163">
        <f>('Pivot Table for Data Exchange'!$J$445)*100</f>
        <v>37.0833108883728</v>
      </c>
      <c r="F24" s="163">
        <f>('Pivot Table for Data Exchange'!$J$448)*100</f>
        <v>0.30112917751295676</v>
      </c>
      <c r="G24" s="171">
        <f>('Pivot Table for Data Exchange'!$J$451)*100</f>
        <v>6.4704079317835062</v>
      </c>
      <c r="H24" s="163">
        <f>('Pivot Table for Data Exchange'!$J$454)*100</f>
        <v>0.54588673021056278</v>
      </c>
      <c r="I24" s="134" t="s">
        <v>630</v>
      </c>
      <c r="J24" s="163">
        <f>('Pivot Table for Data Exchange'!$J$457)*100</f>
        <v>37.297277243969326</v>
      </c>
      <c r="K24" s="163">
        <f>('Pivot Table for Data Exchange'!$J$460)*100</f>
        <v>0.44632537804958089</v>
      </c>
      <c r="L24" s="164">
        <f>SUM(M24:O24)</f>
        <v>59.2605381588222</v>
      </c>
      <c r="M24" s="163">
        <f>('Pivot Table for Data Exchange'!$J$463)*100</f>
        <v>53.715145098554004</v>
      </c>
      <c r="N24" s="163">
        <f>('Pivot Table for Data Exchange'!$J$466)*100</f>
        <v>0.10159324461998134</v>
      </c>
      <c r="O24" s="171">
        <f>('Pivot Table for Data Exchange'!$J$469)*100</f>
        <v>5.4437998156482132</v>
      </c>
      <c r="P24" s="163">
        <f>('Pivot Table for Data Exchange'!$J$472)*100</f>
        <v>2.9958592191588878</v>
      </c>
      <c r="Q24" s="168">
        <f>SUM(B24,C24,D24,H24)</f>
        <v>100</v>
      </c>
      <c r="R24" s="168">
        <f>SUM(J24,K24,L24,P24)</f>
        <v>100</v>
      </c>
      <c r="S24" s="217"/>
      <c r="T24" s="218"/>
      <c r="U24" s="218"/>
      <c r="V24" s="218"/>
      <c r="W24" s="218"/>
      <c r="X24" s="218"/>
      <c r="Y24" s="218"/>
      <c r="Z24" s="218"/>
      <c r="AA24" s="218"/>
      <c r="AB24" s="218"/>
      <c r="AC24" s="218"/>
      <c r="AD24" s="218"/>
      <c r="AE24" s="218"/>
      <c r="AF24" s="217"/>
      <c r="AG24" s="217"/>
      <c r="AH24" s="217"/>
      <c r="AI24" s="217"/>
      <c r="AJ24" s="217"/>
      <c r="AK24" s="217"/>
      <c r="AL24" s="217"/>
      <c r="AM24" s="217"/>
      <c r="AN24" s="217"/>
      <c r="AO24" s="217"/>
    </row>
    <row r="25" spans="1:41" ht="15.75" customHeight="1">
      <c r="A25" s="134" t="s">
        <v>631</v>
      </c>
      <c r="B25" s="163">
        <f>('Pivot Table for Data Exchange'!$J$475)*100</f>
        <v>42.246247677818147</v>
      </c>
      <c r="C25" s="163">
        <f>('Pivot Table for Data Exchange'!$J$478)*100</f>
        <v>0.91815483454169622</v>
      </c>
      <c r="D25" s="164">
        <f>SUM(E25:G25)</f>
        <v>56.83559748764015</v>
      </c>
      <c r="E25" s="163">
        <f>('Pivot Table for Data Exchange'!$J$481)*100</f>
        <v>54.287610050180092</v>
      </c>
      <c r="F25" s="163">
        <f>('Pivot Table for Data Exchange'!$J$484)*100</f>
        <v>1.8348653073420313</v>
      </c>
      <c r="G25" s="171">
        <f>('Pivot Table for Data Exchange'!$J$487)*100</f>
        <v>0.71312213011803105</v>
      </c>
      <c r="H25" s="163">
        <f>('Pivot Table for Data Exchange'!$J$490)*100</f>
        <v>0</v>
      </c>
      <c r="I25" s="134" t="s">
        <v>631</v>
      </c>
      <c r="J25" s="163">
        <f>('Pivot Table for Data Exchange'!$J$493)*100</f>
        <v>36.40143524220116</v>
      </c>
      <c r="K25" s="163">
        <f>('Pivot Table for Data Exchange'!$J$496)*100</f>
        <v>1.3194317783800098</v>
      </c>
      <c r="L25" s="164">
        <f>SUM(M25:O25)</f>
        <v>62.279132979418833</v>
      </c>
      <c r="M25" s="163">
        <f>('Pivot Table for Data Exchange'!$J$499)*100</f>
        <v>60.305392488382637</v>
      </c>
      <c r="N25" s="163">
        <f>('Pivot Table for Data Exchange'!$J$502)*100</f>
        <v>1.2564422069673489</v>
      </c>
      <c r="O25" s="171">
        <f>('Pivot Table for Data Exchange'!$J$505)*100</f>
        <v>0.71729828406884388</v>
      </c>
      <c r="P25" s="163">
        <f>('Pivot Table for Data Exchange'!$J$508)*100</f>
        <v>0</v>
      </c>
      <c r="Q25" s="168">
        <f>SUM(B25,C25,D25,H25)</f>
        <v>100</v>
      </c>
      <c r="R25" s="168">
        <f>SUM(J25,K25,L25,P25)</f>
        <v>100</v>
      </c>
      <c r="S25" s="217"/>
      <c r="T25" s="218"/>
      <c r="U25" s="218"/>
      <c r="V25" s="218"/>
      <c r="W25" s="218"/>
      <c r="X25" s="218"/>
      <c r="Y25" s="218"/>
      <c r="Z25" s="218"/>
      <c r="AA25" s="218"/>
      <c r="AB25" s="218"/>
      <c r="AC25" s="218"/>
      <c r="AD25" s="218"/>
      <c r="AE25" s="218"/>
      <c r="AF25" s="217"/>
      <c r="AG25" s="217"/>
      <c r="AH25" s="217"/>
      <c r="AI25" s="217"/>
      <c r="AJ25" s="217"/>
      <c r="AK25" s="217"/>
      <c r="AL25" s="217"/>
      <c r="AM25" s="217"/>
      <c r="AN25" s="217"/>
      <c r="AO25" s="217"/>
    </row>
    <row r="26" spans="1:41" ht="15.75" customHeight="1">
      <c r="A26" s="134" t="s">
        <v>632</v>
      </c>
      <c r="B26" s="163">
        <f>('Pivot Table for Data Exchange'!$J$511)*100</f>
        <v>46.398554896569756</v>
      </c>
      <c r="C26" s="163">
        <f>('Pivot Table for Data Exchange'!$J$514)*100</f>
        <v>0.72127595145688639</v>
      </c>
      <c r="D26" s="164">
        <f>SUM(E26:G26)</f>
        <v>52.880169151973362</v>
      </c>
      <c r="E26" s="163">
        <f>('Pivot Table for Data Exchange'!$J$517)*100</f>
        <v>35.833629395554404</v>
      </c>
      <c r="F26" s="163">
        <f>('Pivot Table for Data Exchange'!$J$520)*100</f>
        <v>17.04647851976306</v>
      </c>
      <c r="G26" s="171">
        <f>('Pivot Table for Data Exchange'!$J$523)*100</f>
        <v>6.1236655894798687E-5</v>
      </c>
      <c r="H26" s="163">
        <f>('Pivot Table for Data Exchange'!$J$526)*100</f>
        <v>0</v>
      </c>
      <c r="I26" s="134" t="s">
        <v>632</v>
      </c>
      <c r="J26" s="163">
        <f>('Pivot Table for Data Exchange'!$J$529)*100</f>
        <v>42.660426531312048</v>
      </c>
      <c r="K26" s="163">
        <f>('Pivot Table for Data Exchange'!$J$532)*100</f>
        <v>2.8747214257031217</v>
      </c>
      <c r="L26" s="164">
        <f>SUM(M26:O26)</f>
        <v>54.464852042984838</v>
      </c>
      <c r="M26" s="163">
        <f>('Pivot Table for Data Exchange'!$J$535)*100</f>
        <v>37.190925850574857</v>
      </c>
      <c r="N26" s="163">
        <f>('Pivot Table for Data Exchange'!$J$538)*100</f>
        <v>17.120233706436686</v>
      </c>
      <c r="O26" s="171">
        <f>('Pivot Table for Data Exchange'!$J$541)*100</f>
        <v>0.15369248597329421</v>
      </c>
      <c r="P26" s="163">
        <f>('Pivot Table for Data Exchange'!$J$544)*100</f>
        <v>0</v>
      </c>
      <c r="Q26" s="168">
        <f>SUM(B26,C26,D26,H26)</f>
        <v>100</v>
      </c>
      <c r="R26" s="168">
        <f>SUM(J26,K26,L26,P26)</f>
        <v>100</v>
      </c>
      <c r="S26" s="217"/>
      <c r="T26" s="218"/>
      <c r="U26" s="218"/>
      <c r="V26" s="218"/>
      <c r="W26" s="218"/>
      <c r="X26" s="218"/>
      <c r="Y26" s="218"/>
      <c r="Z26" s="218"/>
      <c r="AA26" s="218"/>
      <c r="AB26" s="218"/>
      <c r="AC26" s="218"/>
      <c r="AD26" s="218"/>
      <c r="AE26" s="218"/>
      <c r="AF26" s="217"/>
      <c r="AG26" s="217"/>
      <c r="AH26" s="217"/>
      <c r="AI26" s="217"/>
      <c r="AJ26" s="217"/>
      <c r="AK26" s="217"/>
      <c r="AL26" s="217"/>
      <c r="AM26" s="217"/>
      <c r="AN26" s="217"/>
      <c r="AO26" s="217"/>
    </row>
    <row r="27" spans="1:41" ht="15.75" customHeight="1">
      <c r="A27" s="140" t="s">
        <v>633</v>
      </c>
      <c r="B27" s="176">
        <f>('Pivot Table for Data Exchange'!$J$547)*100</f>
        <v>49.585266331288388</v>
      </c>
      <c r="C27" s="176">
        <f>('Pivot Table for Data Exchange'!$J$550)*100</f>
        <v>3.7548537557738992</v>
      </c>
      <c r="D27" s="177">
        <f>SUM(E27:G27)</f>
        <v>46.659879912937711</v>
      </c>
      <c r="E27" s="176">
        <f>('Pivot Table for Data Exchange'!$J$553)*100</f>
        <v>46.39529689677498</v>
      </c>
      <c r="F27" s="176">
        <f>('Pivot Table for Data Exchange'!$J$556)*100</f>
        <v>0.25379224503248105</v>
      </c>
      <c r="G27" s="178">
        <f>('Pivot Table for Data Exchange'!$J$559)*100</f>
        <v>1.0790771130253809E-2</v>
      </c>
      <c r="H27" s="176">
        <f>('Pivot Table for Data Exchange'!$J$562)*100</f>
        <v>0</v>
      </c>
      <c r="I27" s="140" t="s">
        <v>633</v>
      </c>
      <c r="J27" s="176">
        <f>('Pivot Table for Data Exchange'!$J$565)*100</f>
        <v>42.296566730890071</v>
      </c>
      <c r="K27" s="176">
        <f>('Pivot Table for Data Exchange'!$J$568)*100</f>
        <v>5.2462387760507285</v>
      </c>
      <c r="L27" s="177">
        <f>SUM(M27:O27)</f>
        <v>52.457194493059198</v>
      </c>
      <c r="M27" s="176">
        <f>('Pivot Table for Data Exchange'!$J$571)*100</f>
        <v>52.273872152141962</v>
      </c>
      <c r="N27" s="176">
        <f>('Pivot Table for Data Exchange'!$J$574)*100</f>
        <v>0.1194451513058471</v>
      </c>
      <c r="O27" s="178">
        <f>('Pivot Table for Data Exchange'!$J$577)*100</f>
        <v>6.3877189611387802E-2</v>
      </c>
      <c r="P27" s="176">
        <f>('Pivot Table for Data Exchange'!$J$580)*100</f>
        <v>0</v>
      </c>
      <c r="Q27" s="168">
        <f t="shared" ref="Q27:Q90" si="4">SUM(B27,C27,D27,H27)</f>
        <v>100</v>
      </c>
      <c r="R27" s="168">
        <f t="shared" ref="R27:R90" si="5">SUM(J27,K27,L27,P27)</f>
        <v>100</v>
      </c>
      <c r="S27" s="217"/>
      <c r="T27" s="218"/>
      <c r="U27" s="218"/>
      <c r="V27" s="218"/>
      <c r="W27" s="218"/>
      <c r="X27" s="218"/>
      <c r="Y27" s="218"/>
      <c r="Z27" s="218"/>
      <c r="AA27" s="218"/>
      <c r="AB27" s="218"/>
      <c r="AC27" s="218"/>
      <c r="AD27" s="218"/>
      <c r="AE27" s="218"/>
      <c r="AF27" s="217"/>
      <c r="AG27" s="217"/>
      <c r="AH27" s="217"/>
      <c r="AI27" s="217"/>
      <c r="AJ27" s="217"/>
      <c r="AK27" s="217"/>
      <c r="AL27" s="217"/>
      <c r="AM27" s="217"/>
      <c r="AN27" s="217"/>
      <c r="AO27" s="217"/>
    </row>
    <row r="28" spans="1:41" s="207" customFormat="1" ht="33" customHeight="1">
      <c r="A28" s="646" t="s">
        <v>746</v>
      </c>
      <c r="B28" s="649"/>
      <c r="C28" s="649"/>
      <c r="D28" s="649"/>
      <c r="E28" s="649"/>
      <c r="F28" s="649"/>
      <c r="G28" s="649"/>
      <c r="H28" s="649"/>
      <c r="I28" s="646" t="s">
        <v>746</v>
      </c>
      <c r="J28" s="649"/>
      <c r="K28" s="649"/>
      <c r="L28" s="649"/>
      <c r="M28" s="649"/>
      <c r="N28" s="649"/>
      <c r="O28" s="649"/>
      <c r="P28" s="649"/>
      <c r="Q28" s="168">
        <f>SUM(B28,C28,D28,H28)</f>
        <v>0</v>
      </c>
      <c r="R28" s="168">
        <f>SUM(J28,K28,L28,P28)</f>
        <v>0</v>
      </c>
    </row>
    <row r="29" spans="1:41" s="207" customFormat="1" ht="10.5" customHeight="1">
      <c r="A29" s="182" t="s">
        <v>652</v>
      </c>
      <c r="B29" s="183"/>
      <c r="C29" s="183"/>
      <c r="D29" s="184"/>
      <c r="E29" s="183"/>
      <c r="F29" s="184"/>
      <c r="G29" s="184"/>
      <c r="H29" s="183"/>
      <c r="I29" s="182" t="s">
        <v>652</v>
      </c>
      <c r="J29" s="183"/>
      <c r="K29" s="183"/>
      <c r="L29" s="184"/>
      <c r="M29" s="183"/>
      <c r="N29" s="184"/>
      <c r="O29" s="184"/>
      <c r="P29" s="183"/>
      <c r="Q29" s="168">
        <f t="shared" si="4"/>
        <v>0</v>
      </c>
      <c r="R29" s="168">
        <f t="shared" si="5"/>
        <v>0</v>
      </c>
      <c r="S29" s="220"/>
      <c r="T29" s="217"/>
      <c r="U29" s="220"/>
      <c r="V29" s="220"/>
      <c r="W29" s="220"/>
      <c r="X29" s="220"/>
      <c r="Y29" s="220"/>
      <c r="Z29" s="220"/>
      <c r="AA29" s="220"/>
      <c r="AB29" s="220"/>
      <c r="AC29" s="220"/>
      <c r="AD29" s="220"/>
      <c r="AE29" s="220"/>
      <c r="AF29" s="220"/>
      <c r="AG29" s="220"/>
      <c r="AH29" s="220"/>
      <c r="AI29" s="220"/>
      <c r="AJ29" s="220"/>
      <c r="AK29" s="220"/>
      <c r="AL29" s="220"/>
      <c r="AM29" s="220"/>
      <c r="AN29" s="220"/>
      <c r="AO29" s="220"/>
    </row>
    <row r="30" spans="1:41" s="207" customFormat="1" ht="21.75" customHeight="1">
      <c r="A30" s="633" t="s">
        <v>653</v>
      </c>
      <c r="B30" s="634"/>
      <c r="C30" s="634"/>
      <c r="D30" s="634"/>
      <c r="E30" s="634"/>
      <c r="F30" s="634"/>
      <c r="G30" s="634"/>
      <c r="H30" s="634"/>
      <c r="I30" s="633" t="s">
        <v>653</v>
      </c>
      <c r="J30" s="634"/>
      <c r="K30" s="634"/>
      <c r="L30" s="634"/>
      <c r="M30" s="634"/>
      <c r="N30" s="634"/>
      <c r="O30" s="634"/>
      <c r="P30" s="634"/>
      <c r="Q30" s="168">
        <f t="shared" si="4"/>
        <v>0</v>
      </c>
      <c r="R30" s="168">
        <f t="shared" si="5"/>
        <v>0</v>
      </c>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row>
    <row r="31" spans="1:41" s="207" customFormat="1" ht="13.5" customHeight="1">
      <c r="A31" s="180"/>
      <c r="B31" s="54"/>
      <c r="C31" s="54"/>
      <c r="D31" s="54"/>
      <c r="E31" s="54"/>
      <c r="F31" s="54"/>
      <c r="G31" s="54"/>
      <c r="I31" s="180"/>
      <c r="J31" s="54"/>
      <c r="K31" s="54"/>
      <c r="L31" s="54"/>
      <c r="M31" s="54"/>
      <c r="N31" s="54"/>
      <c r="O31" s="54"/>
      <c r="P31" s="54"/>
      <c r="Q31" s="168">
        <f t="shared" si="4"/>
        <v>0</v>
      </c>
      <c r="R31" s="168">
        <f t="shared" si="5"/>
        <v>0</v>
      </c>
    </row>
    <row r="32" spans="1:41">
      <c r="H32" s="187" t="s">
        <v>992</v>
      </c>
      <c r="I32" s="134"/>
      <c r="P32" s="187" t="s">
        <v>992</v>
      </c>
      <c r="Q32" s="168">
        <f>SUM(B32,C32,D32,H32)</f>
        <v>0</v>
      </c>
      <c r="R32" s="168">
        <f t="shared" si="5"/>
        <v>0</v>
      </c>
    </row>
    <row r="33" spans="1:41" ht="18">
      <c r="A33" s="129" t="s">
        <v>654</v>
      </c>
      <c r="B33" s="130"/>
      <c r="C33" s="130"/>
      <c r="D33" s="130"/>
      <c r="E33" s="130"/>
      <c r="F33" s="130"/>
      <c r="G33" s="130"/>
      <c r="H33" s="130"/>
      <c r="I33" s="129" t="s">
        <v>655</v>
      </c>
      <c r="J33" s="131"/>
      <c r="K33" s="131"/>
      <c r="L33" s="130"/>
      <c r="M33" s="131"/>
      <c r="N33" s="131"/>
      <c r="O33" s="131"/>
      <c r="P33" s="131"/>
      <c r="Q33" s="168">
        <f t="shared" si="4"/>
        <v>0</v>
      </c>
      <c r="R33" s="168">
        <f t="shared" si="5"/>
        <v>0</v>
      </c>
    </row>
    <row r="34" spans="1:41">
      <c r="A34" s="135"/>
      <c r="B34" s="131"/>
      <c r="C34" s="131"/>
      <c r="D34" s="131"/>
      <c r="E34" s="131"/>
      <c r="F34" s="131"/>
      <c r="G34" s="131"/>
      <c r="H34" s="131"/>
      <c r="I34" s="135"/>
      <c r="J34" s="131"/>
      <c r="K34" s="131"/>
      <c r="L34" s="131"/>
      <c r="M34" s="131"/>
      <c r="N34" s="131"/>
      <c r="O34" s="131"/>
      <c r="P34" s="131"/>
      <c r="Q34" s="168">
        <f t="shared" si="4"/>
        <v>0</v>
      </c>
      <c r="R34" s="168">
        <f t="shared" si="5"/>
        <v>0</v>
      </c>
    </row>
    <row r="35" spans="1:41" ht="15.75">
      <c r="A35" s="137" t="s">
        <v>639</v>
      </c>
      <c r="B35" s="131"/>
      <c r="C35" s="131"/>
      <c r="D35" s="131"/>
      <c r="E35" s="131"/>
      <c r="F35" s="131"/>
      <c r="G35" s="131"/>
      <c r="H35" s="131"/>
      <c r="I35" s="137" t="s">
        <v>640</v>
      </c>
      <c r="J35" s="131"/>
      <c r="K35" s="131"/>
      <c r="L35" s="131"/>
      <c r="M35" s="131"/>
      <c r="N35" s="131"/>
      <c r="O35" s="131"/>
      <c r="P35" s="131"/>
      <c r="Q35" s="168">
        <f t="shared" si="4"/>
        <v>0</v>
      </c>
      <c r="R35" s="168">
        <f t="shared" si="5"/>
        <v>0</v>
      </c>
    </row>
    <row r="36" spans="1:41" ht="15.75">
      <c r="A36" s="137" t="s">
        <v>962</v>
      </c>
      <c r="B36" s="131"/>
      <c r="C36" s="131"/>
      <c r="D36" s="131"/>
      <c r="E36" s="131"/>
      <c r="F36" s="131"/>
      <c r="G36" s="131"/>
      <c r="H36" s="131"/>
      <c r="I36" s="137" t="s">
        <v>962</v>
      </c>
      <c r="J36" s="131"/>
      <c r="K36" s="131"/>
      <c r="L36" s="131"/>
      <c r="M36" s="131"/>
      <c r="N36" s="131"/>
      <c r="O36" s="131"/>
      <c r="P36" s="131"/>
      <c r="Q36" s="168">
        <f t="shared" si="4"/>
        <v>0</v>
      </c>
      <c r="R36" s="168">
        <f t="shared" si="5"/>
        <v>0</v>
      </c>
    </row>
    <row r="37" spans="1:41">
      <c r="A37" s="140"/>
      <c r="B37" s="141"/>
      <c r="C37" s="141"/>
      <c r="D37" s="141"/>
      <c r="E37" s="141"/>
      <c r="F37" s="141"/>
      <c r="G37" s="141"/>
      <c r="H37" s="141"/>
      <c r="I37" s="142"/>
      <c r="L37" s="143"/>
      <c r="P37" s="140"/>
      <c r="Q37" s="168">
        <f t="shared" si="4"/>
        <v>0</v>
      </c>
      <c r="R37" s="168">
        <f t="shared" si="5"/>
        <v>0</v>
      </c>
    </row>
    <row r="38" spans="1:41" s="161" customFormat="1">
      <c r="A38" s="145"/>
      <c r="B38" s="146" t="s">
        <v>641</v>
      </c>
      <c r="C38" s="146"/>
      <c r="D38" s="146"/>
      <c r="E38" s="146"/>
      <c r="F38" s="146"/>
      <c r="G38" s="146"/>
      <c r="H38" s="147"/>
      <c r="I38" s="145"/>
      <c r="J38" s="146" t="s">
        <v>641</v>
      </c>
      <c r="K38" s="146"/>
      <c r="L38" s="146"/>
      <c r="M38" s="146"/>
      <c r="N38" s="146"/>
      <c r="O38" s="146"/>
      <c r="P38" s="147"/>
      <c r="Q38" s="168">
        <f t="shared" si="4"/>
        <v>0</v>
      </c>
      <c r="R38" s="168">
        <f t="shared" si="5"/>
        <v>0</v>
      </c>
    </row>
    <row r="39" spans="1:41" s="161" customFormat="1">
      <c r="A39" s="145"/>
      <c r="B39" s="146" t="s">
        <v>642</v>
      </c>
      <c r="C39" s="146"/>
      <c r="D39" s="639" t="s">
        <v>643</v>
      </c>
      <c r="E39" s="637"/>
      <c r="F39" s="637"/>
      <c r="G39" s="637"/>
      <c r="H39" s="153" t="s">
        <v>533</v>
      </c>
      <c r="I39" s="145"/>
      <c r="J39" s="146" t="s">
        <v>642</v>
      </c>
      <c r="K39" s="146"/>
      <c r="L39" s="639" t="s">
        <v>643</v>
      </c>
      <c r="M39" s="637"/>
      <c r="N39" s="637"/>
      <c r="O39" s="637"/>
      <c r="P39" s="153" t="s">
        <v>533</v>
      </c>
      <c r="Q39" s="168">
        <f t="shared" si="4"/>
        <v>0</v>
      </c>
      <c r="R39" s="168">
        <f t="shared" si="5"/>
        <v>0</v>
      </c>
    </row>
    <row r="40" spans="1:41" s="161" customFormat="1" ht="40.5" customHeight="1">
      <c r="A40" s="145"/>
      <c r="B40" s="154" t="s">
        <v>644</v>
      </c>
      <c r="C40" s="155" t="s">
        <v>645</v>
      </c>
      <c r="D40" s="156" t="s">
        <v>646</v>
      </c>
      <c r="E40" s="157" t="s">
        <v>8</v>
      </c>
      <c r="F40" s="154" t="s">
        <v>647</v>
      </c>
      <c r="G40" s="158" t="s">
        <v>656</v>
      </c>
      <c r="H40" s="159" t="s">
        <v>649</v>
      </c>
      <c r="I40" s="145"/>
      <c r="J40" s="154" t="s">
        <v>644</v>
      </c>
      <c r="K40" s="155" t="s">
        <v>645</v>
      </c>
      <c r="L40" s="156" t="s">
        <v>646</v>
      </c>
      <c r="M40" s="157" t="s">
        <v>8</v>
      </c>
      <c r="N40" s="154" t="s">
        <v>647</v>
      </c>
      <c r="O40" s="158" t="s">
        <v>656</v>
      </c>
      <c r="P40" s="159" t="s">
        <v>649</v>
      </c>
      <c r="Q40" s="168">
        <f t="shared" si="4"/>
        <v>0</v>
      </c>
      <c r="R40" s="168">
        <f t="shared" si="5"/>
        <v>0</v>
      </c>
      <c r="T40" s="160"/>
    </row>
    <row r="41" spans="1:41" ht="15.75" customHeight="1">
      <c r="A41" s="162" t="s">
        <v>618</v>
      </c>
      <c r="B41" s="216">
        <f>('Pivot Table for Data Exchange'!$C$7)*100</f>
        <v>69.453838889677741</v>
      </c>
      <c r="C41" s="163">
        <f>('Pivot Table for Data Exchange'!$C$10)*100</f>
        <v>0.78308060266854451</v>
      </c>
      <c r="D41" s="164">
        <f>SUM(E41:G41)</f>
        <v>29.763080507653711</v>
      </c>
      <c r="E41" s="163">
        <f>('Pivot Table for Data Exchange'!$C$13)*100</f>
        <v>23.522189395183066</v>
      </c>
      <c r="F41" s="163">
        <f>('Pivot Table for Data Exchange'!$C$16)*100</f>
        <v>6.2408911124706448</v>
      </c>
      <c r="G41" s="167">
        <f>('Pivot Table for Data Exchange'!$C$19)*100</f>
        <v>0</v>
      </c>
      <c r="H41" s="163">
        <f>('Pivot Table for Data Exchange'!$C$22)*100</f>
        <v>0</v>
      </c>
      <c r="I41" s="166" t="s">
        <v>618</v>
      </c>
      <c r="J41" s="163">
        <f>('Pivot Table for Data Exchange'!$C$25)*100</f>
        <v>60.637295211588338</v>
      </c>
      <c r="K41" s="163">
        <f>('Pivot Table for Data Exchange'!$C$28)*100</f>
        <v>3.7507116199633121</v>
      </c>
      <c r="L41" s="164">
        <f>SUM(M41:O41)</f>
        <v>35.61199316844835</v>
      </c>
      <c r="M41" s="163">
        <f>('Pivot Table for Data Exchange'!$C$31)*100</f>
        <v>32.666202795875762</v>
      </c>
      <c r="N41" s="163">
        <f>('Pivot Table for Data Exchange'!$C$34)*100</f>
        <v>2.9457903725725854</v>
      </c>
      <c r="O41" s="167">
        <f>('Pivot Table for Data Exchange'!$C$37)*100</f>
        <v>0</v>
      </c>
      <c r="P41" s="163">
        <f>('Pivot Table for Data Exchange'!$C$40)*100</f>
        <v>0</v>
      </c>
      <c r="Q41" s="168">
        <f t="shared" si="4"/>
        <v>100</v>
      </c>
      <c r="R41" s="168">
        <f t="shared" si="5"/>
        <v>100</v>
      </c>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row>
    <row r="42" spans="1:41" ht="15.75" customHeight="1">
      <c r="A42" s="134" t="s">
        <v>619</v>
      </c>
      <c r="B42" s="163">
        <f>('Pivot Table for Data Exchange'!$C$43)*100</f>
        <v>24.767608412306814</v>
      </c>
      <c r="C42" s="163">
        <f>('Pivot Table for Data Exchange'!$C$46)*100</f>
        <v>0.28032834954765196</v>
      </c>
      <c r="D42" s="164">
        <f t="shared" ref="D42:D44" si="6">SUM(E42:G42)</f>
        <v>74.663291263611498</v>
      </c>
      <c r="E42" s="163">
        <f>('Pivot Table for Data Exchange'!$C$49)*100</f>
        <v>74.620305536408139</v>
      </c>
      <c r="F42" s="163">
        <f>('Pivot Table for Data Exchange'!$C$52)*100</f>
        <v>4.2985727203363938E-2</v>
      </c>
      <c r="G42" s="174">
        <f>('Pivot Table for Data Exchange'!$C$55)*100</f>
        <v>0</v>
      </c>
      <c r="H42" s="163">
        <f>('Pivot Table for Data Exchange'!$C$58)*100</f>
        <v>0.28877197453402703</v>
      </c>
      <c r="I42" s="169" t="s">
        <v>619</v>
      </c>
      <c r="J42" s="163">
        <f>('Pivot Table for Data Exchange'!$C$61)*100</f>
        <v>36.917653857266686</v>
      </c>
      <c r="K42" s="163">
        <f>('Pivot Table for Data Exchange'!$C$64)*100</f>
        <v>0.55937590291823169</v>
      </c>
      <c r="L42" s="164">
        <f t="shared" ref="L42:L44" si="7">SUM(M42:O42)</f>
        <v>62.522970239815081</v>
      </c>
      <c r="M42" s="163">
        <f>('Pivot Table for Data Exchange'!$C$67)*100</f>
        <v>62.439757295579312</v>
      </c>
      <c r="N42" s="175">
        <f>('Pivot Table for Data Exchange'!$C$70)*100</f>
        <v>8.3212944235770012E-2</v>
      </c>
      <c r="O42" s="170">
        <f>('Pivot Table for Data Exchange'!$C$73)*100</f>
        <v>0</v>
      </c>
      <c r="P42" s="175">
        <f>('Pivot Table for Data Exchange'!$C$76)*100</f>
        <v>0</v>
      </c>
      <c r="Q42" s="168">
        <f t="shared" si="4"/>
        <v>100</v>
      </c>
      <c r="R42" s="168">
        <f t="shared" si="5"/>
        <v>100</v>
      </c>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row>
    <row r="43" spans="1:41" ht="15.75" customHeight="1">
      <c r="A43" s="134" t="s">
        <v>620</v>
      </c>
      <c r="B43" s="163">
        <f>('Pivot Table for Data Exchange'!$C$79)*100</f>
        <v>39.889733648859576</v>
      </c>
      <c r="C43" s="163">
        <f>('Pivot Table for Data Exchange'!$C$82)*100</f>
        <v>0</v>
      </c>
      <c r="D43" s="164">
        <f t="shared" si="6"/>
        <v>60.110266351140432</v>
      </c>
      <c r="E43" s="163">
        <f>('Pivot Table for Data Exchange'!$C$85)*100</f>
        <v>60.110266351140432</v>
      </c>
      <c r="F43" s="163">
        <f>('Pivot Table for Data Exchange'!$C$88)*100</f>
        <v>0</v>
      </c>
      <c r="G43" s="171">
        <f>('Pivot Table for Data Exchange'!$C$91)*100</f>
        <v>0</v>
      </c>
      <c r="H43" s="163">
        <f>('Pivot Table for Data Exchange'!$C$94)*100</f>
        <v>0</v>
      </c>
      <c r="I43" s="169" t="s">
        <v>620</v>
      </c>
      <c r="J43" s="163">
        <f>('Pivot Table for Data Exchange'!$C$97)*100</f>
        <v>43.756063545961673</v>
      </c>
      <c r="K43" s="163">
        <f>('Pivot Table for Data Exchange'!$C$100)*100</f>
        <v>0</v>
      </c>
      <c r="L43" s="164">
        <f t="shared" si="7"/>
        <v>56.243936454038327</v>
      </c>
      <c r="M43" s="163">
        <f>('Pivot Table for Data Exchange'!$C$103)*100</f>
        <v>56.243936454038327</v>
      </c>
      <c r="N43" s="163">
        <f>('Pivot Table for Data Exchange'!$C$106)*100</f>
        <v>0</v>
      </c>
      <c r="O43" s="171">
        <f>('Pivot Table for Data Exchange'!$C$109)*100</f>
        <v>0</v>
      </c>
      <c r="P43" s="163">
        <f>('Pivot Table for Data Exchange'!$C$112)*100</f>
        <v>0</v>
      </c>
      <c r="Q43" s="168">
        <f t="shared" si="4"/>
        <v>100</v>
      </c>
      <c r="R43" s="168">
        <f t="shared" si="5"/>
        <v>100</v>
      </c>
      <c r="S43" s="217"/>
      <c r="T43" s="221"/>
      <c r="U43" s="217"/>
      <c r="V43" s="217"/>
      <c r="W43" s="217"/>
      <c r="X43" s="217"/>
      <c r="Y43" s="217"/>
      <c r="Z43" s="217"/>
      <c r="AA43" s="217"/>
      <c r="AB43" s="217"/>
      <c r="AC43" s="217"/>
      <c r="AD43" s="217"/>
      <c r="AE43" s="217"/>
      <c r="AF43" s="217"/>
      <c r="AG43" s="217"/>
      <c r="AH43" s="217"/>
      <c r="AI43" s="217"/>
      <c r="AJ43" s="217"/>
      <c r="AK43" s="217"/>
      <c r="AL43" s="217"/>
      <c r="AM43" s="217"/>
      <c r="AN43" s="217"/>
      <c r="AO43" s="217"/>
    </row>
    <row r="44" spans="1:41" ht="15.75" customHeight="1">
      <c r="A44" s="134" t="s">
        <v>657</v>
      </c>
      <c r="B44" s="163">
        <f>('Pivot Table for Data Exchange'!$C$115)*100</f>
        <v>0</v>
      </c>
      <c r="C44" s="163">
        <f>('Pivot Table for Data Exchange'!$C$118)*100</f>
        <v>0</v>
      </c>
      <c r="D44" s="164">
        <f t="shared" si="6"/>
        <v>0</v>
      </c>
      <c r="E44" s="163">
        <f>('Pivot Table for Data Exchange'!$C$121)*100</f>
        <v>0</v>
      </c>
      <c r="F44" s="163">
        <f>('Pivot Table for Data Exchange'!$C$124)*100</f>
        <v>0</v>
      </c>
      <c r="G44" s="171">
        <f>('Pivot Table for Data Exchange'!$C$127)*100</f>
        <v>0</v>
      </c>
      <c r="H44" s="163">
        <f>('Pivot Table for Data Exchange'!$C$130)*100</f>
        <v>0</v>
      </c>
      <c r="I44" s="169" t="s">
        <v>657</v>
      </c>
      <c r="J44" s="163">
        <f>('Pivot Table for Data Exchange'!$C$133)*100</f>
        <v>0</v>
      </c>
      <c r="K44" s="163">
        <f>('Pivot Table for Data Exchange'!$C$136)*100</f>
        <v>0</v>
      </c>
      <c r="L44" s="164">
        <f t="shared" si="7"/>
        <v>0</v>
      </c>
      <c r="M44" s="163">
        <f>('Pivot Table for Data Exchange'!$C$139)*100</f>
        <v>0</v>
      </c>
      <c r="N44" s="163">
        <f>('Pivot Table for Data Exchange'!$C$142)*100</f>
        <v>0</v>
      </c>
      <c r="O44" s="170">
        <f>('Pivot Table for Data Exchange'!$C$145)*100</f>
        <v>0</v>
      </c>
      <c r="P44" s="163">
        <f>('Pivot Table for Data Exchange'!$C$148)*100</f>
        <v>0</v>
      </c>
      <c r="Q44" s="168">
        <f t="shared" si="4"/>
        <v>0</v>
      </c>
      <c r="R44" s="168">
        <f t="shared" si="5"/>
        <v>0</v>
      </c>
      <c r="S44" s="217"/>
      <c r="U44" s="217"/>
      <c r="V44" s="217"/>
      <c r="W44" s="217"/>
      <c r="X44" s="217"/>
      <c r="Y44" s="217"/>
      <c r="Z44" s="217"/>
      <c r="AA44" s="217"/>
      <c r="AB44" s="217"/>
      <c r="AC44" s="217"/>
      <c r="AD44" s="217"/>
      <c r="AE44" s="217"/>
      <c r="AF44" s="217"/>
      <c r="AG44" s="217"/>
      <c r="AH44" s="217"/>
      <c r="AI44" s="217"/>
      <c r="AJ44" s="217"/>
      <c r="AK44" s="217"/>
      <c r="AL44" s="217"/>
      <c r="AM44" s="217"/>
      <c r="AN44" s="217"/>
      <c r="AO44" s="217"/>
    </row>
    <row r="45" spans="1:41" ht="10.5" customHeight="1">
      <c r="B45" s="163"/>
      <c r="C45" s="163"/>
      <c r="D45" s="164"/>
      <c r="E45" s="163"/>
      <c r="F45" s="163"/>
      <c r="G45" s="171"/>
      <c r="H45" s="163"/>
      <c r="I45" s="169"/>
      <c r="J45" s="163"/>
      <c r="K45" s="163"/>
      <c r="L45" s="164"/>
      <c r="M45" s="163"/>
      <c r="N45" s="163"/>
      <c r="O45" s="171"/>
      <c r="P45" s="163"/>
      <c r="Q45" s="168">
        <f t="shared" si="4"/>
        <v>0</v>
      </c>
      <c r="R45" s="168">
        <f t="shared" si="5"/>
        <v>0</v>
      </c>
      <c r="S45" s="217"/>
      <c r="U45" s="217"/>
      <c r="V45" s="217"/>
      <c r="W45" s="217"/>
      <c r="X45" s="217"/>
      <c r="Y45" s="217"/>
      <c r="Z45" s="217"/>
      <c r="AA45" s="217"/>
      <c r="AB45" s="217"/>
      <c r="AC45" s="217"/>
      <c r="AD45" s="217"/>
      <c r="AE45" s="217"/>
      <c r="AF45" s="217"/>
      <c r="AG45" s="217"/>
      <c r="AH45" s="217"/>
      <c r="AI45" s="217"/>
      <c r="AJ45" s="217"/>
      <c r="AK45" s="217"/>
      <c r="AL45" s="217"/>
      <c r="AM45" s="217"/>
      <c r="AN45" s="217"/>
      <c r="AO45" s="217"/>
    </row>
    <row r="46" spans="1:41" ht="15.75" customHeight="1">
      <c r="A46" s="134" t="s">
        <v>622</v>
      </c>
      <c r="B46" s="163">
        <f>('Pivot Table for Data Exchange'!$C$151)*100</f>
        <v>54.405950847869747</v>
      </c>
      <c r="C46" s="163">
        <f>('Pivot Table for Data Exchange'!$C$154)*100</f>
        <v>0.78440655550423843</v>
      </c>
      <c r="D46" s="164">
        <f t="shared" ref="D46:D47" si="8">SUM(E46:G46)</f>
        <v>44.809642596626013</v>
      </c>
      <c r="E46" s="163">
        <f>('Pivot Table for Data Exchange'!$C$157)*100</f>
        <v>44.809642596626013</v>
      </c>
      <c r="F46" s="163">
        <f>('Pivot Table for Data Exchange'!$C$160)*100</f>
        <v>0</v>
      </c>
      <c r="G46" s="171">
        <f>('Pivot Table for Data Exchange'!$C$163)*100</f>
        <v>0</v>
      </c>
      <c r="H46" s="163">
        <f>('Pivot Table for Data Exchange'!$C$166)*100</f>
        <v>0</v>
      </c>
      <c r="I46" s="169" t="s">
        <v>622</v>
      </c>
      <c r="J46" s="163">
        <f>('Pivot Table for Data Exchange'!$C$169)*100</f>
        <v>57.114662884524925</v>
      </c>
      <c r="K46" s="163">
        <f>('Pivot Table for Data Exchange'!$C$172)*100</f>
        <v>19.758131550951749</v>
      </c>
      <c r="L46" s="164">
        <f t="shared" ref="L46:L47" si="9">SUM(M46:O46)</f>
        <v>23.127205564523333</v>
      </c>
      <c r="M46" s="163">
        <f>('Pivot Table for Data Exchange'!$C$175)*100</f>
        <v>23.127205564523333</v>
      </c>
      <c r="N46" s="163">
        <f>('Pivot Table for Data Exchange'!$C$178)*100</f>
        <v>0</v>
      </c>
      <c r="O46" s="171">
        <f>('Pivot Table for Data Exchange'!$C$181)*100</f>
        <v>0</v>
      </c>
      <c r="P46" s="163">
        <f>('Pivot Table for Data Exchange'!$C$184)*100</f>
        <v>0</v>
      </c>
      <c r="Q46" s="168">
        <f t="shared" si="4"/>
        <v>100</v>
      </c>
      <c r="R46" s="168">
        <f t="shared" si="5"/>
        <v>100.00000000000001</v>
      </c>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row>
    <row r="47" spans="1:41" ht="15.75" customHeight="1">
      <c r="A47" s="134" t="s">
        <v>623</v>
      </c>
      <c r="B47" s="163">
        <f>('Pivot Table for Data Exchange'!$C$187)*100</f>
        <v>51.822310662494395</v>
      </c>
      <c r="C47" s="163">
        <f>('Pivot Table for Data Exchange'!$C$190)*100</f>
        <v>1.7842137550972013</v>
      </c>
      <c r="D47" s="164">
        <f t="shared" si="8"/>
        <v>46.393475582408406</v>
      </c>
      <c r="E47" s="163">
        <f>('Pivot Table for Data Exchange'!$C$193)*100</f>
        <v>46.366565452961403</v>
      </c>
      <c r="F47" s="163">
        <f>('Pivot Table for Data Exchange'!$C$196)*100</f>
        <v>0</v>
      </c>
      <c r="G47" s="171">
        <f>('Pivot Table for Data Exchange'!$C$199)*100</f>
        <v>2.6910129447001992E-2</v>
      </c>
      <c r="H47" s="163">
        <f>('Pivot Table for Data Exchange'!$C$202)*100</f>
        <v>0</v>
      </c>
      <c r="I47" s="169" t="s">
        <v>623</v>
      </c>
      <c r="J47" s="163">
        <f>('Pivot Table for Data Exchange'!$C$205)*100</f>
        <v>40.872975137043952</v>
      </c>
      <c r="K47" s="163">
        <f>('Pivot Table for Data Exchange'!$C$208)*100</f>
        <v>1.4515367400989589</v>
      </c>
      <c r="L47" s="164">
        <f t="shared" si="9"/>
        <v>57.675488122857075</v>
      </c>
      <c r="M47" s="163">
        <f>('Pivot Table for Data Exchange'!$C$211)*100</f>
        <v>57.59387767671997</v>
      </c>
      <c r="N47" s="163">
        <f>('Pivot Table for Data Exchange'!$C$214)*100</f>
        <v>0</v>
      </c>
      <c r="O47" s="171">
        <f>('Pivot Table for Data Exchange'!$C$217)*100</f>
        <v>8.1610446137105552E-2</v>
      </c>
      <c r="P47" s="163">
        <f>('Pivot Table for Data Exchange'!$C$220)*100</f>
        <v>0</v>
      </c>
      <c r="Q47" s="168">
        <f t="shared" si="4"/>
        <v>100</v>
      </c>
      <c r="R47" s="168">
        <f t="shared" si="5"/>
        <v>99.999999999999986</v>
      </c>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row>
    <row r="48" spans="1:41" ht="15.75" customHeight="1">
      <c r="A48" s="134" t="s">
        <v>624</v>
      </c>
      <c r="B48" s="163">
        <f>('Pivot Table for Data Exchange'!$C$223)*100</f>
        <v>64.123047573625854</v>
      </c>
      <c r="C48" s="163">
        <f>('Pivot Table for Data Exchange'!$C$226)*100</f>
        <v>0</v>
      </c>
      <c r="D48" s="164">
        <f>SUM(E48:G48)</f>
        <v>35.876952426374146</v>
      </c>
      <c r="E48" s="163">
        <f>('Pivot Table for Data Exchange'!$C$229)*100</f>
        <v>35.876952426374146</v>
      </c>
      <c r="F48" s="163">
        <f>('Pivot Table for Data Exchange'!$C$232)*100</f>
        <v>0</v>
      </c>
      <c r="G48" s="171">
        <f>('Pivot Table for Data Exchange'!$C$235)*100</f>
        <v>0</v>
      </c>
      <c r="H48" s="163">
        <f>('Pivot Table for Data Exchange'!$C$238)*100</f>
        <v>0</v>
      </c>
      <c r="I48" s="169" t="s">
        <v>624</v>
      </c>
      <c r="J48" s="163">
        <f>('Pivot Table for Data Exchange'!$C$241)*100</f>
        <v>79.388426553125569</v>
      </c>
      <c r="K48" s="163">
        <f>('Pivot Table for Data Exchange'!$C$244)*100</f>
        <v>0</v>
      </c>
      <c r="L48" s="164">
        <f>SUM(M48:O48)</f>
        <v>20.611573446874427</v>
      </c>
      <c r="M48" s="163">
        <f>('Pivot Table for Data Exchange'!$C$247)*100</f>
        <v>20.611573446874427</v>
      </c>
      <c r="N48" s="163">
        <f>('Pivot Table for Data Exchange'!$C$250)*100</f>
        <v>0</v>
      </c>
      <c r="O48" s="171">
        <f>('Pivot Table for Data Exchange'!$C$253)*100</f>
        <v>0</v>
      </c>
      <c r="P48" s="163">
        <f>('Pivot Table for Data Exchange'!$C$256)*100</f>
        <v>0</v>
      </c>
      <c r="Q48" s="168">
        <f t="shared" si="4"/>
        <v>100</v>
      </c>
      <c r="R48" s="168">
        <f t="shared" si="5"/>
        <v>100</v>
      </c>
      <c r="S48" s="217"/>
      <c r="T48" s="221"/>
      <c r="U48" s="217"/>
      <c r="V48" s="217"/>
      <c r="W48" s="217"/>
      <c r="X48" s="217"/>
      <c r="Y48" s="217"/>
      <c r="Z48" s="217"/>
      <c r="AA48" s="217"/>
      <c r="AB48" s="217"/>
      <c r="AC48" s="217"/>
      <c r="AD48" s="217"/>
      <c r="AE48" s="217"/>
      <c r="AF48" s="217"/>
      <c r="AG48" s="217"/>
      <c r="AH48" s="217"/>
      <c r="AI48" s="217"/>
      <c r="AJ48" s="217"/>
      <c r="AK48" s="217"/>
      <c r="AL48" s="217"/>
      <c r="AM48" s="217"/>
      <c r="AN48" s="217"/>
      <c r="AO48" s="217"/>
    </row>
    <row r="49" spans="1:41" ht="15.75" customHeight="1">
      <c r="A49" s="134" t="s">
        <v>625</v>
      </c>
      <c r="B49" s="163">
        <f>('Pivot Table for Data Exchange'!$C$259)*100</f>
        <v>48.131057754322256</v>
      </c>
      <c r="C49" s="163">
        <f>('Pivot Table for Data Exchange'!$C$262)*100</f>
        <v>0.6950513297447285</v>
      </c>
      <c r="D49" s="164">
        <f>SUM(E49:G49)</f>
        <v>51.173890915933029</v>
      </c>
      <c r="E49" s="163">
        <f>('Pivot Table for Data Exchange'!$C$265)*100</f>
        <v>51.131612027153707</v>
      </c>
      <c r="F49" s="163">
        <f>('Pivot Table for Data Exchange'!$C$268)*100</f>
        <v>4.2278888779318936E-2</v>
      </c>
      <c r="G49" s="171">
        <f>('Pivot Table for Data Exchange'!$C$271)*100</f>
        <v>0</v>
      </c>
      <c r="H49" s="163">
        <f>('Pivot Table for Data Exchange'!$C$274)*100</f>
        <v>0</v>
      </c>
      <c r="I49" s="169" t="s">
        <v>625</v>
      </c>
      <c r="J49" s="163">
        <f>('Pivot Table for Data Exchange'!$C$277)*100</f>
        <v>58.210016072331896</v>
      </c>
      <c r="K49" s="163">
        <f>('Pivot Table for Data Exchange'!$C$280)*100</f>
        <v>7.6180291863301939</v>
      </c>
      <c r="L49" s="164">
        <f>SUM(M49:O49)</f>
        <v>34.171954741337913</v>
      </c>
      <c r="M49" s="163">
        <f>('Pivot Table for Data Exchange'!$C$283)*100</f>
        <v>34.124570177179855</v>
      </c>
      <c r="N49" s="163">
        <f>('Pivot Table for Data Exchange'!$C$286)*100</f>
        <v>4.7384564158059535E-2</v>
      </c>
      <c r="O49" s="171">
        <f>('Pivot Table for Data Exchange'!$C$289)*100</f>
        <v>0</v>
      </c>
      <c r="P49" s="163">
        <f>('Pivot Table for Data Exchange'!$C$292)*100</f>
        <v>0</v>
      </c>
      <c r="Q49" s="168">
        <f t="shared" si="4"/>
        <v>100.00000000000001</v>
      </c>
      <c r="R49" s="168">
        <f t="shared" si="5"/>
        <v>100</v>
      </c>
      <c r="S49" s="217"/>
      <c r="U49" s="217"/>
      <c r="V49" s="217"/>
      <c r="W49" s="217"/>
      <c r="X49" s="217"/>
      <c r="Y49" s="217"/>
      <c r="Z49" s="217"/>
      <c r="AA49" s="217"/>
      <c r="AB49" s="217"/>
      <c r="AC49" s="217"/>
      <c r="AD49" s="217"/>
      <c r="AE49" s="217"/>
      <c r="AF49" s="217"/>
      <c r="AG49" s="217"/>
      <c r="AH49" s="217"/>
      <c r="AI49" s="217"/>
      <c r="AJ49" s="217"/>
      <c r="AK49" s="217"/>
      <c r="AL49" s="217"/>
      <c r="AM49" s="217"/>
      <c r="AN49" s="217"/>
      <c r="AO49" s="217"/>
    </row>
    <row r="50" spans="1:41" ht="12" customHeight="1">
      <c r="B50" s="163"/>
      <c r="C50" s="163"/>
      <c r="D50" s="164"/>
      <c r="E50" s="163"/>
      <c r="F50" s="163"/>
      <c r="G50" s="171"/>
      <c r="H50" s="163"/>
      <c r="I50" s="169"/>
      <c r="J50" s="163"/>
      <c r="K50" s="163"/>
      <c r="L50" s="164"/>
      <c r="M50" s="163"/>
      <c r="N50" s="163"/>
      <c r="O50" s="171"/>
      <c r="P50" s="163"/>
      <c r="Q50" s="168">
        <f t="shared" si="4"/>
        <v>0</v>
      </c>
      <c r="R50" s="168">
        <f t="shared" si="5"/>
        <v>0</v>
      </c>
      <c r="S50" s="217"/>
      <c r="U50" s="217"/>
      <c r="V50" s="217"/>
      <c r="W50" s="217"/>
      <c r="X50" s="217"/>
      <c r="Y50" s="217"/>
      <c r="Z50" s="217"/>
      <c r="AA50" s="217"/>
      <c r="AB50" s="217"/>
      <c r="AC50" s="217"/>
      <c r="AD50" s="217"/>
      <c r="AE50" s="217"/>
      <c r="AF50" s="217"/>
      <c r="AG50" s="217"/>
      <c r="AH50" s="217"/>
      <c r="AI50" s="217"/>
      <c r="AJ50" s="217"/>
      <c r="AK50" s="217"/>
      <c r="AL50" s="217"/>
      <c r="AM50" s="217"/>
      <c r="AN50" s="217"/>
      <c r="AO50" s="217"/>
    </row>
    <row r="51" spans="1:41" ht="15.75" customHeight="1">
      <c r="A51" s="134" t="s">
        <v>626</v>
      </c>
      <c r="B51" s="163">
        <f>('Pivot Table for Data Exchange'!$C$295)*100</f>
        <v>51.211745882352943</v>
      </c>
      <c r="C51" s="163">
        <f>('Pivot Table for Data Exchange'!$C$298)*100</f>
        <v>2.9531105882352944</v>
      </c>
      <c r="D51" s="164">
        <f>SUM(E51:G51)</f>
        <v>45.539011764705883</v>
      </c>
      <c r="E51" s="163">
        <f>('Pivot Table for Data Exchange'!$C$301)*100</f>
        <v>45.005176470588239</v>
      </c>
      <c r="F51" s="163">
        <f>('Pivot Table for Data Exchange'!$C$304)*100</f>
        <v>0.53383529411764707</v>
      </c>
      <c r="G51" s="174">
        <f>('Pivot Table for Data Exchange'!$C$307)*100</f>
        <v>0</v>
      </c>
      <c r="H51" s="163">
        <f>('Pivot Table for Data Exchange'!$C$310)*100</f>
        <v>0.29613176470588232</v>
      </c>
      <c r="I51" s="169" t="s">
        <v>626</v>
      </c>
      <c r="J51" s="163">
        <f>('Pivot Table for Data Exchange'!$C$313)*100</f>
        <v>50.147799482231115</v>
      </c>
      <c r="K51" s="163">
        <f>('Pivot Table for Data Exchange'!$C$316)*100</f>
        <v>2.6806307366439164</v>
      </c>
      <c r="L51" s="164">
        <f>SUM(M51:O51)</f>
        <v>47.126382678277238</v>
      </c>
      <c r="M51" s="163">
        <f>('Pivot Table for Data Exchange'!$C$319)*100</f>
        <v>46.527182866556835</v>
      </c>
      <c r="N51" s="163">
        <f>('Pivot Table for Data Exchange'!$C$322)*100</f>
        <v>0.59919981172040482</v>
      </c>
      <c r="O51" s="171">
        <f>('Pivot Table for Data Exchange'!$C$325)*100</f>
        <v>0</v>
      </c>
      <c r="P51" s="175">
        <f>('Pivot Table for Data Exchange'!$C$328)*100</f>
        <v>4.518710284772888E-2</v>
      </c>
      <c r="Q51" s="168">
        <f t="shared" si="4"/>
        <v>100</v>
      </c>
      <c r="R51" s="168">
        <f t="shared" si="5"/>
        <v>100</v>
      </c>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row>
    <row r="52" spans="1:41" ht="15.75" customHeight="1">
      <c r="A52" s="134" t="s">
        <v>627</v>
      </c>
      <c r="B52" s="163">
        <f>('Pivot Table for Data Exchange'!$C$331)*100</f>
        <v>41.449460292078207</v>
      </c>
      <c r="C52" s="163">
        <f>('Pivot Table for Data Exchange'!$C$334)*100</f>
        <v>0.40380127006974842</v>
      </c>
      <c r="D52" s="164">
        <f>SUM(E52:G52)</f>
        <v>58.146738437852044</v>
      </c>
      <c r="E52" s="163">
        <f>('Pivot Table for Data Exchange'!$C$337)*100</f>
        <v>58.145990041758424</v>
      </c>
      <c r="F52" s="175">
        <f>('Pivot Table for Data Exchange'!$C$340)*100</f>
        <v>7.483960936218566E-4</v>
      </c>
      <c r="G52" s="170">
        <f>('Pivot Table for Data Exchange'!$C$343)*100</f>
        <v>0</v>
      </c>
      <c r="H52" s="163">
        <f>('Pivot Table for Data Exchange'!$C$346)*100</f>
        <v>0</v>
      </c>
      <c r="I52" s="169" t="s">
        <v>627</v>
      </c>
      <c r="J52" s="163">
        <f>('Pivot Table for Data Exchange'!$C$349)*100</f>
        <v>46.693258001903438</v>
      </c>
      <c r="K52" s="163">
        <f>('Pivot Table for Data Exchange'!$C$352)*100</f>
        <v>1.2257845268290359</v>
      </c>
      <c r="L52" s="164">
        <f>SUM(M52:O52)</f>
        <v>52.080957471267524</v>
      </c>
      <c r="M52" s="163">
        <f>('Pivot Table for Data Exchange'!$C$355)*100</f>
        <v>52.078209486227557</v>
      </c>
      <c r="N52" s="163">
        <f>('Pivot Table for Data Exchange'!$C$358)*100</f>
        <v>2.7479850399694424E-3</v>
      </c>
      <c r="O52" s="171">
        <f>('Pivot Table for Data Exchange'!$C$361)*100</f>
        <v>0</v>
      </c>
      <c r="P52" s="163">
        <f>('Pivot Table for Data Exchange'!$C$364)*100</f>
        <v>0</v>
      </c>
      <c r="Q52" s="168">
        <f t="shared" si="4"/>
        <v>100</v>
      </c>
      <c r="R52" s="168">
        <f t="shared" si="5"/>
        <v>100</v>
      </c>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row>
    <row r="53" spans="1:41" ht="15.75" customHeight="1">
      <c r="A53" s="134" t="s">
        <v>628</v>
      </c>
      <c r="B53" s="163">
        <f>('Pivot Table for Data Exchange'!$C$367)*100</f>
        <v>0</v>
      </c>
      <c r="C53" s="163">
        <f>('Pivot Table for Data Exchange'!$C$370)*100</f>
        <v>0</v>
      </c>
      <c r="D53" s="164">
        <f>SUM(E53:G53)</f>
        <v>0</v>
      </c>
      <c r="E53" s="163">
        <f>('Pivot Table for Data Exchange'!$C$373)*100</f>
        <v>0</v>
      </c>
      <c r="F53" s="163">
        <f>('Pivot Table for Data Exchange'!$C$376)*100</f>
        <v>0</v>
      </c>
      <c r="G53" s="171">
        <f>('Pivot Table for Data Exchange'!$C$379)*100</f>
        <v>0</v>
      </c>
      <c r="H53" s="163">
        <f>('Pivot Table for Data Exchange'!$C$382)*100</f>
        <v>0</v>
      </c>
      <c r="I53" s="169" t="s">
        <v>628</v>
      </c>
      <c r="J53" s="163">
        <f>('Pivot Table for Data Exchange'!$C$385)*100</f>
        <v>0</v>
      </c>
      <c r="K53" s="163">
        <f>('Pivot Table for Data Exchange'!$C$388)*100</f>
        <v>0</v>
      </c>
      <c r="L53" s="164">
        <f>SUM(M53:O53)</f>
        <v>0</v>
      </c>
      <c r="M53" s="163">
        <f>('Pivot Table for Data Exchange'!$C$391)*100</f>
        <v>0</v>
      </c>
      <c r="N53" s="163">
        <f>('Pivot Table for Data Exchange'!$C$394)*100</f>
        <v>0</v>
      </c>
      <c r="O53" s="171">
        <f>('Pivot Table for Data Exchange'!$C$397)*100</f>
        <v>0</v>
      </c>
      <c r="P53" s="163">
        <f>('Pivot Table for Data Exchange'!$C$400)*100</f>
        <v>0</v>
      </c>
      <c r="Q53" s="168">
        <f t="shared" si="4"/>
        <v>0</v>
      </c>
      <c r="R53" s="168">
        <f t="shared" si="5"/>
        <v>0</v>
      </c>
      <c r="S53" s="217"/>
      <c r="T53" s="221"/>
      <c r="U53" s="217"/>
      <c r="V53" s="217"/>
      <c r="W53" s="217"/>
      <c r="X53" s="217"/>
      <c r="Y53" s="217"/>
      <c r="Z53" s="217"/>
      <c r="AA53" s="217"/>
      <c r="AB53" s="217"/>
      <c r="AC53" s="217"/>
      <c r="AD53" s="217"/>
      <c r="AE53" s="217"/>
      <c r="AF53" s="217"/>
      <c r="AG53" s="217"/>
      <c r="AH53" s="217"/>
      <c r="AI53" s="217"/>
      <c r="AJ53" s="217"/>
      <c r="AK53" s="217"/>
      <c r="AL53" s="217"/>
      <c r="AM53" s="217"/>
      <c r="AN53" s="217"/>
      <c r="AO53" s="217"/>
    </row>
    <row r="54" spans="1:41" ht="15.75" customHeight="1">
      <c r="A54" s="134" t="s">
        <v>629</v>
      </c>
      <c r="B54" s="163">
        <f>('Pivot Table for Data Exchange'!$C$403)*100</f>
        <v>51.661496637515469</v>
      </c>
      <c r="C54" s="163">
        <f>('Pivot Table for Data Exchange'!$C$406)*100</f>
        <v>1.0387007513446231</v>
      </c>
      <c r="D54" s="164">
        <f>SUM(E54:G54)</f>
        <v>47.299802611139896</v>
      </c>
      <c r="E54" s="163">
        <f>('Pivot Table for Data Exchange'!$C$409)*100</f>
        <v>47.272306996623023</v>
      </c>
      <c r="F54" s="163">
        <f>('Pivot Table for Data Exchange'!$C$412)*100</f>
        <v>2.021736361534983E-3</v>
      </c>
      <c r="G54" s="171">
        <f>('Pivot Table for Data Exchange'!$C$415)*100</f>
        <v>2.5473878155340787E-2</v>
      </c>
      <c r="H54" s="163">
        <f>('Pivot Table for Data Exchange'!$C$418)*100</f>
        <v>0</v>
      </c>
      <c r="I54" s="169" t="s">
        <v>629</v>
      </c>
      <c r="J54" s="163">
        <f>('Pivot Table for Data Exchange'!$C$421)*100</f>
        <v>50.917023599258691</v>
      </c>
      <c r="K54" s="163">
        <f>('Pivot Table for Data Exchange'!$C$424)*100</f>
        <v>7.4486180271208315</v>
      </c>
      <c r="L54" s="164">
        <f>SUM(M54:O54)</f>
        <v>41.634358373620479</v>
      </c>
      <c r="M54" s="163">
        <f>('Pivot Table for Data Exchange'!$C$427)*100</f>
        <v>39.285675427684431</v>
      </c>
      <c r="N54" s="163">
        <f>('Pivot Table for Data Exchange'!$C$430)*100</f>
        <v>2.3436054967014712</v>
      </c>
      <c r="O54" s="171">
        <f>('Pivot Table for Data Exchange'!$C$433)*100</f>
        <v>5.0774492345745277E-3</v>
      </c>
      <c r="P54" s="163">
        <f>('Pivot Table for Data Exchange'!$C$436)*100</f>
        <v>0</v>
      </c>
      <c r="Q54" s="168">
        <f t="shared" si="4"/>
        <v>99.999999999999986</v>
      </c>
      <c r="R54" s="168">
        <f t="shared" si="5"/>
        <v>100</v>
      </c>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row>
    <row r="55" spans="1:41" ht="14.25" customHeight="1">
      <c r="B55" s="163"/>
      <c r="C55" s="163"/>
      <c r="D55" s="164"/>
      <c r="E55" s="163"/>
      <c r="F55" s="163"/>
      <c r="G55" s="171"/>
      <c r="H55" s="163"/>
      <c r="I55" s="169"/>
      <c r="J55" s="163"/>
      <c r="K55" s="163"/>
      <c r="L55" s="164"/>
      <c r="M55" s="163"/>
      <c r="N55" s="163"/>
      <c r="O55" s="171"/>
      <c r="P55" s="163"/>
      <c r="Q55" s="168">
        <f t="shared" si="4"/>
        <v>0</v>
      </c>
      <c r="R55" s="168">
        <f t="shared" si="5"/>
        <v>0</v>
      </c>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row>
    <row r="56" spans="1:41" ht="15.75" customHeight="1">
      <c r="A56" s="134" t="s">
        <v>630</v>
      </c>
      <c r="B56" s="163">
        <f>('Pivot Table for Data Exchange'!$C$439)*100</f>
        <v>60.666219135238485</v>
      </c>
      <c r="C56" s="163">
        <f>('Pivot Table for Data Exchange'!$C$442)*100</f>
        <v>1.8066356472246958</v>
      </c>
      <c r="D56" s="164">
        <f>SUM(E56:G56)</f>
        <v>37.01655545703025</v>
      </c>
      <c r="E56" s="163">
        <f>('Pivot Table for Data Exchange'!$C$445)*100</f>
        <v>32.959247070047645</v>
      </c>
      <c r="F56" s="190">
        <f>('Pivot Table for Data Exchange'!$C$448)*100</f>
        <v>0</v>
      </c>
      <c r="G56" s="171">
        <f>('Pivot Table for Data Exchange'!$C$451)*100</f>
        <v>4.0573083869826059</v>
      </c>
      <c r="H56" s="163">
        <f>('Pivot Table for Data Exchange'!$C$454)*100</f>
        <v>0.51058976050656968</v>
      </c>
      <c r="I56" s="169" t="s">
        <v>630</v>
      </c>
      <c r="J56" s="163">
        <f>('Pivot Table for Data Exchange'!$C$457)*100</f>
        <v>47.507703569025161</v>
      </c>
      <c r="K56" s="163">
        <f>('Pivot Table for Data Exchange'!$C$460)*100</f>
        <v>0.51711313916010437</v>
      </c>
      <c r="L56" s="164">
        <f>SUM(M56:O56)</f>
        <v>49.113351672353339</v>
      </c>
      <c r="M56" s="163">
        <f>('Pivot Table for Data Exchange'!$C$463)*100</f>
        <v>44.135252240233292</v>
      </c>
      <c r="N56" s="163">
        <f>('Pivot Table for Data Exchange'!$C$466)*100</f>
        <v>9.9172382852622754E-2</v>
      </c>
      <c r="O56" s="171">
        <f>('Pivot Table for Data Exchange'!$C$469)*100</f>
        <v>4.878927049267423</v>
      </c>
      <c r="P56" s="163">
        <f>('Pivot Table for Data Exchange'!$C$472)*100</f>
        <v>2.8618316194613995</v>
      </c>
      <c r="Q56" s="168">
        <f t="shared" si="4"/>
        <v>100</v>
      </c>
      <c r="R56" s="168">
        <f t="shared" si="5"/>
        <v>100</v>
      </c>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row>
    <row r="57" spans="1:41" ht="15.75" customHeight="1">
      <c r="A57" s="134" t="s">
        <v>631</v>
      </c>
      <c r="B57" s="163">
        <f>('Pivot Table for Data Exchange'!$C$475)*100</f>
        <v>45.887866664582546</v>
      </c>
      <c r="C57" s="163">
        <f>('Pivot Table for Data Exchange'!$C$478)*100</f>
        <v>0.5794676334789749</v>
      </c>
      <c r="D57" s="164">
        <f>SUM(E57:G57)</f>
        <v>53.532665701938477</v>
      </c>
      <c r="E57" s="163">
        <f>('Pivot Table for Data Exchange'!$C$481)*100</f>
        <v>49.890186070783848</v>
      </c>
      <c r="F57" s="163">
        <f>('Pivot Table for Data Exchange'!$C$484)*100</f>
        <v>3.233059737735434</v>
      </c>
      <c r="G57" s="171">
        <f>('Pivot Table for Data Exchange'!$C$487)*100</f>
        <v>0.40941989341919904</v>
      </c>
      <c r="H57" s="163">
        <f>('Pivot Table for Data Exchange'!$C$490)*100</f>
        <v>0</v>
      </c>
      <c r="I57" s="169" t="s">
        <v>631</v>
      </c>
      <c r="J57" s="163">
        <f>('Pivot Table for Data Exchange'!$C$493)*100</f>
        <v>49.86326344576117</v>
      </c>
      <c r="K57" s="163">
        <f>('Pivot Table for Data Exchange'!$C$496)*100</f>
        <v>0.97415515813040598</v>
      </c>
      <c r="L57" s="164">
        <f>SUM(M57:O57)</f>
        <v>49.162581396108429</v>
      </c>
      <c r="M57" s="163">
        <f>('Pivot Table for Data Exchange'!$C$499)*100</f>
        <v>46.646020090326296</v>
      </c>
      <c r="N57" s="163">
        <f>('Pivot Table for Data Exchange'!$C$502)*100</f>
        <v>2.0747285311732622</v>
      </c>
      <c r="O57" s="171">
        <f>('Pivot Table for Data Exchange'!$C$505)*100</f>
        <v>0.44183277460886811</v>
      </c>
      <c r="P57" s="163">
        <f>('Pivot Table for Data Exchange'!$C$508)*100</f>
        <v>0</v>
      </c>
      <c r="Q57" s="168">
        <f t="shared" si="4"/>
        <v>100</v>
      </c>
      <c r="R57" s="168">
        <f t="shared" si="5"/>
        <v>100</v>
      </c>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row>
    <row r="58" spans="1:41" ht="15.75" customHeight="1">
      <c r="A58" s="134" t="s">
        <v>632</v>
      </c>
      <c r="B58" s="163">
        <f>('Pivot Table for Data Exchange'!$C$511)*100</f>
        <v>42.353943887484903</v>
      </c>
      <c r="C58" s="163">
        <f>('Pivot Table for Data Exchange'!$C$514)*100</f>
        <v>0.44449386805090524</v>
      </c>
      <c r="D58" s="164">
        <f>SUM(E58:G58)</f>
        <v>57.201562244464192</v>
      </c>
      <c r="E58" s="163">
        <f>('Pivot Table for Data Exchange'!$C$517)*100</f>
        <v>34.032036813237326</v>
      </c>
      <c r="F58" s="163">
        <f>('Pivot Table for Data Exchange'!$C$520)*100</f>
        <v>23.169434405485092</v>
      </c>
      <c r="G58" s="171">
        <f>('Pivot Table for Data Exchange'!$C$523)*100</f>
        <v>9.1025741776355214E-5</v>
      </c>
      <c r="H58" s="163">
        <f>('Pivot Table for Data Exchange'!$C$526)*100</f>
        <v>0</v>
      </c>
      <c r="I58" s="169" t="s">
        <v>632</v>
      </c>
      <c r="J58" s="163">
        <f>('Pivot Table for Data Exchange'!$C$529)*100</f>
        <v>44.770818060186883</v>
      </c>
      <c r="K58" s="163">
        <f>('Pivot Table for Data Exchange'!$C$532)*100</f>
        <v>1.9917623045341886</v>
      </c>
      <c r="L58" s="164">
        <f>SUM(M58:O58)</f>
        <v>53.237419635278926</v>
      </c>
      <c r="M58" s="163">
        <f>('Pivot Table for Data Exchange'!$C$535)*100</f>
        <v>32.722141614718581</v>
      </c>
      <c r="N58" s="163">
        <f>('Pivot Table for Data Exchange'!$C$538)*100</f>
        <v>20.323725347230763</v>
      </c>
      <c r="O58" s="171">
        <f>('Pivot Table for Data Exchange'!$C$541)*100</f>
        <v>0.19155267332958026</v>
      </c>
      <c r="P58" s="163">
        <f>('Pivot Table for Data Exchange'!$C$544)*100</f>
        <v>0</v>
      </c>
      <c r="Q58" s="168">
        <f t="shared" si="4"/>
        <v>100</v>
      </c>
      <c r="R58" s="168">
        <f t="shared" si="5"/>
        <v>100</v>
      </c>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row>
    <row r="59" spans="1:41" ht="15.75" customHeight="1">
      <c r="A59" s="140" t="s">
        <v>633</v>
      </c>
      <c r="B59" s="176">
        <f>('Pivot Table for Data Exchange'!$C$547)*100</f>
        <v>50.743857633273763</v>
      </c>
      <c r="C59" s="176">
        <f>('Pivot Table for Data Exchange'!$C$550)*100</f>
        <v>0.2227139898431072</v>
      </c>
      <c r="D59" s="177">
        <f>SUM(E59:G59)</f>
        <v>49.033428376883137</v>
      </c>
      <c r="E59" s="176">
        <f>('Pivot Table for Data Exchange'!$C$553)*100</f>
        <v>49.011618010043406</v>
      </c>
      <c r="F59" s="191">
        <f>('Pivot Table for Data Exchange'!$C$556)*100</f>
        <v>0</v>
      </c>
      <c r="G59" s="178">
        <f>('Pivot Table for Data Exchange'!$C$559)*100</f>
        <v>2.1810366839731039E-2</v>
      </c>
      <c r="H59" s="176">
        <f>('Pivot Table for Data Exchange'!$C$562)*100</f>
        <v>0</v>
      </c>
      <c r="I59" s="179" t="s">
        <v>633</v>
      </c>
      <c r="J59" s="176">
        <f>('Pivot Table for Data Exchange'!$C$565)*100</f>
        <v>54.165469057463135</v>
      </c>
      <c r="K59" s="176">
        <f>('Pivot Table for Data Exchange'!$C$568)*100</f>
        <v>0.12270888146985343</v>
      </c>
      <c r="L59" s="177">
        <f>SUM(M59:O59)</f>
        <v>45.711822061067018</v>
      </c>
      <c r="M59" s="176">
        <f>('Pivot Table for Data Exchange'!$C$571)*100</f>
        <v>45.575847354573398</v>
      </c>
      <c r="N59" s="176">
        <f>('Pivot Table for Data Exchange'!$C$574)*100</f>
        <v>0</v>
      </c>
      <c r="O59" s="178">
        <f>('Pivot Table for Data Exchange'!$C$577)*100</f>
        <v>0.13597470649362134</v>
      </c>
      <c r="P59" s="176">
        <f>('Pivot Table for Data Exchange'!$C$580)*100</f>
        <v>0</v>
      </c>
      <c r="Q59" s="168">
        <f t="shared" si="4"/>
        <v>100</v>
      </c>
      <c r="R59" s="168">
        <f t="shared" si="5"/>
        <v>100</v>
      </c>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row>
    <row r="60" spans="1:41" s="207" customFormat="1" ht="12" customHeight="1">
      <c r="A60" s="182" t="s">
        <v>658</v>
      </c>
      <c r="B60" s="183"/>
      <c r="C60" s="183"/>
      <c r="D60" s="184"/>
      <c r="E60" s="183"/>
      <c r="F60" s="184"/>
      <c r="G60" s="184"/>
      <c r="H60" s="183"/>
      <c r="I60" s="182" t="s">
        <v>658</v>
      </c>
      <c r="J60" s="183"/>
      <c r="K60" s="183"/>
      <c r="L60" s="184"/>
      <c r="M60" s="183"/>
      <c r="N60" s="184"/>
      <c r="O60" s="184"/>
      <c r="P60" s="183"/>
      <c r="Q60" s="168">
        <f t="shared" si="4"/>
        <v>0</v>
      </c>
      <c r="R60" s="168">
        <f t="shared" si="5"/>
        <v>0</v>
      </c>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row>
    <row r="61" spans="1:41" s="207" customFormat="1" ht="24" customHeight="1">
      <c r="A61" s="633" t="s">
        <v>659</v>
      </c>
      <c r="B61" s="633"/>
      <c r="C61" s="633"/>
      <c r="D61" s="633"/>
      <c r="E61" s="633"/>
      <c r="F61" s="633"/>
      <c r="G61" s="633"/>
      <c r="H61" s="633"/>
      <c r="I61" s="633" t="s">
        <v>659</v>
      </c>
      <c r="J61" s="633"/>
      <c r="K61" s="633"/>
      <c r="L61" s="633"/>
      <c r="M61" s="633"/>
      <c r="N61" s="633"/>
      <c r="O61" s="633"/>
      <c r="P61" s="633"/>
      <c r="Q61" s="168">
        <f t="shared" si="4"/>
        <v>0</v>
      </c>
      <c r="R61" s="168">
        <f t="shared" si="5"/>
        <v>0</v>
      </c>
    </row>
    <row r="62" spans="1:41" s="207" customFormat="1" ht="13.5" customHeight="1">
      <c r="A62" s="646"/>
      <c r="B62" s="646"/>
      <c r="C62" s="646"/>
      <c r="D62" s="646"/>
      <c r="E62" s="646"/>
      <c r="F62" s="646"/>
      <c r="G62" s="646"/>
      <c r="H62" s="646"/>
      <c r="I62" s="646"/>
      <c r="J62" s="646"/>
      <c r="K62" s="646"/>
      <c r="L62" s="646"/>
      <c r="M62" s="646"/>
      <c r="N62" s="646"/>
      <c r="O62" s="646"/>
      <c r="P62" s="646"/>
      <c r="Q62" s="168">
        <f t="shared" si="4"/>
        <v>0</v>
      </c>
      <c r="R62" s="168">
        <f t="shared" si="5"/>
        <v>0</v>
      </c>
    </row>
    <row r="63" spans="1:41" s="207" customFormat="1" ht="13.5" customHeight="1">
      <c r="A63" s="181"/>
      <c r="B63" s="181"/>
      <c r="C63" s="181"/>
      <c r="D63" s="181"/>
      <c r="E63" s="181"/>
      <c r="F63" s="181"/>
      <c r="G63" s="181"/>
      <c r="H63" s="187" t="s">
        <v>992</v>
      </c>
      <c r="I63" s="181"/>
      <c r="J63" s="181"/>
      <c r="K63" s="181"/>
      <c r="L63" s="181"/>
      <c r="M63" s="181"/>
      <c r="N63" s="181"/>
      <c r="O63" s="181"/>
      <c r="P63" s="187" t="s">
        <v>992</v>
      </c>
      <c r="Q63" s="168">
        <f t="shared" si="4"/>
        <v>0</v>
      </c>
      <c r="R63" s="168">
        <f t="shared" si="5"/>
        <v>0</v>
      </c>
    </row>
    <row r="64" spans="1:41" ht="18">
      <c r="A64" s="129" t="s">
        <v>660</v>
      </c>
      <c r="B64" s="130"/>
      <c r="C64" s="130"/>
      <c r="D64" s="130"/>
      <c r="E64" s="130"/>
      <c r="F64" s="130"/>
      <c r="G64" s="130"/>
      <c r="H64" s="130"/>
      <c r="I64" s="129" t="s">
        <v>661</v>
      </c>
      <c r="J64" s="131"/>
      <c r="K64" s="131"/>
      <c r="L64" s="130"/>
      <c r="M64" s="131"/>
      <c r="N64" s="131"/>
      <c r="O64" s="131"/>
      <c r="P64" s="131"/>
      <c r="Q64" s="168">
        <f t="shared" si="4"/>
        <v>0</v>
      </c>
      <c r="R64" s="168">
        <f t="shared" si="5"/>
        <v>0</v>
      </c>
    </row>
    <row r="65" spans="1:41">
      <c r="A65" s="135"/>
      <c r="B65" s="131"/>
      <c r="C65" s="131"/>
      <c r="D65" s="131"/>
      <c r="E65" s="131"/>
      <c r="F65" s="131"/>
      <c r="G65" s="131"/>
      <c r="H65" s="131"/>
      <c r="I65" s="135"/>
      <c r="J65" s="131"/>
      <c r="K65" s="131"/>
      <c r="L65" s="131"/>
      <c r="M65" s="131"/>
      <c r="N65" s="131"/>
      <c r="O65" s="131"/>
      <c r="P65" s="131"/>
      <c r="Q65" s="168">
        <f t="shared" si="4"/>
        <v>0</v>
      </c>
      <c r="R65" s="168">
        <f t="shared" si="5"/>
        <v>0</v>
      </c>
    </row>
    <row r="66" spans="1:41" ht="15.75">
      <c r="A66" s="137" t="s">
        <v>639</v>
      </c>
      <c r="B66" s="131"/>
      <c r="C66" s="131"/>
      <c r="D66" s="131"/>
      <c r="E66" s="131"/>
      <c r="F66" s="131"/>
      <c r="G66" s="131"/>
      <c r="H66" s="131"/>
      <c r="I66" s="137" t="s">
        <v>640</v>
      </c>
      <c r="J66" s="131"/>
      <c r="K66" s="131"/>
      <c r="L66" s="131"/>
      <c r="M66" s="131"/>
      <c r="N66" s="131"/>
      <c r="O66" s="131"/>
      <c r="P66" s="131"/>
      <c r="Q66" s="168">
        <f t="shared" si="4"/>
        <v>0</v>
      </c>
      <c r="R66" s="168">
        <f t="shared" si="5"/>
        <v>0</v>
      </c>
    </row>
    <row r="67" spans="1:41" ht="15.75">
      <c r="A67" s="137" t="s">
        <v>963</v>
      </c>
      <c r="B67" s="131"/>
      <c r="C67" s="131"/>
      <c r="D67" s="131"/>
      <c r="E67" s="131"/>
      <c r="F67" s="131"/>
      <c r="G67" s="131"/>
      <c r="H67" s="131"/>
      <c r="I67" s="137" t="s">
        <v>963</v>
      </c>
      <c r="J67" s="131"/>
      <c r="K67" s="131"/>
      <c r="L67" s="131"/>
      <c r="M67" s="131"/>
      <c r="N67" s="131"/>
      <c r="O67" s="131"/>
      <c r="P67" s="131"/>
      <c r="Q67" s="168">
        <f t="shared" si="4"/>
        <v>0</v>
      </c>
      <c r="R67" s="168">
        <f t="shared" si="5"/>
        <v>0</v>
      </c>
    </row>
    <row r="68" spans="1:41">
      <c r="A68" s="140"/>
      <c r="B68" s="141"/>
      <c r="C68" s="141"/>
      <c r="D68" s="141"/>
      <c r="E68" s="141"/>
      <c r="F68" s="141"/>
      <c r="G68" s="141"/>
      <c r="H68" s="141"/>
      <c r="I68" s="142"/>
      <c r="L68" s="143"/>
      <c r="P68" s="140"/>
      <c r="Q68" s="168">
        <f t="shared" si="4"/>
        <v>0</v>
      </c>
      <c r="R68" s="168">
        <f t="shared" si="5"/>
        <v>0</v>
      </c>
    </row>
    <row r="69" spans="1:41" s="161" customFormat="1">
      <c r="A69" s="145"/>
      <c r="B69" s="146" t="s">
        <v>641</v>
      </c>
      <c r="C69" s="146"/>
      <c r="D69" s="146"/>
      <c r="E69" s="146"/>
      <c r="F69" s="146"/>
      <c r="G69" s="146"/>
      <c r="H69" s="147"/>
      <c r="I69" s="145"/>
      <c r="J69" s="146" t="s">
        <v>641</v>
      </c>
      <c r="K69" s="146"/>
      <c r="L69" s="146"/>
      <c r="M69" s="146"/>
      <c r="N69" s="146"/>
      <c r="O69" s="146"/>
      <c r="P69" s="147"/>
      <c r="Q69" s="168">
        <f t="shared" si="4"/>
        <v>0</v>
      </c>
      <c r="R69" s="168">
        <f t="shared" si="5"/>
        <v>0</v>
      </c>
    </row>
    <row r="70" spans="1:41" s="161" customFormat="1">
      <c r="A70" s="145"/>
      <c r="B70" s="146" t="s">
        <v>642</v>
      </c>
      <c r="C70" s="146"/>
      <c r="D70" s="639" t="s">
        <v>643</v>
      </c>
      <c r="E70" s="637"/>
      <c r="F70" s="637"/>
      <c r="G70" s="637"/>
      <c r="H70" s="153" t="s">
        <v>533</v>
      </c>
      <c r="I70" s="145"/>
      <c r="J70" s="146" t="s">
        <v>642</v>
      </c>
      <c r="K70" s="146"/>
      <c r="L70" s="639" t="s">
        <v>643</v>
      </c>
      <c r="M70" s="637"/>
      <c r="N70" s="637"/>
      <c r="O70" s="637"/>
      <c r="P70" s="153" t="s">
        <v>533</v>
      </c>
      <c r="Q70" s="168">
        <f t="shared" si="4"/>
        <v>0</v>
      </c>
      <c r="R70" s="168">
        <f t="shared" si="5"/>
        <v>0</v>
      </c>
    </row>
    <row r="71" spans="1:41" s="161" customFormat="1" ht="40.5" customHeight="1">
      <c r="A71" s="145"/>
      <c r="B71" s="154" t="s">
        <v>644</v>
      </c>
      <c r="C71" s="155" t="s">
        <v>645</v>
      </c>
      <c r="D71" s="156" t="s">
        <v>646</v>
      </c>
      <c r="E71" s="157" t="s">
        <v>8</v>
      </c>
      <c r="F71" s="154" t="s">
        <v>647</v>
      </c>
      <c r="G71" s="158" t="s">
        <v>656</v>
      </c>
      <c r="H71" s="159" t="s">
        <v>649</v>
      </c>
      <c r="I71" s="145"/>
      <c r="J71" s="154" t="s">
        <v>644</v>
      </c>
      <c r="K71" s="155" t="s">
        <v>645</v>
      </c>
      <c r="L71" s="156" t="s">
        <v>646</v>
      </c>
      <c r="M71" s="157" t="s">
        <v>8</v>
      </c>
      <c r="N71" s="154" t="s">
        <v>647</v>
      </c>
      <c r="O71" s="158" t="s">
        <v>656</v>
      </c>
      <c r="P71" s="159" t="s">
        <v>649</v>
      </c>
      <c r="Q71" s="168">
        <f t="shared" si="4"/>
        <v>0</v>
      </c>
      <c r="R71" s="168">
        <f t="shared" si="5"/>
        <v>0</v>
      </c>
      <c r="T71" s="160"/>
    </row>
    <row r="72" spans="1:41" ht="15.75" customHeight="1">
      <c r="A72" s="189" t="s">
        <v>618</v>
      </c>
      <c r="B72" s="216">
        <f>('Pivot Table for Data Exchange'!$D$7)*100</f>
        <v>61.264837798271223</v>
      </c>
      <c r="C72" s="175">
        <f>('Pivot Table for Data Exchange'!$D$10)*100</f>
        <v>4.6623089618902866E-3</v>
      </c>
      <c r="D72" s="164">
        <f>SUM(E72:G72)</f>
        <v>38.730499892766893</v>
      </c>
      <c r="E72" s="163">
        <f>('Pivot Table for Data Exchange'!$D$13)*100</f>
        <v>38.730499892766893</v>
      </c>
      <c r="F72" s="175">
        <f>('Pivot Table for Data Exchange'!$D$16)*100</f>
        <v>0</v>
      </c>
      <c r="G72" s="167">
        <f>('Pivot Table for Data Exchange'!$D$19)*100</f>
        <v>0</v>
      </c>
      <c r="H72" s="163">
        <f>('Pivot Table for Data Exchange'!$D$22)*100</f>
        <v>0</v>
      </c>
      <c r="I72" s="166" t="s">
        <v>618</v>
      </c>
      <c r="J72" s="163">
        <f>('Pivot Table for Data Exchange'!$D$25)*100</f>
        <v>50.164997724169325</v>
      </c>
      <c r="K72" s="163">
        <f>('Pivot Table for Data Exchange'!$D$28)*100</f>
        <v>0</v>
      </c>
      <c r="L72" s="164">
        <f>SUM(M72:O72)</f>
        <v>49.835002275830675</v>
      </c>
      <c r="M72" s="163">
        <f>('Pivot Table for Data Exchange'!$D$31)*100</f>
        <v>49.835002275830675</v>
      </c>
      <c r="N72" s="163">
        <f>('Pivot Table for Data Exchange'!$D$34)*100</f>
        <v>0</v>
      </c>
      <c r="O72" s="167">
        <f>('Pivot Table for Data Exchange'!$D$37)*100</f>
        <v>0</v>
      </c>
      <c r="P72" s="163">
        <f>('Pivot Table for Data Exchange'!$D$40)*100</f>
        <v>0</v>
      </c>
      <c r="Q72" s="168">
        <f t="shared" si="4"/>
        <v>100</v>
      </c>
      <c r="R72" s="168">
        <f t="shared" si="5"/>
        <v>100</v>
      </c>
      <c r="S72" s="217"/>
      <c r="T72" s="217"/>
      <c r="U72" s="217"/>
      <c r="V72" s="217"/>
      <c r="W72" s="217"/>
      <c r="X72" s="217"/>
      <c r="Y72" s="217"/>
      <c r="Z72" s="217"/>
      <c r="AA72" s="217"/>
      <c r="AB72" s="217"/>
      <c r="AC72" s="217"/>
      <c r="AD72" s="217"/>
      <c r="AE72" s="217"/>
      <c r="AF72" s="217"/>
      <c r="AG72" s="217"/>
      <c r="AH72" s="217"/>
      <c r="AI72" s="217"/>
      <c r="AJ72" s="217"/>
      <c r="AK72" s="217"/>
      <c r="AL72" s="217"/>
      <c r="AM72" s="217"/>
      <c r="AN72" s="217"/>
      <c r="AO72" s="217"/>
    </row>
    <row r="73" spans="1:41" ht="15.75" customHeight="1">
      <c r="A73" s="134" t="s">
        <v>619</v>
      </c>
      <c r="B73" s="163">
        <f>('Pivot Table for Data Exchange'!$D$43)*100</f>
        <v>5.2752176791078975</v>
      </c>
      <c r="C73" s="163">
        <f>('Pivot Table for Data Exchange'!$D$46)*100</f>
        <v>5.6857528387392433</v>
      </c>
      <c r="D73" s="164">
        <f>SUM(E73:G73)</f>
        <v>89.039029482152856</v>
      </c>
      <c r="E73" s="163">
        <f>('Pivot Table for Data Exchange'!$D$49)*100</f>
        <v>89.039029482152856</v>
      </c>
      <c r="F73" s="163">
        <f>('Pivot Table for Data Exchange'!$D$52)*100</f>
        <v>0</v>
      </c>
      <c r="G73" s="171">
        <f>('Pivot Table for Data Exchange'!$D$55)*100</f>
        <v>0</v>
      </c>
      <c r="H73" s="163">
        <f>('Pivot Table for Data Exchange'!$D$58)*100</f>
        <v>0</v>
      </c>
      <c r="I73" s="169" t="s">
        <v>619</v>
      </c>
      <c r="J73" s="163">
        <f>('Pivot Table for Data Exchange'!$D$61)*100</f>
        <v>13.071966801354154</v>
      </c>
      <c r="K73" s="163">
        <f>('Pivot Table for Data Exchange'!$D$64)*100</f>
        <v>35.366386371082228</v>
      </c>
      <c r="L73" s="164">
        <f>SUM(M73:O73)</f>
        <v>51.561646827563614</v>
      </c>
      <c r="M73" s="163">
        <f>('Pivot Table for Data Exchange'!$D$67)*100</f>
        <v>51.561646827563614</v>
      </c>
      <c r="N73" s="163">
        <f>('Pivot Table for Data Exchange'!$D$70)*100</f>
        <v>0</v>
      </c>
      <c r="O73" s="171">
        <f>('Pivot Table for Data Exchange'!$D$73)*100</f>
        <v>0</v>
      </c>
      <c r="P73" s="163">
        <f>('Pivot Table for Data Exchange'!$D$76)*100</f>
        <v>0</v>
      </c>
      <c r="Q73" s="168">
        <f t="shared" si="4"/>
        <v>100</v>
      </c>
      <c r="R73" s="168">
        <f t="shared" si="5"/>
        <v>100</v>
      </c>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row>
    <row r="74" spans="1:41" ht="15.75" customHeight="1">
      <c r="A74" s="134" t="s">
        <v>620</v>
      </c>
      <c r="B74" s="163">
        <f>('Pivot Table for Data Exchange'!$D$79)*100</f>
        <v>0</v>
      </c>
      <c r="C74" s="163">
        <f>('Pivot Table for Data Exchange'!$D$82)*100</f>
        <v>0</v>
      </c>
      <c r="D74" s="164">
        <f t="shared" ref="D73:D75" si="10">SUM(E74:G74)</f>
        <v>0</v>
      </c>
      <c r="E74" s="163">
        <f>('Pivot Table for Data Exchange'!$D$85)*100</f>
        <v>0</v>
      </c>
      <c r="F74" s="163">
        <f>('Pivot Table for Data Exchange'!$D$88)*100</f>
        <v>0</v>
      </c>
      <c r="G74" s="171">
        <f>('Pivot Table for Data Exchange'!$D$91)*100</f>
        <v>0</v>
      </c>
      <c r="H74" s="163">
        <f>('Pivot Table for Data Exchange'!$D$94)*100</f>
        <v>0</v>
      </c>
      <c r="I74" s="169" t="s">
        <v>620</v>
      </c>
      <c r="J74" s="163">
        <f>('Pivot Table for Data Exchange'!$D$97)*100</f>
        <v>0</v>
      </c>
      <c r="K74" s="163">
        <f>('Pivot Table for Data Exchange'!$D$100)*100</f>
        <v>0</v>
      </c>
      <c r="L74" s="164">
        <f t="shared" ref="L73:L75" si="11">SUM(M74:O74)</f>
        <v>0</v>
      </c>
      <c r="M74" s="163">
        <f>('Pivot Table for Data Exchange'!$D$103)*100</f>
        <v>0</v>
      </c>
      <c r="N74" s="163">
        <f>('Pivot Table for Data Exchange'!$D$106)*100</f>
        <v>0</v>
      </c>
      <c r="O74" s="171">
        <f>('Pivot Table for Data Exchange'!$D$109)*100</f>
        <v>0</v>
      </c>
      <c r="P74" s="163">
        <f>('Pivot Table for Data Exchange'!$D$112)*100</f>
        <v>0</v>
      </c>
      <c r="Q74" s="168">
        <f t="shared" si="4"/>
        <v>0</v>
      </c>
      <c r="R74" s="168">
        <f t="shared" si="5"/>
        <v>0</v>
      </c>
      <c r="S74" s="217"/>
      <c r="T74" s="221"/>
      <c r="U74" s="217"/>
      <c r="V74" s="217"/>
      <c r="W74" s="217"/>
      <c r="X74" s="217"/>
      <c r="Y74" s="217"/>
      <c r="Z74" s="217"/>
      <c r="AA74" s="217"/>
      <c r="AB74" s="217"/>
      <c r="AC74" s="217"/>
      <c r="AD74" s="217"/>
      <c r="AE74" s="217"/>
      <c r="AF74" s="217"/>
      <c r="AG74" s="217"/>
      <c r="AH74" s="217"/>
      <c r="AI74" s="217"/>
      <c r="AJ74" s="217"/>
      <c r="AK74" s="217"/>
      <c r="AL74" s="217"/>
      <c r="AM74" s="217"/>
      <c r="AN74" s="217"/>
      <c r="AO74" s="217"/>
    </row>
    <row r="75" spans="1:41" ht="15.75" customHeight="1">
      <c r="A75" s="134" t="s">
        <v>621</v>
      </c>
      <c r="B75" s="163">
        <f>('Pivot Table for Data Exchange'!$D$115)*100</f>
        <v>0</v>
      </c>
      <c r="C75" s="163">
        <f>('Pivot Table for Data Exchange'!$D$118)*100</f>
        <v>0</v>
      </c>
      <c r="D75" s="164">
        <f t="shared" si="10"/>
        <v>0</v>
      </c>
      <c r="E75" s="163">
        <f>('Pivot Table for Data Exchange'!$D$121)*100</f>
        <v>0</v>
      </c>
      <c r="F75" s="175">
        <f>('Pivot Table for Data Exchange'!$D$124)*100</f>
        <v>0</v>
      </c>
      <c r="G75" s="171">
        <f>('Pivot Table for Data Exchange'!$D$127)*100</f>
        <v>0</v>
      </c>
      <c r="H75" s="163">
        <f>('Pivot Table for Data Exchange'!$D$130)*100</f>
        <v>0</v>
      </c>
      <c r="I75" s="169" t="s">
        <v>621</v>
      </c>
      <c r="J75" s="163">
        <f>('Pivot Table for Data Exchange'!$D$133)*100</f>
        <v>0</v>
      </c>
      <c r="K75" s="163">
        <f>('Pivot Table for Data Exchange'!$D$136)*100</f>
        <v>0</v>
      </c>
      <c r="L75" s="164">
        <f t="shared" si="11"/>
        <v>0</v>
      </c>
      <c r="M75" s="163">
        <f>('Pivot Table for Data Exchange'!$D$139)*100</f>
        <v>0</v>
      </c>
      <c r="N75" s="163">
        <f>('Pivot Table for Data Exchange'!$D$142)*100</f>
        <v>0</v>
      </c>
      <c r="O75" s="171">
        <f>('Pivot Table for Data Exchange'!$D$145)*100</f>
        <v>0</v>
      </c>
      <c r="P75" s="163">
        <f>('Pivot Table for Data Exchange'!$D$148)*100</f>
        <v>0</v>
      </c>
      <c r="Q75" s="168">
        <f t="shared" si="4"/>
        <v>0</v>
      </c>
      <c r="R75" s="168">
        <f t="shared" si="5"/>
        <v>0</v>
      </c>
      <c r="S75" s="217"/>
      <c r="U75" s="217"/>
      <c r="V75" s="217"/>
      <c r="W75" s="217"/>
      <c r="X75" s="217"/>
      <c r="Y75" s="217"/>
      <c r="Z75" s="217"/>
      <c r="AA75" s="217"/>
      <c r="AB75" s="217"/>
      <c r="AC75" s="217"/>
      <c r="AD75" s="217"/>
      <c r="AE75" s="217"/>
      <c r="AF75" s="217"/>
      <c r="AG75" s="217"/>
      <c r="AH75" s="217"/>
      <c r="AI75" s="217"/>
      <c r="AJ75" s="217"/>
      <c r="AK75" s="217"/>
      <c r="AL75" s="217"/>
      <c r="AM75" s="217"/>
      <c r="AN75" s="217"/>
      <c r="AO75" s="217"/>
    </row>
    <row r="76" spans="1:41" ht="9" customHeight="1">
      <c r="B76" s="163"/>
      <c r="C76" s="163"/>
      <c r="D76" s="164"/>
      <c r="E76" s="163"/>
      <c r="F76" s="163"/>
      <c r="G76" s="171"/>
      <c r="H76" s="163"/>
      <c r="I76" s="169"/>
      <c r="J76" s="163"/>
      <c r="K76" s="163"/>
      <c r="L76" s="164"/>
      <c r="M76" s="163"/>
      <c r="N76" s="163"/>
      <c r="O76" s="171"/>
      <c r="P76" s="163"/>
      <c r="Q76" s="168">
        <f t="shared" si="4"/>
        <v>0</v>
      </c>
      <c r="R76" s="168">
        <f t="shared" si="5"/>
        <v>0</v>
      </c>
      <c r="S76" s="217"/>
      <c r="U76" s="217"/>
      <c r="V76" s="217"/>
      <c r="W76" s="217"/>
      <c r="X76" s="217"/>
      <c r="Y76" s="217"/>
      <c r="Z76" s="217"/>
      <c r="AA76" s="217"/>
      <c r="AB76" s="217"/>
      <c r="AC76" s="217"/>
      <c r="AD76" s="217"/>
      <c r="AE76" s="217"/>
      <c r="AF76" s="217"/>
      <c r="AG76" s="217"/>
      <c r="AH76" s="217"/>
      <c r="AI76" s="217"/>
      <c r="AJ76" s="217"/>
      <c r="AK76" s="217"/>
      <c r="AL76" s="217"/>
      <c r="AM76" s="217"/>
      <c r="AN76" s="217"/>
      <c r="AO76" s="217"/>
    </row>
    <row r="77" spans="1:41" ht="15.75" customHeight="1">
      <c r="A77" s="134" t="s">
        <v>622</v>
      </c>
      <c r="B77" s="163">
        <f>('Pivot Table for Data Exchange'!$D$151)*100</f>
        <v>41.341367238192205</v>
      </c>
      <c r="C77" s="163">
        <f>('Pivot Table for Data Exchange'!$D$154)*100</f>
        <v>0.99686627637689795</v>
      </c>
      <c r="D77" s="164">
        <f t="shared" ref="D77:D78" si="12">SUM(E77:G77)</f>
        <v>57.661766485430896</v>
      </c>
      <c r="E77" s="163">
        <f>('Pivot Table for Data Exchange'!$D$157)*100</f>
        <v>57.661766485430896</v>
      </c>
      <c r="F77" s="163">
        <f>('Pivot Table for Data Exchange'!$D$160)*100</f>
        <v>0</v>
      </c>
      <c r="G77" s="171">
        <f>('Pivot Table for Data Exchange'!$D$163)*100</f>
        <v>0</v>
      </c>
      <c r="H77" s="163">
        <f>('Pivot Table for Data Exchange'!$D$166)*100</f>
        <v>0</v>
      </c>
      <c r="I77" s="169" t="s">
        <v>622</v>
      </c>
      <c r="J77" s="163">
        <f>('Pivot Table for Data Exchange'!$D$169)*100</f>
        <v>45.191130027280039</v>
      </c>
      <c r="K77" s="163">
        <f>('Pivot Table for Data Exchange'!$D$172)*100</f>
        <v>0.85054843054910967</v>
      </c>
      <c r="L77" s="164">
        <f t="shared" ref="L77:L78" si="13">SUM(M77:O77)</f>
        <v>53.958321542170864</v>
      </c>
      <c r="M77" s="163">
        <f>('Pivot Table for Data Exchange'!$D$175)*100</f>
        <v>53.958321542170864</v>
      </c>
      <c r="N77" s="163">
        <f>('Pivot Table for Data Exchange'!$D$178)*100</f>
        <v>0</v>
      </c>
      <c r="O77" s="171">
        <f>('Pivot Table for Data Exchange'!$D$181)*100</f>
        <v>0</v>
      </c>
      <c r="P77" s="163">
        <f>('Pivot Table for Data Exchange'!$D$184)*100</f>
        <v>0</v>
      </c>
      <c r="Q77" s="168">
        <f t="shared" si="4"/>
        <v>100</v>
      </c>
      <c r="R77" s="168">
        <f t="shared" si="5"/>
        <v>100.00000000000001</v>
      </c>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row>
    <row r="78" spans="1:41" ht="15.75" customHeight="1">
      <c r="A78" s="134" t="s">
        <v>623</v>
      </c>
      <c r="B78" s="163">
        <f>('Pivot Table for Data Exchange'!$D$187)*100</f>
        <v>0</v>
      </c>
      <c r="C78" s="163">
        <f>('Pivot Table for Data Exchange'!$D$190)*100</f>
        <v>0</v>
      </c>
      <c r="D78" s="164">
        <f t="shared" si="12"/>
        <v>0</v>
      </c>
      <c r="E78" s="163">
        <f>('Pivot Table for Data Exchange'!$D$193)*100</f>
        <v>0</v>
      </c>
      <c r="F78" s="163">
        <f>('Pivot Table for Data Exchange'!$D$196)*100</f>
        <v>0</v>
      </c>
      <c r="G78" s="171">
        <f>('Pivot Table for Data Exchange'!$D$199)*100</f>
        <v>0</v>
      </c>
      <c r="H78" s="163">
        <f>('Pivot Table for Data Exchange'!$D$202)*100</f>
        <v>0</v>
      </c>
      <c r="I78" s="169" t="s">
        <v>623</v>
      </c>
      <c r="J78" s="163">
        <f>('Pivot Table for Data Exchange'!$D$205)*100</f>
        <v>0</v>
      </c>
      <c r="K78" s="163">
        <f>('Pivot Table for Data Exchange'!$D$208)*100</f>
        <v>0</v>
      </c>
      <c r="L78" s="164">
        <f t="shared" si="13"/>
        <v>0</v>
      </c>
      <c r="M78" s="163">
        <f>('Pivot Table for Data Exchange'!$D$211)*100</f>
        <v>0</v>
      </c>
      <c r="N78" s="163">
        <f>('Pivot Table for Data Exchange'!$D$214)*100</f>
        <v>0</v>
      </c>
      <c r="O78" s="171">
        <f>('Pivot Table for Data Exchange'!$D$217)*100</f>
        <v>0</v>
      </c>
      <c r="P78" s="163">
        <f>('Pivot Table for Data Exchange'!$D$220)*100</f>
        <v>0</v>
      </c>
      <c r="Q78" s="168">
        <f t="shared" si="4"/>
        <v>0</v>
      </c>
      <c r="R78" s="168">
        <f t="shared" si="5"/>
        <v>0</v>
      </c>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row>
    <row r="79" spans="1:41" ht="15.75" customHeight="1">
      <c r="A79" s="134" t="s">
        <v>624</v>
      </c>
      <c r="B79" s="163">
        <f>('Pivot Table for Data Exchange'!$D$223)*100</f>
        <v>63.855174153387196</v>
      </c>
      <c r="C79" s="163">
        <f>('Pivot Table for Data Exchange'!$D$226)*100</f>
        <v>0</v>
      </c>
      <c r="D79" s="164">
        <f>SUM(E79:G79)</f>
        <v>36.144825846612811</v>
      </c>
      <c r="E79" s="163">
        <f>('Pivot Table for Data Exchange'!$D$229)*100</f>
        <v>36.144825846612811</v>
      </c>
      <c r="F79" s="163">
        <f>('Pivot Table for Data Exchange'!$D$232)*100</f>
        <v>0</v>
      </c>
      <c r="G79" s="171">
        <f>('Pivot Table for Data Exchange'!$D$235)*100</f>
        <v>0</v>
      </c>
      <c r="H79" s="163">
        <f>('Pivot Table for Data Exchange'!$D$238)*100</f>
        <v>0</v>
      </c>
      <c r="I79" s="169" t="s">
        <v>624</v>
      </c>
      <c r="J79" s="163">
        <f>('Pivot Table for Data Exchange'!$D$241)*100</f>
        <v>64.072555978934034</v>
      </c>
      <c r="K79" s="163">
        <f>('Pivot Table for Data Exchange'!$D$244)*100</f>
        <v>0</v>
      </c>
      <c r="L79" s="164">
        <f>SUM(M79:O79)</f>
        <v>35.927444021065966</v>
      </c>
      <c r="M79" s="163">
        <f>('Pivot Table for Data Exchange'!$D$247)*100</f>
        <v>35.927444021065966</v>
      </c>
      <c r="N79" s="163">
        <f>('Pivot Table for Data Exchange'!$D$250)*100</f>
        <v>0</v>
      </c>
      <c r="O79" s="171">
        <f>('Pivot Table for Data Exchange'!$D$253)*100</f>
        <v>0</v>
      </c>
      <c r="P79" s="163">
        <f>('Pivot Table for Data Exchange'!$D$256)*100</f>
        <v>0</v>
      </c>
      <c r="Q79" s="168">
        <f t="shared" si="4"/>
        <v>100</v>
      </c>
      <c r="R79" s="168">
        <f t="shared" si="5"/>
        <v>100</v>
      </c>
      <c r="S79" s="217"/>
      <c r="T79" s="221"/>
      <c r="U79" s="217"/>
      <c r="V79" s="217"/>
      <c r="W79" s="217"/>
      <c r="X79" s="217"/>
      <c r="Y79" s="217"/>
      <c r="Z79" s="217"/>
      <c r="AA79" s="217"/>
      <c r="AB79" s="217"/>
      <c r="AC79" s="217"/>
      <c r="AD79" s="217"/>
      <c r="AE79" s="217"/>
      <c r="AF79" s="217"/>
      <c r="AG79" s="217"/>
      <c r="AH79" s="217"/>
      <c r="AI79" s="217"/>
      <c r="AJ79" s="217"/>
      <c r="AK79" s="217"/>
      <c r="AL79" s="217"/>
      <c r="AM79" s="217"/>
      <c r="AN79" s="217"/>
      <c r="AO79" s="217"/>
    </row>
    <row r="80" spans="1:41" ht="15.75" customHeight="1">
      <c r="A80" s="134" t="s">
        <v>625</v>
      </c>
      <c r="B80" s="163">
        <f>('Pivot Table for Data Exchange'!$D$259)*100</f>
        <v>41.434920843568491</v>
      </c>
      <c r="C80" s="163">
        <f>('Pivot Table for Data Exchange'!$D$262)*100</f>
        <v>0.4873850855645287</v>
      </c>
      <c r="D80" s="164">
        <f>SUM(E80:G80)</f>
        <v>58.077694070866983</v>
      </c>
      <c r="E80" s="163">
        <f>('Pivot Table for Data Exchange'!$D$265)*100</f>
        <v>58.077694070866983</v>
      </c>
      <c r="F80" s="163">
        <f>('Pivot Table for Data Exchange'!$D$268)*100</f>
        <v>0</v>
      </c>
      <c r="G80" s="171">
        <f>('Pivot Table for Data Exchange'!$D$271)*100</f>
        <v>0</v>
      </c>
      <c r="H80" s="163">
        <f>('Pivot Table for Data Exchange'!$D$274)*100</f>
        <v>0</v>
      </c>
      <c r="I80" s="169" t="s">
        <v>625</v>
      </c>
      <c r="J80" s="163">
        <f>('Pivot Table for Data Exchange'!$D$277)*100</f>
        <v>39.458632203809053</v>
      </c>
      <c r="K80" s="163">
        <f>('Pivot Table for Data Exchange'!$D$280)*100</f>
        <v>0.71883502349740291</v>
      </c>
      <c r="L80" s="164">
        <f>SUM(M80:O80)</f>
        <v>59.822532772693549</v>
      </c>
      <c r="M80" s="163">
        <f>('Pivot Table for Data Exchange'!$D$283)*100</f>
        <v>59.822532772693549</v>
      </c>
      <c r="N80" s="163">
        <f>('Pivot Table for Data Exchange'!$D$286)*100</f>
        <v>0</v>
      </c>
      <c r="O80" s="171">
        <f>('Pivot Table for Data Exchange'!$D$289)*100</f>
        <v>0</v>
      </c>
      <c r="P80" s="163">
        <f>('Pivot Table for Data Exchange'!$D$292)*100</f>
        <v>0</v>
      </c>
      <c r="Q80" s="168">
        <f t="shared" si="4"/>
        <v>100</v>
      </c>
      <c r="R80" s="168">
        <f t="shared" si="5"/>
        <v>100</v>
      </c>
      <c r="S80" s="217"/>
      <c r="U80" s="217"/>
      <c r="V80" s="217"/>
      <c r="W80" s="217"/>
      <c r="X80" s="217"/>
      <c r="Y80" s="217"/>
      <c r="Z80" s="217"/>
      <c r="AA80" s="217"/>
      <c r="AB80" s="217"/>
      <c r="AC80" s="217"/>
      <c r="AD80" s="217"/>
      <c r="AE80" s="217"/>
      <c r="AF80" s="217"/>
      <c r="AG80" s="217"/>
      <c r="AH80" s="217"/>
      <c r="AI80" s="217"/>
      <c r="AJ80" s="217"/>
      <c r="AK80" s="217"/>
      <c r="AL80" s="217"/>
      <c r="AM80" s="217"/>
      <c r="AN80" s="217"/>
      <c r="AO80" s="217"/>
    </row>
    <row r="81" spans="1:41" ht="8.25" customHeight="1">
      <c r="B81" s="163"/>
      <c r="C81" s="163"/>
      <c r="D81" s="164"/>
      <c r="E81" s="163"/>
      <c r="F81" s="163"/>
      <c r="G81" s="171"/>
      <c r="H81" s="163"/>
      <c r="I81" s="169"/>
      <c r="J81" s="163"/>
      <c r="K81" s="163"/>
      <c r="L81" s="164"/>
      <c r="M81" s="163"/>
      <c r="N81" s="163"/>
      <c r="O81" s="171"/>
      <c r="P81" s="163"/>
      <c r="Q81" s="168">
        <f t="shared" si="4"/>
        <v>0</v>
      </c>
      <c r="R81" s="168">
        <f t="shared" si="5"/>
        <v>0</v>
      </c>
      <c r="S81" s="217"/>
      <c r="U81" s="217"/>
      <c r="V81" s="217"/>
      <c r="W81" s="217"/>
      <c r="X81" s="217"/>
      <c r="Y81" s="217"/>
      <c r="Z81" s="217"/>
      <c r="AA81" s="217"/>
      <c r="AB81" s="217"/>
      <c r="AC81" s="217"/>
      <c r="AD81" s="217"/>
      <c r="AE81" s="217"/>
      <c r="AF81" s="217"/>
      <c r="AG81" s="217"/>
      <c r="AH81" s="217"/>
      <c r="AI81" s="217"/>
      <c r="AJ81" s="217"/>
      <c r="AK81" s="217"/>
      <c r="AL81" s="217"/>
      <c r="AM81" s="217"/>
      <c r="AN81" s="217"/>
      <c r="AO81" s="217"/>
    </row>
    <row r="82" spans="1:41" ht="15.75" customHeight="1">
      <c r="A82" s="134" t="s">
        <v>626</v>
      </c>
      <c r="B82" s="163">
        <f>('Pivot Table for Data Exchange'!$D$295)*100</f>
        <v>33.869661010114335</v>
      </c>
      <c r="C82" s="163">
        <f>('Pivot Table for Data Exchange'!$D$298)*100</f>
        <v>1.9796100168266852E-2</v>
      </c>
      <c r="D82" s="164">
        <f>SUM(E82:G82)</f>
        <v>66.110542889717394</v>
      </c>
      <c r="E82" s="163">
        <f>('Pivot Table for Data Exchange'!$D$301)*100</f>
        <v>66.110542889717394</v>
      </c>
      <c r="F82" s="163">
        <f>('Pivot Table for Data Exchange'!$D$304)*100</f>
        <v>0</v>
      </c>
      <c r="G82" s="171">
        <f>('Pivot Table for Data Exchange'!$D$307)*100</f>
        <v>0</v>
      </c>
      <c r="H82" s="163">
        <f>('Pivot Table for Data Exchange'!$D$310)*100</f>
        <v>0</v>
      </c>
      <c r="I82" s="169" t="s">
        <v>626</v>
      </c>
      <c r="J82" s="163">
        <f>('Pivot Table for Data Exchange'!$D$313)*100</f>
        <v>23.415285319923793</v>
      </c>
      <c r="K82" s="163">
        <f>('Pivot Table for Data Exchange'!$D$316)*100</f>
        <v>1.6900167187236743</v>
      </c>
      <c r="L82" s="164">
        <f>SUM(M82:O82)</f>
        <v>74.894697961352534</v>
      </c>
      <c r="M82" s="163">
        <f>('Pivot Table for Data Exchange'!$D$319)*100</f>
        <v>74.894697961352534</v>
      </c>
      <c r="N82" s="163">
        <f>('Pivot Table for Data Exchange'!$D$322)*100</f>
        <v>0</v>
      </c>
      <c r="O82" s="171">
        <f>('Pivot Table for Data Exchange'!$D$325)*100</f>
        <v>0</v>
      </c>
      <c r="P82" s="175">
        <f>('Pivot Table for Data Exchange'!$D$328)*100</f>
        <v>0</v>
      </c>
      <c r="Q82" s="168">
        <f t="shared" si="4"/>
        <v>100</v>
      </c>
      <c r="R82" s="168">
        <f t="shared" si="5"/>
        <v>100</v>
      </c>
      <c r="S82" s="217"/>
      <c r="T82" s="217"/>
      <c r="U82" s="217"/>
      <c r="V82" s="217"/>
      <c r="W82" s="217"/>
      <c r="X82" s="217"/>
      <c r="Y82" s="217"/>
      <c r="Z82" s="217"/>
      <c r="AA82" s="217"/>
      <c r="AB82" s="217"/>
      <c r="AC82" s="217"/>
      <c r="AD82" s="217"/>
      <c r="AE82" s="217"/>
      <c r="AF82" s="217"/>
      <c r="AG82" s="217"/>
      <c r="AH82" s="217"/>
      <c r="AI82" s="217"/>
      <c r="AJ82" s="217"/>
      <c r="AK82" s="217"/>
      <c r="AL82" s="217"/>
      <c r="AM82" s="217"/>
      <c r="AN82" s="217"/>
      <c r="AO82" s="217"/>
    </row>
    <row r="83" spans="1:41" ht="15.75" customHeight="1">
      <c r="A83" s="134" t="s">
        <v>627</v>
      </c>
      <c r="B83" s="163">
        <f>('Pivot Table for Data Exchange'!$D$331)*100</f>
        <v>42.694453355864226</v>
      </c>
      <c r="C83" s="163">
        <f>('Pivot Table for Data Exchange'!$D$334)*100</f>
        <v>0.16167609512525927</v>
      </c>
      <c r="D83" s="164">
        <f>SUM(E83:G83)</f>
        <v>57.143870549010508</v>
      </c>
      <c r="E83" s="163">
        <f>('Pivot Table for Data Exchange'!$D$337)*100</f>
        <v>57.105860255526572</v>
      </c>
      <c r="F83" s="175">
        <f>('Pivot Table for Data Exchange'!$D$340)*100</f>
        <v>3.8010293483934567E-2</v>
      </c>
      <c r="G83" s="171">
        <f>('Pivot Table for Data Exchange'!$D$343)*100</f>
        <v>0</v>
      </c>
      <c r="H83" s="163">
        <f>('Pivot Table for Data Exchange'!$D$346)*100</f>
        <v>0</v>
      </c>
      <c r="I83" s="169" t="s">
        <v>627</v>
      </c>
      <c r="J83" s="163">
        <f>('Pivot Table for Data Exchange'!$D$349)*100</f>
        <v>30.807854161198279</v>
      </c>
      <c r="K83" s="163">
        <f>('Pivot Table for Data Exchange'!$D$352)*100</f>
        <v>2.4173814382361156</v>
      </c>
      <c r="L83" s="164">
        <f>SUM(M83:O83)</f>
        <v>66.774764400565616</v>
      </c>
      <c r="M83" s="163">
        <f>('Pivot Table for Data Exchange'!$D$355)*100</f>
        <v>66.718034258232223</v>
      </c>
      <c r="N83" s="175">
        <f>('Pivot Table for Data Exchange'!$D$358)*100</f>
        <v>5.6730142333386954E-2</v>
      </c>
      <c r="O83" s="171">
        <f>('Pivot Table for Data Exchange'!$D$361)*100</f>
        <v>0</v>
      </c>
      <c r="P83" s="163">
        <f>('Pivot Table for Data Exchange'!$D$364)*100</f>
        <v>0</v>
      </c>
      <c r="Q83" s="168">
        <f t="shared" si="4"/>
        <v>100</v>
      </c>
      <c r="R83" s="168">
        <f t="shared" si="5"/>
        <v>100</v>
      </c>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row>
    <row r="84" spans="1:41" ht="15.75" customHeight="1">
      <c r="A84" s="134" t="s">
        <v>628</v>
      </c>
      <c r="B84" s="163">
        <f>('Pivot Table for Data Exchange'!$D$367)*100</f>
        <v>0</v>
      </c>
      <c r="C84" s="163">
        <f>('Pivot Table for Data Exchange'!$D$370)*100</f>
        <v>0</v>
      </c>
      <c r="D84" s="164">
        <f>SUM(E84:G84)</f>
        <v>0</v>
      </c>
      <c r="E84" s="163">
        <f>('Pivot Table for Data Exchange'!$D$373)*100</f>
        <v>0</v>
      </c>
      <c r="F84" s="163">
        <f>('Pivot Table for Data Exchange'!$D$376)*100</f>
        <v>0</v>
      </c>
      <c r="G84" s="171">
        <f>('Pivot Table for Data Exchange'!$D$379)*100</f>
        <v>0</v>
      </c>
      <c r="H84" s="163">
        <f>('Pivot Table for Data Exchange'!$D$382)*100</f>
        <v>0</v>
      </c>
      <c r="I84" s="169" t="s">
        <v>628</v>
      </c>
      <c r="J84" s="163">
        <f>('Pivot Table for Data Exchange'!$D$385)*100</f>
        <v>0</v>
      </c>
      <c r="K84" s="163">
        <f>('Pivot Table for Data Exchange'!$D$388)*100</f>
        <v>0</v>
      </c>
      <c r="L84" s="164">
        <f>SUM(M84:O84)</f>
        <v>0</v>
      </c>
      <c r="M84" s="163">
        <f>('Pivot Table for Data Exchange'!$D$391)*100</f>
        <v>0</v>
      </c>
      <c r="N84" s="163">
        <f>('Pivot Table for Data Exchange'!$D$394)*100</f>
        <v>0</v>
      </c>
      <c r="O84" s="171">
        <f>('Pivot Table for Data Exchange'!$D$397)*100</f>
        <v>0</v>
      </c>
      <c r="P84" s="163">
        <f>('Pivot Table for Data Exchange'!$D$400)*100</f>
        <v>0</v>
      </c>
      <c r="Q84" s="168">
        <f t="shared" si="4"/>
        <v>0</v>
      </c>
      <c r="R84" s="168">
        <f t="shared" si="5"/>
        <v>0</v>
      </c>
      <c r="S84" s="217"/>
      <c r="T84" s="221"/>
      <c r="U84" s="217"/>
      <c r="V84" s="217"/>
      <c r="W84" s="217"/>
      <c r="X84" s="217"/>
      <c r="Y84" s="217"/>
      <c r="Z84" s="217"/>
      <c r="AA84" s="217"/>
      <c r="AB84" s="217"/>
      <c r="AC84" s="217"/>
      <c r="AD84" s="217"/>
      <c r="AE84" s="217"/>
      <c r="AF84" s="217"/>
      <c r="AG84" s="217"/>
      <c r="AH84" s="217"/>
      <c r="AI84" s="217"/>
      <c r="AJ84" s="217"/>
      <c r="AK84" s="217"/>
      <c r="AL84" s="217"/>
      <c r="AM84" s="217"/>
      <c r="AN84" s="217"/>
      <c r="AO84" s="217"/>
    </row>
    <row r="85" spans="1:41" ht="15.75" customHeight="1">
      <c r="A85" s="134" t="s">
        <v>629</v>
      </c>
      <c r="B85" s="163">
        <f>('Pivot Table for Data Exchange'!$D$403)*100</f>
        <v>0</v>
      </c>
      <c r="C85" s="163">
        <f>('Pivot Table for Data Exchange'!$D$406)*100</f>
        <v>0</v>
      </c>
      <c r="D85" s="164">
        <f>SUM(E85:G85)</f>
        <v>0</v>
      </c>
      <c r="E85" s="163">
        <f>('Pivot Table for Data Exchange'!$D$409)*100</f>
        <v>0</v>
      </c>
      <c r="F85" s="163">
        <f>('Pivot Table for Data Exchange'!$D$412)*100</f>
        <v>0</v>
      </c>
      <c r="G85" s="171">
        <f>('Pivot Table for Data Exchange'!$D$415)*100</f>
        <v>0</v>
      </c>
      <c r="H85" s="163">
        <f>('Pivot Table for Data Exchange'!$D$418)*100</f>
        <v>0</v>
      </c>
      <c r="I85" s="169" t="s">
        <v>629</v>
      </c>
      <c r="J85" s="163">
        <f>('Pivot Table for Data Exchange'!$D$421)*100</f>
        <v>0</v>
      </c>
      <c r="K85" s="163">
        <f>('Pivot Table for Data Exchange'!$D$424)*100</f>
        <v>0</v>
      </c>
      <c r="L85" s="164">
        <f>SUM(M85:O85)</f>
        <v>0</v>
      </c>
      <c r="M85" s="163">
        <f>('Pivot Table for Data Exchange'!$D$427)*100</f>
        <v>0</v>
      </c>
      <c r="N85" s="163">
        <f>('Pivot Table for Data Exchange'!$D$430)*100</f>
        <v>0</v>
      </c>
      <c r="O85" s="171">
        <f>('Pivot Table for Data Exchange'!$D$433)*100</f>
        <v>0</v>
      </c>
      <c r="P85" s="163">
        <f>('Pivot Table for Data Exchange'!$D$436)*100</f>
        <v>0</v>
      </c>
      <c r="Q85" s="168">
        <f t="shared" si="4"/>
        <v>0</v>
      </c>
      <c r="R85" s="168">
        <f t="shared" si="5"/>
        <v>0</v>
      </c>
      <c r="S85" s="217"/>
      <c r="T85" s="217"/>
      <c r="U85" s="217"/>
      <c r="V85" s="217"/>
      <c r="W85" s="217"/>
      <c r="X85" s="217"/>
      <c r="Y85" s="217"/>
      <c r="Z85" s="217"/>
      <c r="AA85" s="217"/>
      <c r="AB85" s="217"/>
      <c r="AC85" s="217"/>
      <c r="AD85" s="217"/>
      <c r="AE85" s="217"/>
      <c r="AF85" s="217"/>
      <c r="AG85" s="217"/>
      <c r="AH85" s="217"/>
      <c r="AI85" s="217"/>
      <c r="AJ85" s="217"/>
      <c r="AK85" s="217"/>
      <c r="AL85" s="217"/>
      <c r="AM85" s="217"/>
      <c r="AN85" s="217"/>
      <c r="AO85" s="217"/>
    </row>
    <row r="86" spans="1:41" ht="8.25" customHeight="1">
      <c r="B86" s="163"/>
      <c r="C86" s="163"/>
      <c r="D86" s="164"/>
      <c r="E86" s="163"/>
      <c r="F86" s="163"/>
      <c r="G86" s="171"/>
      <c r="H86" s="163"/>
      <c r="I86" s="169"/>
      <c r="J86" s="163"/>
      <c r="K86" s="163"/>
      <c r="L86" s="164"/>
      <c r="M86" s="163"/>
      <c r="N86" s="163"/>
      <c r="O86" s="171"/>
      <c r="P86" s="163"/>
      <c r="Q86" s="168">
        <f t="shared" si="4"/>
        <v>0</v>
      </c>
      <c r="R86" s="168">
        <f t="shared" si="5"/>
        <v>0</v>
      </c>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7"/>
    </row>
    <row r="87" spans="1:41" ht="15.75" customHeight="1">
      <c r="A87" s="134" t="s">
        <v>630</v>
      </c>
      <c r="B87" s="163">
        <f>('Pivot Table for Data Exchange'!$D$439)*100</f>
        <v>58.705520673356091</v>
      </c>
      <c r="C87" s="163">
        <f>('Pivot Table for Data Exchange'!$D$442)*100</f>
        <v>2.8918006631537247</v>
      </c>
      <c r="D87" s="164">
        <f>SUM(E87:G87)</f>
        <v>37.849688773599752</v>
      </c>
      <c r="E87" s="163">
        <f>('Pivot Table for Data Exchange'!$D$445)*100</f>
        <v>33.125396834010779</v>
      </c>
      <c r="F87" s="163">
        <f>('Pivot Table for Data Exchange'!$D$448)*100</f>
        <v>0.78579917621329454</v>
      </c>
      <c r="G87" s="171">
        <f>('Pivot Table for Data Exchange'!$D$451)*100</f>
        <v>3.9384927633756805</v>
      </c>
      <c r="H87" s="163">
        <f>('Pivot Table for Data Exchange'!$D$454)*100</f>
        <v>0.55298988989043307</v>
      </c>
      <c r="I87" s="169" t="s">
        <v>630</v>
      </c>
      <c r="J87" s="163">
        <f>('Pivot Table for Data Exchange'!$D$457)*100</f>
        <v>33.565497734116001</v>
      </c>
      <c r="K87" s="163">
        <f>('Pivot Table for Data Exchange'!$D$460)*100</f>
        <v>0.65796810527489691</v>
      </c>
      <c r="L87" s="164">
        <f>SUM(M87:O87)</f>
        <v>62.192686314466172</v>
      </c>
      <c r="M87" s="163">
        <f>('Pivot Table for Data Exchange'!$D$463)*100</f>
        <v>56.799172724231269</v>
      </c>
      <c r="N87" s="163">
        <f>('Pivot Table for Data Exchange'!$D$466)*100</f>
        <v>0</v>
      </c>
      <c r="O87" s="171">
        <f>('Pivot Table for Data Exchange'!$D$469)*100</f>
        <v>5.3935135902349014</v>
      </c>
      <c r="P87" s="163">
        <f>('Pivot Table for Data Exchange'!$D$472)*100</f>
        <v>3.5838478461429282</v>
      </c>
      <c r="Q87" s="168">
        <f t="shared" si="4"/>
        <v>100</v>
      </c>
      <c r="R87" s="168">
        <f t="shared" si="5"/>
        <v>100</v>
      </c>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row>
    <row r="88" spans="1:41" ht="15.75" customHeight="1">
      <c r="A88" s="134" t="s">
        <v>631</v>
      </c>
      <c r="B88" s="163">
        <f>('Pivot Table for Data Exchange'!$D$475)*100</f>
        <v>40.573192607734342</v>
      </c>
      <c r="C88" s="163">
        <f>('Pivot Table for Data Exchange'!$D$478)*100</f>
        <v>1.7654666054816237</v>
      </c>
      <c r="D88" s="164">
        <f>SUM(E88:G88)</f>
        <v>57.661340786784024</v>
      </c>
      <c r="E88" s="163">
        <f>('Pivot Table for Data Exchange'!$D$481)*100</f>
        <v>57.272730190005227</v>
      </c>
      <c r="F88" s="163">
        <f>('Pivot Table for Data Exchange'!$D$484)*100</f>
        <v>1.6365929344111314E-2</v>
      </c>
      <c r="G88" s="170">
        <f>('Pivot Table for Data Exchange'!$D$487)*100</f>
        <v>0.3722446674346887</v>
      </c>
      <c r="H88" s="163">
        <f>('Pivot Table for Data Exchange'!$D$490)*100</f>
        <v>0</v>
      </c>
      <c r="I88" s="169" t="s">
        <v>631</v>
      </c>
      <c r="J88" s="163">
        <f>('Pivot Table for Data Exchange'!$D$493)*100</f>
        <v>32.471990971045209</v>
      </c>
      <c r="K88" s="163">
        <f>('Pivot Table for Data Exchange'!$D$496)*100</f>
        <v>3.9910654245299715</v>
      </c>
      <c r="L88" s="164">
        <f>SUM(M88:O88)</f>
        <v>63.53694360442482</v>
      </c>
      <c r="M88" s="163">
        <f>('Pivot Table for Data Exchange'!$D$499)*100</f>
        <v>63.052069856425462</v>
      </c>
      <c r="N88" s="163">
        <f>('Pivot Table for Data Exchange'!$D$502)*100</f>
        <v>0.26386884420727269</v>
      </c>
      <c r="O88" s="170">
        <f>('Pivot Table for Data Exchange'!$D$505)*100</f>
        <v>0.22100490379208235</v>
      </c>
      <c r="P88" s="163">
        <f>('Pivot Table for Data Exchange'!$D$508)*100</f>
        <v>0</v>
      </c>
      <c r="Q88" s="168">
        <f t="shared" si="4"/>
        <v>99.999999999999986</v>
      </c>
      <c r="R88" s="168">
        <f t="shared" si="5"/>
        <v>100</v>
      </c>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row>
    <row r="89" spans="1:41" ht="15.75" customHeight="1">
      <c r="A89" s="134" t="s">
        <v>632</v>
      </c>
      <c r="B89" s="163">
        <f>('Pivot Table for Data Exchange'!$D$511)*100</f>
        <v>52.668814436452259</v>
      </c>
      <c r="C89" s="163">
        <f>('Pivot Table for Data Exchange'!$D$514)*100</f>
        <v>0.79426282146014304</v>
      </c>
      <c r="D89" s="164">
        <f>SUM(E89:G89)</f>
        <v>46.536922742087597</v>
      </c>
      <c r="E89" s="163">
        <f>('Pivot Table for Data Exchange'!$D$517)*100</f>
        <v>40.078566457711418</v>
      </c>
      <c r="F89" s="175">
        <f>('Pivot Table for Data Exchange'!$D$520)*100</f>
        <v>6.4583562843761833</v>
      </c>
      <c r="G89" s="171">
        <f>('Pivot Table for Data Exchange'!$D$523)*100</f>
        <v>0</v>
      </c>
      <c r="H89" s="163">
        <f>('Pivot Table for Data Exchange'!$D$526)*100</f>
        <v>0</v>
      </c>
      <c r="I89" s="169" t="s">
        <v>632</v>
      </c>
      <c r="J89" s="163">
        <f>('Pivot Table for Data Exchange'!$D$529)*100</f>
        <v>34.593743968883153</v>
      </c>
      <c r="K89" s="163">
        <f>('Pivot Table for Data Exchange'!$D$532)*100</f>
        <v>3.3648064846568388</v>
      </c>
      <c r="L89" s="164">
        <f>SUM(M89:O89)</f>
        <v>62.041449546460008</v>
      </c>
      <c r="M89" s="163">
        <f>('Pivot Table for Data Exchange'!$D$535)*100</f>
        <v>57.890556570020337</v>
      </c>
      <c r="N89" s="163">
        <f>('Pivot Table for Data Exchange'!$D$538)*100</f>
        <v>4.1508929764396738</v>
      </c>
      <c r="O89" s="171">
        <f>('Pivot Table for Data Exchange'!$D$541)*100</f>
        <v>0</v>
      </c>
      <c r="P89" s="163">
        <f>('Pivot Table for Data Exchange'!$D$544)*100</f>
        <v>0</v>
      </c>
      <c r="Q89" s="168">
        <f t="shared" si="4"/>
        <v>100</v>
      </c>
      <c r="R89" s="168">
        <f t="shared" si="5"/>
        <v>100</v>
      </c>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row>
    <row r="90" spans="1:41" ht="15.75" customHeight="1">
      <c r="A90" s="140" t="s">
        <v>633</v>
      </c>
      <c r="B90" s="176">
        <f>('Pivot Table for Data Exchange'!$D$547)*100</f>
        <v>0</v>
      </c>
      <c r="C90" s="176">
        <f>('Pivot Table for Data Exchange'!$D$550)*100</f>
        <v>0</v>
      </c>
      <c r="D90" s="177">
        <f>SUM(E90:G90)</f>
        <v>0</v>
      </c>
      <c r="E90" s="176">
        <f>('Pivot Table for Data Exchange'!$D$553)*100</f>
        <v>0</v>
      </c>
      <c r="F90" s="176">
        <f>('Pivot Table for Data Exchange'!$D$556)*100</f>
        <v>0</v>
      </c>
      <c r="G90" s="178">
        <f>('Pivot Table for Data Exchange'!$D$559)*100</f>
        <v>0</v>
      </c>
      <c r="H90" s="176">
        <f>('Pivot Table for Data Exchange'!$D$562)*100</f>
        <v>0</v>
      </c>
      <c r="I90" s="179" t="s">
        <v>633</v>
      </c>
      <c r="J90" s="176">
        <f>('Pivot Table for Data Exchange'!$D$565)*100</f>
        <v>0</v>
      </c>
      <c r="K90" s="176">
        <f>('Pivot Table for Data Exchange'!$D$568)*100</f>
        <v>0</v>
      </c>
      <c r="L90" s="177">
        <f>SUM(M90:O90)</f>
        <v>0</v>
      </c>
      <c r="M90" s="176">
        <f>('Pivot Table for Data Exchange'!$D$571)*100</f>
        <v>0</v>
      </c>
      <c r="N90" s="176">
        <f>('Pivot Table for Data Exchange'!$D$574)*100</f>
        <v>0</v>
      </c>
      <c r="O90" s="178">
        <f>('Pivot Table for Data Exchange'!$D$577)*100</f>
        <v>0</v>
      </c>
      <c r="P90" s="176">
        <f>('Pivot Table for Data Exchange'!$D$580)*100</f>
        <v>0</v>
      </c>
      <c r="Q90" s="168">
        <f t="shared" si="4"/>
        <v>0</v>
      </c>
      <c r="R90" s="168">
        <f t="shared" si="5"/>
        <v>0</v>
      </c>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row>
    <row r="91" spans="1:41" s="207" customFormat="1" ht="18" customHeight="1">
      <c r="A91" s="182" t="s">
        <v>658</v>
      </c>
      <c r="B91" s="183"/>
      <c r="C91" s="183"/>
      <c r="D91" s="184"/>
      <c r="E91" s="183"/>
      <c r="F91" s="184"/>
      <c r="G91" s="184"/>
      <c r="H91" s="183"/>
      <c r="I91" s="182" t="s">
        <v>658</v>
      </c>
      <c r="J91" s="183"/>
      <c r="K91" s="183"/>
      <c r="L91" s="184"/>
      <c r="M91" s="183"/>
      <c r="N91" s="184"/>
      <c r="O91" s="184"/>
      <c r="P91" s="183"/>
      <c r="Q91" s="168">
        <f t="shared" ref="Q91:Q153" si="14">SUM(B91,C91,D91,H91)</f>
        <v>0</v>
      </c>
      <c r="R91" s="168">
        <f t="shared" ref="R91:R153" si="15">SUM(J91,K91,L91,P91)</f>
        <v>0</v>
      </c>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row>
    <row r="92" spans="1:41" s="207" customFormat="1" ht="9.75" customHeight="1">
      <c r="A92" s="186"/>
      <c r="B92" s="195"/>
      <c r="C92" s="195"/>
      <c r="D92" s="195"/>
      <c r="E92" s="195"/>
      <c r="F92" s="195"/>
      <c r="G92" s="195"/>
      <c r="H92" s="195"/>
      <c r="I92" s="186"/>
      <c r="J92" s="195"/>
      <c r="K92" s="195"/>
      <c r="L92" s="195"/>
      <c r="M92" s="195"/>
      <c r="N92" s="195"/>
      <c r="O92" s="195"/>
      <c r="P92" s="195"/>
      <c r="Q92" s="168">
        <f t="shared" si="14"/>
        <v>0</v>
      </c>
      <c r="R92" s="168">
        <f t="shared" si="15"/>
        <v>0</v>
      </c>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row>
    <row r="93" spans="1:41" s="207" customFormat="1" ht="13.5" customHeight="1">
      <c r="A93" s="192"/>
      <c r="B93" s="193"/>
      <c r="C93" s="181"/>
      <c r="D93" s="181"/>
      <c r="E93" s="181"/>
      <c r="F93" s="181"/>
      <c r="G93" s="181"/>
      <c r="H93" s="187" t="s">
        <v>992</v>
      </c>
      <c r="I93" s="192"/>
      <c r="J93" s="181"/>
      <c r="K93" s="181"/>
      <c r="L93" s="181"/>
      <c r="M93" s="181"/>
      <c r="N93" s="181"/>
      <c r="O93" s="181"/>
      <c r="P93" s="187" t="s">
        <v>992</v>
      </c>
      <c r="Q93" s="168">
        <f t="shared" si="14"/>
        <v>0</v>
      </c>
      <c r="R93" s="168">
        <f t="shared" si="15"/>
        <v>0</v>
      </c>
    </row>
    <row r="94" spans="1:41" ht="18">
      <c r="A94" s="129" t="s">
        <v>662</v>
      </c>
      <c r="B94" s="130"/>
      <c r="C94" s="130"/>
      <c r="D94" s="130"/>
      <c r="E94" s="130"/>
      <c r="F94" s="130"/>
      <c r="G94" s="130"/>
      <c r="H94" s="130"/>
      <c r="I94" s="129" t="s">
        <v>663</v>
      </c>
      <c r="J94" s="131"/>
      <c r="K94" s="131"/>
      <c r="L94" s="130"/>
      <c r="M94" s="131"/>
      <c r="N94" s="131"/>
      <c r="O94" s="131"/>
      <c r="P94" s="131"/>
      <c r="Q94" s="168">
        <f t="shared" si="14"/>
        <v>0</v>
      </c>
      <c r="R94" s="168">
        <f t="shared" si="15"/>
        <v>0</v>
      </c>
    </row>
    <row r="95" spans="1:41">
      <c r="A95" s="135"/>
      <c r="B95" s="131"/>
      <c r="C95" s="131"/>
      <c r="D95" s="131"/>
      <c r="E95" s="131"/>
      <c r="F95" s="131"/>
      <c r="G95" s="131"/>
      <c r="H95" s="131"/>
      <c r="I95" s="135"/>
      <c r="J95" s="131"/>
      <c r="K95" s="131"/>
      <c r="L95" s="131"/>
      <c r="M95" s="131"/>
      <c r="N95" s="131"/>
      <c r="O95" s="131"/>
      <c r="P95" s="131"/>
      <c r="Q95" s="168">
        <f t="shared" si="14"/>
        <v>0</v>
      </c>
      <c r="R95" s="168">
        <f t="shared" si="15"/>
        <v>0</v>
      </c>
    </row>
    <row r="96" spans="1:41" ht="15.75">
      <c r="A96" s="137" t="s">
        <v>639</v>
      </c>
      <c r="B96" s="131"/>
      <c r="C96" s="131"/>
      <c r="D96" s="131"/>
      <c r="E96" s="131"/>
      <c r="F96" s="131"/>
      <c r="G96" s="131"/>
      <c r="H96" s="131"/>
      <c r="I96" s="137" t="s">
        <v>640</v>
      </c>
      <c r="J96" s="131"/>
      <c r="K96" s="131"/>
      <c r="L96" s="131"/>
      <c r="M96" s="131"/>
      <c r="N96" s="131"/>
      <c r="O96" s="131"/>
      <c r="P96" s="131"/>
      <c r="Q96" s="168">
        <f t="shared" si="14"/>
        <v>0</v>
      </c>
      <c r="R96" s="168">
        <f t="shared" si="15"/>
        <v>0</v>
      </c>
    </row>
    <row r="97" spans="1:41" ht="15.75">
      <c r="A97" s="137" t="s">
        <v>964</v>
      </c>
      <c r="B97" s="131"/>
      <c r="C97" s="131"/>
      <c r="D97" s="131"/>
      <c r="E97" s="131"/>
      <c r="F97" s="131"/>
      <c r="G97" s="131"/>
      <c r="H97" s="131"/>
      <c r="I97" s="137" t="s">
        <v>964</v>
      </c>
      <c r="J97" s="131"/>
      <c r="K97" s="131"/>
      <c r="L97" s="131"/>
      <c r="M97" s="131"/>
      <c r="N97" s="131"/>
      <c r="O97" s="131"/>
      <c r="P97" s="131"/>
      <c r="Q97" s="168">
        <f t="shared" si="14"/>
        <v>0</v>
      </c>
      <c r="R97" s="168">
        <f t="shared" si="15"/>
        <v>0</v>
      </c>
    </row>
    <row r="98" spans="1:41">
      <c r="A98" s="140"/>
      <c r="B98" s="141"/>
      <c r="C98" s="141"/>
      <c r="D98" s="141"/>
      <c r="E98" s="141"/>
      <c r="F98" s="141"/>
      <c r="G98" s="141"/>
      <c r="H98" s="141"/>
      <c r="I98" s="142"/>
      <c r="L98" s="143"/>
      <c r="P98" s="140"/>
      <c r="Q98" s="168">
        <f t="shared" si="14"/>
        <v>0</v>
      </c>
      <c r="R98" s="168">
        <f t="shared" si="15"/>
        <v>0</v>
      </c>
    </row>
    <row r="99" spans="1:41" s="161" customFormat="1">
      <c r="A99" s="145"/>
      <c r="B99" s="146" t="s">
        <v>641</v>
      </c>
      <c r="C99" s="146"/>
      <c r="D99" s="146"/>
      <c r="E99" s="146"/>
      <c r="F99" s="146"/>
      <c r="G99" s="146"/>
      <c r="H99" s="147"/>
      <c r="I99" s="145"/>
      <c r="J99" s="146" t="s">
        <v>641</v>
      </c>
      <c r="K99" s="146"/>
      <c r="L99" s="146"/>
      <c r="M99" s="146"/>
      <c r="N99" s="146"/>
      <c r="O99" s="146"/>
      <c r="P99" s="147"/>
      <c r="Q99" s="168">
        <f t="shared" si="14"/>
        <v>0</v>
      </c>
      <c r="R99" s="168">
        <f t="shared" si="15"/>
        <v>0</v>
      </c>
    </row>
    <row r="100" spans="1:41" s="161" customFormat="1">
      <c r="A100" s="145"/>
      <c r="B100" s="146" t="s">
        <v>642</v>
      </c>
      <c r="C100" s="146"/>
      <c r="D100" s="639" t="s">
        <v>643</v>
      </c>
      <c r="E100" s="637"/>
      <c r="F100" s="637"/>
      <c r="G100" s="637"/>
      <c r="H100" s="153" t="s">
        <v>533</v>
      </c>
      <c r="I100" s="145"/>
      <c r="J100" s="146" t="s">
        <v>642</v>
      </c>
      <c r="K100" s="146"/>
      <c r="L100" s="639" t="s">
        <v>643</v>
      </c>
      <c r="M100" s="637"/>
      <c r="N100" s="637"/>
      <c r="O100" s="637"/>
      <c r="P100" s="153" t="s">
        <v>533</v>
      </c>
      <c r="Q100" s="168">
        <f t="shared" si="14"/>
        <v>0</v>
      </c>
      <c r="R100" s="168">
        <f t="shared" si="15"/>
        <v>0</v>
      </c>
    </row>
    <row r="101" spans="1:41" s="161" customFormat="1" ht="40.5" customHeight="1">
      <c r="A101" s="145"/>
      <c r="B101" s="154" t="s">
        <v>644</v>
      </c>
      <c r="C101" s="155" t="s">
        <v>645</v>
      </c>
      <c r="D101" s="156" t="s">
        <v>646</v>
      </c>
      <c r="E101" s="157" t="s">
        <v>8</v>
      </c>
      <c r="F101" s="154" t="s">
        <v>647</v>
      </c>
      <c r="G101" s="158" t="s">
        <v>656</v>
      </c>
      <c r="H101" s="159" t="s">
        <v>649</v>
      </c>
      <c r="I101" s="145"/>
      <c r="J101" s="154" t="s">
        <v>644</v>
      </c>
      <c r="K101" s="155" t="s">
        <v>645</v>
      </c>
      <c r="L101" s="156" t="s">
        <v>646</v>
      </c>
      <c r="M101" s="157" t="s">
        <v>8</v>
      </c>
      <c r="N101" s="154" t="s">
        <v>647</v>
      </c>
      <c r="O101" s="158" t="s">
        <v>656</v>
      </c>
      <c r="P101" s="159" t="s">
        <v>649</v>
      </c>
      <c r="Q101" s="168">
        <f t="shared" si="14"/>
        <v>0</v>
      </c>
      <c r="R101" s="168">
        <f t="shared" si="15"/>
        <v>0</v>
      </c>
      <c r="T101" s="160"/>
    </row>
    <row r="102" spans="1:41" ht="15.75" customHeight="1">
      <c r="A102" s="189" t="s">
        <v>618</v>
      </c>
      <c r="B102" s="216">
        <f>('Pivot Table for Data Exchange'!$E$7)*100</f>
        <v>47.614922228559706</v>
      </c>
      <c r="C102" s="163">
        <f>('Pivot Table for Data Exchange'!$E$10)*100</f>
        <v>0.58250621683927162</v>
      </c>
      <c r="D102" s="164">
        <f>SUM(E102:G102)</f>
        <v>51.802571554601023</v>
      </c>
      <c r="E102" s="163">
        <f>('Pivot Table for Data Exchange'!$E$13)*100</f>
        <v>50.852214419438489</v>
      </c>
      <c r="F102" s="163">
        <f>('Pivot Table for Data Exchange'!$E$16)*100</f>
        <v>0</v>
      </c>
      <c r="G102" s="196">
        <f>('Pivot Table for Data Exchange'!$E$19)*100</f>
        <v>0.95035713516253373</v>
      </c>
      <c r="H102" s="163">
        <f>('Pivot Table for Data Exchange'!$E$22)*100</f>
        <v>0</v>
      </c>
      <c r="I102" s="166" t="s">
        <v>618</v>
      </c>
      <c r="J102" s="163">
        <f>('Pivot Table for Data Exchange'!$E$25)*100</f>
        <v>16.606476665054238</v>
      </c>
      <c r="K102" s="163">
        <f>('Pivot Table for Data Exchange'!$E$28)*100</f>
        <v>0.39294683621472254</v>
      </c>
      <c r="L102" s="164">
        <f>SUM(M102:O102)</f>
        <v>83.000576498731036</v>
      </c>
      <c r="M102" s="163">
        <f>('Pivot Table for Data Exchange'!$E$31)*100</f>
        <v>82.038419995891616</v>
      </c>
      <c r="N102" s="163">
        <f>('Pivot Table for Data Exchange'!$E$34)*100</f>
        <v>0</v>
      </c>
      <c r="O102" s="167">
        <f>('Pivot Table for Data Exchange'!$E$37)*100</f>
        <v>0.962156502839422</v>
      </c>
      <c r="P102" s="163">
        <f>('Pivot Table for Data Exchange'!$E$40)*100</f>
        <v>0</v>
      </c>
      <c r="Q102" s="168">
        <f t="shared" si="14"/>
        <v>100</v>
      </c>
      <c r="R102" s="168">
        <f t="shared" si="15"/>
        <v>100</v>
      </c>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row>
    <row r="103" spans="1:41" ht="15.75" customHeight="1">
      <c r="A103" s="134" t="s">
        <v>619</v>
      </c>
      <c r="B103" s="163">
        <f>('Pivot Table for Data Exchange'!$E$43)*100</f>
        <v>32.973821290236408</v>
      </c>
      <c r="C103" s="163">
        <f>('Pivot Table for Data Exchange'!$E$46)*100</f>
        <v>4.1178622656082142</v>
      </c>
      <c r="D103" s="164">
        <f t="shared" ref="D103:D105" si="16">SUM(E103:G103)</f>
        <v>62.908316444155382</v>
      </c>
      <c r="E103" s="163">
        <f>('Pivot Table for Data Exchange'!$E$49)*100</f>
        <v>60.532459161096632</v>
      </c>
      <c r="F103" s="163">
        <f>('Pivot Table for Data Exchange'!$E$52)*100</f>
        <v>0.53237205358853901</v>
      </c>
      <c r="G103" s="171">
        <f>('Pivot Table for Data Exchange'!$E$55)*100</f>
        <v>1.8434852294702122</v>
      </c>
      <c r="H103" s="175">
        <f>('Pivot Table for Data Exchange'!$E$58)*100</f>
        <v>0</v>
      </c>
      <c r="I103" s="169" t="s">
        <v>619</v>
      </c>
      <c r="J103" s="163">
        <f>('Pivot Table for Data Exchange'!$E$61)*100</f>
        <v>15.816628116165511</v>
      </c>
      <c r="K103" s="163">
        <f>('Pivot Table for Data Exchange'!$E$64)*100</f>
        <v>1.9275250578257516E-3</v>
      </c>
      <c r="L103" s="164">
        <f t="shared" ref="L103:L105" si="17">SUM(M103:O103)</f>
        <v>84.181444358776659</v>
      </c>
      <c r="M103" s="163">
        <f>('Pivot Table for Data Exchange'!$E$67)*100</f>
        <v>80.447185813415572</v>
      </c>
      <c r="N103" s="163">
        <f>('Pivot Table for Data Exchange'!$E$70)*100</f>
        <v>1.8292212798766385</v>
      </c>
      <c r="O103" s="171">
        <f>('Pivot Table for Data Exchange'!$E$73)*100</f>
        <v>1.9050372654844512</v>
      </c>
      <c r="P103" s="163">
        <f>('Pivot Table for Data Exchange'!$E$76)*100</f>
        <v>0</v>
      </c>
      <c r="Q103" s="168">
        <f t="shared" si="14"/>
        <v>100</v>
      </c>
      <c r="R103" s="168">
        <f t="shared" si="15"/>
        <v>100</v>
      </c>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row>
    <row r="104" spans="1:41" ht="15.75" customHeight="1">
      <c r="A104" s="134" t="s">
        <v>620</v>
      </c>
      <c r="B104" s="163">
        <f>('Pivot Table for Data Exchange'!$E$79)*100</f>
        <v>71.89617477865815</v>
      </c>
      <c r="C104" s="163">
        <f>('Pivot Table for Data Exchange'!$E$82)*100</f>
        <v>0</v>
      </c>
      <c r="D104" s="164">
        <f t="shared" si="16"/>
        <v>28.10382522134185</v>
      </c>
      <c r="E104" s="163">
        <f>('Pivot Table for Data Exchange'!$E$85)*100</f>
        <v>28.10382522134185</v>
      </c>
      <c r="F104" s="163">
        <f>('Pivot Table for Data Exchange'!$E$88)*100</f>
        <v>0</v>
      </c>
      <c r="G104" s="171">
        <f>('Pivot Table for Data Exchange'!$E$91)*100</f>
        <v>0</v>
      </c>
      <c r="H104" s="163">
        <f>('Pivot Table for Data Exchange'!$E$94)*100</f>
        <v>0</v>
      </c>
      <c r="I104" s="169" t="s">
        <v>620</v>
      </c>
      <c r="J104" s="163">
        <f>('Pivot Table for Data Exchange'!$E$97)*100</f>
        <v>41.807832110280501</v>
      </c>
      <c r="K104" s="163">
        <f>('Pivot Table for Data Exchange'!$E$100)*100</f>
        <v>0</v>
      </c>
      <c r="L104" s="164">
        <f t="shared" si="17"/>
        <v>58.192167889719492</v>
      </c>
      <c r="M104" s="163">
        <f>('Pivot Table for Data Exchange'!$E$103)*100</f>
        <v>58.192167889719492</v>
      </c>
      <c r="N104" s="163">
        <f>('Pivot Table for Data Exchange'!$E$106)*100</f>
        <v>0</v>
      </c>
      <c r="O104" s="171">
        <f>('Pivot Table for Data Exchange'!$E$109)*100</f>
        <v>0</v>
      </c>
      <c r="P104" s="163">
        <f>('Pivot Table for Data Exchange'!$E$112)*100</f>
        <v>0</v>
      </c>
      <c r="Q104" s="168">
        <f t="shared" si="14"/>
        <v>100</v>
      </c>
      <c r="R104" s="168">
        <f t="shared" si="15"/>
        <v>100</v>
      </c>
      <c r="S104" s="217"/>
      <c r="T104" s="221"/>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row>
    <row r="105" spans="1:41" ht="15.75" customHeight="1">
      <c r="A105" s="134" t="s">
        <v>657</v>
      </c>
      <c r="B105" s="163">
        <f>('Pivot Table for Data Exchange'!$E$115)*100</f>
        <v>0</v>
      </c>
      <c r="C105" s="163">
        <f>('Pivot Table for Data Exchange'!$E$118)*100</f>
        <v>0</v>
      </c>
      <c r="D105" s="164">
        <f t="shared" si="16"/>
        <v>0</v>
      </c>
      <c r="E105" s="163">
        <f>('Pivot Table for Data Exchange'!$E$121)*100</f>
        <v>0</v>
      </c>
      <c r="F105" s="163">
        <f>('Pivot Table for Data Exchange'!$E$124)*100</f>
        <v>0</v>
      </c>
      <c r="G105" s="171">
        <f>('Pivot Table for Data Exchange'!$E$127)*100</f>
        <v>0</v>
      </c>
      <c r="H105" s="163">
        <f>('Pivot Table for Data Exchange'!$E$130)*100</f>
        <v>0</v>
      </c>
      <c r="I105" s="169" t="s">
        <v>657</v>
      </c>
      <c r="J105" s="163">
        <f>('Pivot Table for Data Exchange'!$E$133)*100</f>
        <v>0</v>
      </c>
      <c r="K105" s="163">
        <f>('Pivot Table for Data Exchange'!$E$136)*100</f>
        <v>0</v>
      </c>
      <c r="L105" s="164">
        <f t="shared" si="17"/>
        <v>0</v>
      </c>
      <c r="M105" s="163">
        <f>('Pivot Table for Data Exchange'!$E$139)*100</f>
        <v>0</v>
      </c>
      <c r="N105" s="163">
        <f>('Pivot Table for Data Exchange'!$E$142)*100</f>
        <v>0</v>
      </c>
      <c r="O105" s="171">
        <f>('Pivot Table for Data Exchange'!$E$145)*100</f>
        <v>0</v>
      </c>
      <c r="P105" s="163">
        <f>('Pivot Table for Data Exchange'!$E$148)*100</f>
        <v>0</v>
      </c>
      <c r="Q105" s="168">
        <f t="shared" si="14"/>
        <v>0</v>
      </c>
      <c r="R105" s="168">
        <f t="shared" si="15"/>
        <v>0</v>
      </c>
      <c r="S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row>
    <row r="106" spans="1:41" ht="11.25" customHeight="1">
      <c r="B106" s="163"/>
      <c r="C106" s="163"/>
      <c r="D106" s="164"/>
      <c r="E106" s="163"/>
      <c r="F106" s="163"/>
      <c r="G106" s="171"/>
      <c r="H106" s="163"/>
      <c r="I106" s="169"/>
      <c r="J106" s="163"/>
      <c r="K106" s="163"/>
      <c r="L106" s="164"/>
      <c r="M106" s="163"/>
      <c r="N106" s="163"/>
      <c r="O106" s="171"/>
      <c r="P106" s="163"/>
      <c r="Q106" s="168">
        <f t="shared" si="14"/>
        <v>0</v>
      </c>
      <c r="R106" s="168">
        <f t="shared" si="15"/>
        <v>0</v>
      </c>
      <c r="S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row>
    <row r="107" spans="1:41" ht="15.75" customHeight="1">
      <c r="A107" s="134" t="s">
        <v>622</v>
      </c>
      <c r="B107" s="163">
        <f>('Pivot Table for Data Exchange'!$E$151)*100</f>
        <v>51.330905237200341</v>
      </c>
      <c r="C107" s="163">
        <f>('Pivot Table for Data Exchange'!$E$154)*100</f>
        <v>0.79398929800021978</v>
      </c>
      <c r="D107" s="164">
        <f t="shared" ref="D107:D108" si="18">SUM(E107:G107)</f>
        <v>47.875105464799439</v>
      </c>
      <c r="E107" s="163">
        <f>('Pivot Table for Data Exchange'!$E$157)*100</f>
        <v>47.841580230541865</v>
      </c>
      <c r="F107" s="175">
        <f>('Pivot Table for Data Exchange'!$E$160)*100</f>
        <v>2.7378941310352407E-2</v>
      </c>
      <c r="G107" s="170">
        <f>('Pivot Table for Data Exchange'!$E$163)*100</f>
        <v>6.1462929472219695E-3</v>
      </c>
      <c r="H107" s="163">
        <f>('Pivot Table for Data Exchange'!$E$166)*100</f>
        <v>0</v>
      </c>
      <c r="I107" s="169" t="s">
        <v>622</v>
      </c>
      <c r="J107" s="163">
        <f>('Pivot Table for Data Exchange'!$E$169)*100</f>
        <v>21.351905227262417</v>
      </c>
      <c r="K107" s="163">
        <f>('Pivot Table for Data Exchange'!$E$172)*100</f>
        <v>0.39172511617742262</v>
      </c>
      <c r="L107" s="164">
        <f t="shared" ref="L107:L108" si="19">SUM(M107:O107)</f>
        <v>78.256369656560153</v>
      </c>
      <c r="M107" s="163">
        <f>('Pivot Table for Data Exchange'!$E$175)*100</f>
        <v>78.227918042858846</v>
      </c>
      <c r="N107" s="172">
        <f>('Pivot Table for Data Exchange'!$E$178)*100</f>
        <v>1.7318373557317631E-2</v>
      </c>
      <c r="O107" s="171">
        <f>('Pivot Table for Data Exchange'!$E$181)*100</f>
        <v>1.1133240143989906E-2</v>
      </c>
      <c r="P107" s="163">
        <f>('Pivot Table for Data Exchange'!$E$184)*100</f>
        <v>0</v>
      </c>
      <c r="Q107" s="168">
        <f t="shared" si="14"/>
        <v>100</v>
      </c>
      <c r="R107" s="168">
        <f t="shared" si="15"/>
        <v>100</v>
      </c>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row>
    <row r="108" spans="1:41" ht="15.75" customHeight="1">
      <c r="A108" s="134" t="s">
        <v>623</v>
      </c>
      <c r="B108" s="163">
        <f>('Pivot Table for Data Exchange'!$E$187)*100</f>
        <v>50.341043258606213</v>
      </c>
      <c r="C108" s="163">
        <f>('Pivot Table for Data Exchange'!$E$190)*100</f>
        <v>6.5984776193577881</v>
      </c>
      <c r="D108" s="164">
        <f t="shared" si="18"/>
        <v>43.060479122035986</v>
      </c>
      <c r="E108" s="163">
        <f>('Pivot Table for Data Exchange'!$E$193)*100</f>
        <v>42.260619097540278</v>
      </c>
      <c r="F108" s="163">
        <f>('Pivot Table for Data Exchange'!$E$196)*100</f>
        <v>0.7958901309917823</v>
      </c>
      <c r="G108" s="170">
        <f>('Pivot Table for Data Exchange'!$E$199)*100</f>
        <v>3.9698935039309295E-3</v>
      </c>
      <c r="H108" s="163">
        <f>('Pivot Table for Data Exchange'!$E$202)*100</f>
        <v>0</v>
      </c>
      <c r="I108" s="169" t="s">
        <v>623</v>
      </c>
      <c r="J108" s="163">
        <f>('Pivot Table for Data Exchange'!$E$205)*100</f>
        <v>20.419333674297022</v>
      </c>
      <c r="K108" s="163">
        <f>('Pivot Table for Data Exchange'!$E$208)*100</f>
        <v>5.0968905144935395</v>
      </c>
      <c r="L108" s="164">
        <f t="shared" si="19"/>
        <v>74.483775811209426</v>
      </c>
      <c r="M108" s="163">
        <f>('Pivot Table for Data Exchange'!$E$211)*100</f>
        <v>74.338091326607042</v>
      </c>
      <c r="N108" s="163">
        <f>('Pivot Table for Data Exchange'!$E$214)*100</f>
        <v>0.14568448460238984</v>
      </c>
      <c r="O108" s="170">
        <f>('Pivot Table for Data Exchange'!$E$217)*100</f>
        <v>0</v>
      </c>
      <c r="P108" s="163">
        <f>('Pivot Table for Data Exchange'!$E$220)*100</f>
        <v>0</v>
      </c>
      <c r="Q108" s="168">
        <f t="shared" si="14"/>
        <v>99.999999999999986</v>
      </c>
      <c r="R108" s="168">
        <f t="shared" si="15"/>
        <v>99.999999999999986</v>
      </c>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row>
    <row r="109" spans="1:41" ht="15.75" customHeight="1">
      <c r="A109" s="134" t="s">
        <v>624</v>
      </c>
      <c r="B109" s="163">
        <f>('Pivot Table for Data Exchange'!$E$223)*100</f>
        <v>70.011005205405297</v>
      </c>
      <c r="C109" s="163">
        <f>('Pivot Table for Data Exchange'!$E$226)*100</f>
        <v>0</v>
      </c>
      <c r="D109" s="164">
        <f>SUM(E109:G109)</f>
        <v>29.988994794594692</v>
      </c>
      <c r="E109" s="163">
        <f>('Pivot Table for Data Exchange'!$E$229)*100</f>
        <v>29.988994794594692</v>
      </c>
      <c r="F109" s="163">
        <f>('Pivot Table for Data Exchange'!$E$232)*100</f>
        <v>0</v>
      </c>
      <c r="G109" s="171">
        <f>('Pivot Table for Data Exchange'!$E$235)*100</f>
        <v>0</v>
      </c>
      <c r="H109" s="163">
        <f>('Pivot Table for Data Exchange'!$E$238)*100</f>
        <v>0</v>
      </c>
      <c r="I109" s="169" t="s">
        <v>624</v>
      </c>
      <c r="J109" s="163">
        <f>('Pivot Table for Data Exchange'!$E$241)*100</f>
        <v>54.401217040926589</v>
      </c>
      <c r="K109" s="163">
        <f>('Pivot Table for Data Exchange'!$E$244)*100</f>
        <v>0</v>
      </c>
      <c r="L109" s="164">
        <f>SUM(M109:O109)</f>
        <v>45.598782959073418</v>
      </c>
      <c r="M109" s="163">
        <f>('Pivot Table for Data Exchange'!$E$247)*100</f>
        <v>45.598782959073418</v>
      </c>
      <c r="N109" s="163">
        <f>('Pivot Table for Data Exchange'!$E$250)*100</f>
        <v>0</v>
      </c>
      <c r="O109" s="171">
        <f>('Pivot Table for Data Exchange'!$E$253)*100</f>
        <v>0</v>
      </c>
      <c r="P109" s="163">
        <f>('Pivot Table for Data Exchange'!$E$256)*100</f>
        <v>0</v>
      </c>
      <c r="Q109" s="168">
        <f t="shared" si="14"/>
        <v>99.999999999999986</v>
      </c>
      <c r="R109" s="168">
        <f t="shared" si="15"/>
        <v>100</v>
      </c>
      <c r="S109" s="217"/>
      <c r="T109" s="221"/>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row>
    <row r="110" spans="1:41" ht="15.75" customHeight="1">
      <c r="A110" s="134" t="s">
        <v>625</v>
      </c>
      <c r="B110" s="163">
        <f>('Pivot Table for Data Exchange'!$E$259)*100</f>
        <v>42.180188614661027</v>
      </c>
      <c r="C110" s="163">
        <f>('Pivot Table for Data Exchange'!$E$262)*100</f>
        <v>1.0883180656728348</v>
      </c>
      <c r="D110" s="164">
        <f>SUM(E110:G110)</f>
        <v>56.731493319666136</v>
      </c>
      <c r="E110" s="163">
        <f>('Pivot Table for Data Exchange'!$E$265)*100</f>
        <v>56.731493319666136</v>
      </c>
      <c r="F110" s="175">
        <f>('Pivot Table for Data Exchange'!$E$268)*100</f>
        <v>0</v>
      </c>
      <c r="G110" s="171">
        <f>('Pivot Table for Data Exchange'!$E$271)*100</f>
        <v>0</v>
      </c>
      <c r="H110" s="163">
        <f>('Pivot Table for Data Exchange'!$E$274)*100</f>
        <v>0</v>
      </c>
      <c r="I110" s="169" t="s">
        <v>625</v>
      </c>
      <c r="J110" s="163">
        <f>('Pivot Table for Data Exchange'!$E$277)*100</f>
        <v>48.145161290322577</v>
      </c>
      <c r="K110" s="163">
        <f>('Pivot Table for Data Exchange'!$E$280)*100</f>
        <v>3.0741454020221473</v>
      </c>
      <c r="L110" s="164">
        <f>SUM(M110:O110)</f>
        <v>48.78069330765527</v>
      </c>
      <c r="M110" s="163">
        <f>('Pivot Table for Data Exchange'!$E$283)*100</f>
        <v>48.78069330765527</v>
      </c>
      <c r="N110" s="163">
        <f>('Pivot Table for Data Exchange'!$E$286)*100</f>
        <v>0</v>
      </c>
      <c r="O110" s="171">
        <f>('Pivot Table for Data Exchange'!$E$289)*100</f>
        <v>0</v>
      </c>
      <c r="P110" s="163">
        <f>('Pivot Table for Data Exchange'!$E$292)*100</f>
        <v>0</v>
      </c>
      <c r="Q110" s="168">
        <f t="shared" si="14"/>
        <v>100</v>
      </c>
      <c r="R110" s="168">
        <f t="shared" si="15"/>
        <v>100</v>
      </c>
      <c r="S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row>
    <row r="111" spans="1:41" ht="11.25" customHeight="1">
      <c r="B111" s="163"/>
      <c r="C111" s="163"/>
      <c r="D111" s="164"/>
      <c r="E111" s="163"/>
      <c r="F111" s="163"/>
      <c r="G111" s="171"/>
      <c r="H111" s="163"/>
      <c r="I111" s="169"/>
      <c r="J111" s="163"/>
      <c r="K111" s="163"/>
      <c r="L111" s="164"/>
      <c r="M111" s="163"/>
      <c r="N111" s="163"/>
      <c r="O111" s="171"/>
      <c r="P111" s="163"/>
      <c r="Q111" s="168">
        <f t="shared" si="14"/>
        <v>0</v>
      </c>
      <c r="R111" s="168">
        <f t="shared" si="15"/>
        <v>0</v>
      </c>
      <c r="S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row>
    <row r="112" spans="1:41" ht="15.75" customHeight="1">
      <c r="A112" s="134" t="s">
        <v>626</v>
      </c>
      <c r="B112" s="163">
        <f>('Pivot Table for Data Exchange'!$E$295)*100</f>
        <v>0</v>
      </c>
      <c r="C112" s="163">
        <f>('Pivot Table for Data Exchange'!$E$298)*100</f>
        <v>0</v>
      </c>
      <c r="D112" s="164">
        <f>SUM(E112:G112)</f>
        <v>0</v>
      </c>
      <c r="E112" s="163">
        <f>('Pivot Table for Data Exchange'!$E$301)*100</f>
        <v>0</v>
      </c>
      <c r="F112" s="163">
        <f>('Pivot Table for Data Exchange'!$E$304)*100</f>
        <v>0</v>
      </c>
      <c r="G112" s="171">
        <f>('Pivot Table for Data Exchange'!$E$307)*100</f>
        <v>0</v>
      </c>
      <c r="H112" s="163">
        <f>('Pivot Table for Data Exchange'!$E$310)*100</f>
        <v>0</v>
      </c>
      <c r="I112" s="169" t="s">
        <v>626</v>
      </c>
      <c r="J112" s="163">
        <f>('Pivot Table for Data Exchange'!$E$313)*100</f>
        <v>0</v>
      </c>
      <c r="K112" s="163">
        <f>('Pivot Table for Data Exchange'!$E$316)*100</f>
        <v>0</v>
      </c>
      <c r="L112" s="164">
        <f>SUM(M112:O112)</f>
        <v>0</v>
      </c>
      <c r="M112" s="163">
        <f>('Pivot Table for Data Exchange'!$E$319)*100</f>
        <v>0</v>
      </c>
      <c r="N112" s="163">
        <f>('Pivot Table for Data Exchange'!$E$322)*100</f>
        <v>0</v>
      </c>
      <c r="O112" s="171">
        <f>('Pivot Table for Data Exchange'!$E$325)*100</f>
        <v>0</v>
      </c>
      <c r="P112" s="163">
        <f>('Pivot Table for Data Exchange'!$E$328)*100</f>
        <v>0</v>
      </c>
      <c r="Q112" s="168">
        <f t="shared" si="14"/>
        <v>0</v>
      </c>
      <c r="R112" s="168">
        <f t="shared" si="15"/>
        <v>0</v>
      </c>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row>
    <row r="113" spans="1:41" ht="15.75" customHeight="1">
      <c r="A113" s="134" t="s">
        <v>627</v>
      </c>
      <c r="B113" s="163">
        <f>('Pivot Table for Data Exchange'!$E$331)*100</f>
        <v>42.658384770751276</v>
      </c>
      <c r="C113" s="163">
        <f>('Pivot Table for Data Exchange'!$E$334)*100</f>
        <v>3.4464722216314367</v>
      </c>
      <c r="D113" s="164">
        <f>SUM(E113:G113)</f>
        <v>53.895143007617293</v>
      </c>
      <c r="E113" s="163">
        <f>('Pivot Table for Data Exchange'!$E$337)*100</f>
        <v>53.856896134686671</v>
      </c>
      <c r="F113" s="175">
        <f>('Pivot Table for Data Exchange'!$E$340)*100</f>
        <v>3.8246872930622483E-2</v>
      </c>
      <c r="G113" s="170">
        <f>('Pivot Table for Data Exchange'!$E$343)*100</f>
        <v>0</v>
      </c>
      <c r="H113" s="163">
        <f>('Pivot Table for Data Exchange'!$E$346)*100</f>
        <v>0</v>
      </c>
      <c r="I113" s="169" t="s">
        <v>627</v>
      </c>
      <c r="J113" s="163">
        <f>('Pivot Table for Data Exchange'!$E$349)*100</f>
        <v>26.057284170382246</v>
      </c>
      <c r="K113" s="163">
        <f>('Pivot Table for Data Exchange'!$E$352)*100</f>
        <v>10.747330559913474</v>
      </c>
      <c r="L113" s="164">
        <f>SUM(M113:O113)</f>
        <v>63.195385269704282</v>
      </c>
      <c r="M113" s="163">
        <f>('Pivot Table for Data Exchange'!$E$355)*100</f>
        <v>62.838239394767307</v>
      </c>
      <c r="N113" s="175">
        <f>('Pivot Table for Data Exchange'!$E$358)*100</f>
        <v>0.35714587493697841</v>
      </c>
      <c r="O113" s="171">
        <f>('Pivot Table for Data Exchange'!$E$361)*100</f>
        <v>0</v>
      </c>
      <c r="P113" s="163">
        <f>('Pivot Table for Data Exchange'!$E$364)*100</f>
        <v>0</v>
      </c>
      <c r="Q113" s="168">
        <f t="shared" si="14"/>
        <v>100</v>
      </c>
      <c r="R113" s="168">
        <f t="shared" si="15"/>
        <v>100</v>
      </c>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row>
    <row r="114" spans="1:41" ht="15.75" customHeight="1">
      <c r="A114" s="134" t="s">
        <v>628</v>
      </c>
      <c r="B114" s="163">
        <f>('Pivot Table for Data Exchange'!$E$367)*100</f>
        <v>0</v>
      </c>
      <c r="C114" s="163">
        <f>('Pivot Table for Data Exchange'!$E$370)*100</f>
        <v>0</v>
      </c>
      <c r="D114" s="164">
        <f>SUM(E114:G114)</f>
        <v>0</v>
      </c>
      <c r="E114" s="163">
        <f>('Pivot Table for Data Exchange'!$E$373)*100</f>
        <v>0</v>
      </c>
      <c r="F114" s="163">
        <f>('Pivot Table for Data Exchange'!$E$376)*100</f>
        <v>0</v>
      </c>
      <c r="G114" s="171">
        <f>('Pivot Table for Data Exchange'!$E$379)*100</f>
        <v>0</v>
      </c>
      <c r="H114" s="163">
        <f>('Pivot Table for Data Exchange'!$E$382)*100</f>
        <v>0</v>
      </c>
      <c r="I114" s="169" t="s">
        <v>628</v>
      </c>
      <c r="J114" s="163">
        <f>('Pivot Table for Data Exchange'!$E$385)*100</f>
        <v>0</v>
      </c>
      <c r="K114" s="163">
        <f>('Pivot Table for Data Exchange'!$E$388)*100</f>
        <v>0</v>
      </c>
      <c r="L114" s="164">
        <f>SUM(M114:O114)</f>
        <v>0</v>
      </c>
      <c r="M114" s="163">
        <f>('Pivot Table for Data Exchange'!$E$391)*100</f>
        <v>0</v>
      </c>
      <c r="N114" s="163">
        <f>('Pivot Table for Data Exchange'!$E$394)*100</f>
        <v>0</v>
      </c>
      <c r="O114" s="171">
        <f>('Pivot Table for Data Exchange'!$E$397)*100</f>
        <v>0</v>
      </c>
      <c r="P114" s="163">
        <f>('Pivot Table for Data Exchange'!$E$400)*100</f>
        <v>0</v>
      </c>
      <c r="Q114" s="168">
        <f t="shared" si="14"/>
        <v>0</v>
      </c>
      <c r="R114" s="168">
        <f t="shared" si="15"/>
        <v>0</v>
      </c>
      <c r="S114" s="217"/>
      <c r="T114" s="221"/>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row>
    <row r="115" spans="1:41" ht="15.75" customHeight="1">
      <c r="A115" s="134" t="s">
        <v>629</v>
      </c>
      <c r="B115" s="163">
        <f>('Pivot Table for Data Exchange'!$E$403)*100</f>
        <v>62.203221482935234</v>
      </c>
      <c r="C115" s="163">
        <f>('Pivot Table for Data Exchange'!$E$406)*100</f>
        <v>1.1414404927161617</v>
      </c>
      <c r="D115" s="164">
        <f>SUM(E115:G115)</f>
        <v>36.655338024348602</v>
      </c>
      <c r="E115" s="163">
        <f>('Pivot Table for Data Exchange'!$E$409)*100</f>
        <v>36.655338024348602</v>
      </c>
      <c r="F115" s="175">
        <f>('Pivot Table for Data Exchange'!$E$412)*100</f>
        <v>0</v>
      </c>
      <c r="G115" s="171">
        <f>('Pivot Table for Data Exchange'!$E$415)*100</f>
        <v>0</v>
      </c>
      <c r="H115" s="163">
        <f>('Pivot Table for Data Exchange'!$E$418)*100</f>
        <v>0</v>
      </c>
      <c r="I115" s="169" t="s">
        <v>629</v>
      </c>
      <c r="J115" s="163">
        <f>('Pivot Table for Data Exchange'!$E$421)*100</f>
        <v>30.628083380457461</v>
      </c>
      <c r="K115" s="163">
        <f>('Pivot Table for Data Exchange'!$E$424)*100</f>
        <v>2.8761967903593781</v>
      </c>
      <c r="L115" s="164">
        <f>SUM(M115:O115)</f>
        <v>66.495719829183159</v>
      </c>
      <c r="M115" s="163">
        <f>('Pivot Table for Data Exchange'!$E$427)*100</f>
        <v>66.495719829183159</v>
      </c>
      <c r="N115" s="163">
        <f>('Pivot Table for Data Exchange'!$E$430)*100</f>
        <v>0</v>
      </c>
      <c r="O115" s="170">
        <f>('Pivot Table for Data Exchange'!$E$433)*100</f>
        <v>0</v>
      </c>
      <c r="P115" s="163">
        <f>('Pivot Table for Data Exchange'!$E$436)*100</f>
        <v>0</v>
      </c>
      <c r="Q115" s="168">
        <f t="shared" si="14"/>
        <v>100</v>
      </c>
      <c r="R115" s="168">
        <f t="shared" si="15"/>
        <v>100</v>
      </c>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row>
    <row r="116" spans="1:41" ht="11.25" customHeight="1">
      <c r="B116" s="163"/>
      <c r="C116" s="163"/>
      <c r="D116" s="164"/>
      <c r="E116" s="163"/>
      <c r="F116" s="163"/>
      <c r="G116" s="171"/>
      <c r="H116" s="163"/>
      <c r="I116" s="169"/>
      <c r="J116" s="163"/>
      <c r="K116" s="163"/>
      <c r="L116" s="164"/>
      <c r="M116" s="163"/>
      <c r="N116" s="163"/>
      <c r="O116" s="171"/>
      <c r="P116" s="163"/>
      <c r="Q116" s="168">
        <f t="shared" si="14"/>
        <v>0</v>
      </c>
      <c r="R116" s="168">
        <f t="shared" si="15"/>
        <v>0</v>
      </c>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row>
    <row r="117" spans="1:41" ht="15.75" customHeight="1">
      <c r="A117" s="134" t="s">
        <v>630</v>
      </c>
      <c r="B117" s="163">
        <f>('Pivot Table for Data Exchange'!$E$439)*100</f>
        <v>37.899816402760287</v>
      </c>
      <c r="C117" s="163">
        <f>('Pivot Table for Data Exchange'!$E$442)*100</f>
        <v>1.3297786281557973</v>
      </c>
      <c r="D117" s="164">
        <f>SUM(E117:G117)</f>
        <v>60.098059215385589</v>
      </c>
      <c r="E117" s="163">
        <f>('Pivot Table for Data Exchange'!$E$445)*100</f>
        <v>46.121455553288918</v>
      </c>
      <c r="F117" s="163">
        <f>('Pivot Table for Data Exchange'!$E$448)*100</f>
        <v>0</v>
      </c>
      <c r="G117" s="171">
        <f>('Pivot Table for Data Exchange'!$E$451)*100</f>
        <v>13.976603662096668</v>
      </c>
      <c r="H117" s="163">
        <f>('Pivot Table for Data Exchange'!$E$454)*100</f>
        <v>0.67234575369832372</v>
      </c>
      <c r="I117" s="169" t="s">
        <v>630</v>
      </c>
      <c r="J117" s="163">
        <f>('Pivot Table for Data Exchange'!$E$457)*100</f>
        <v>23.411304372661583</v>
      </c>
      <c r="K117" s="163">
        <f>('Pivot Table for Data Exchange'!$E$460)*100</f>
        <v>2.1420615200068546E-2</v>
      </c>
      <c r="L117" s="164">
        <f>SUM(M117:O117)</f>
        <v>73.54696826892868</v>
      </c>
      <c r="M117" s="163">
        <f>('Pivot Table for Data Exchange'!$E$463)*100</f>
        <v>65.705595064690257</v>
      </c>
      <c r="N117" s="163">
        <f>('Pivot Table for Data Exchange'!$E$466)*100</f>
        <v>0</v>
      </c>
      <c r="O117" s="171">
        <f>('Pivot Table for Data Exchange'!$E$469)*100</f>
        <v>7.8413732042384261</v>
      </c>
      <c r="P117" s="163">
        <f>('Pivot Table for Data Exchange'!$E$472)*100</f>
        <v>3.0203067432096651</v>
      </c>
      <c r="Q117" s="168">
        <f t="shared" si="14"/>
        <v>100</v>
      </c>
      <c r="R117" s="168">
        <f t="shared" si="15"/>
        <v>99.999999999999986</v>
      </c>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row>
    <row r="118" spans="1:41" ht="15.75" customHeight="1">
      <c r="A118" s="134" t="s">
        <v>631</v>
      </c>
      <c r="B118" s="163">
        <f>('Pivot Table for Data Exchange'!$E$475)*100</f>
        <v>39.398317626081564</v>
      </c>
      <c r="C118" s="163">
        <f>('Pivot Table for Data Exchange'!$E$478)*100</f>
        <v>1.2014073845565549</v>
      </c>
      <c r="D118" s="164">
        <f>SUM(E118:G118)</f>
        <v>59.400274989361883</v>
      </c>
      <c r="E118" s="163">
        <f>('Pivot Table for Data Exchange'!$E$481)*100</f>
        <v>57.655119148183751</v>
      </c>
      <c r="F118" s="163">
        <f>('Pivot Table for Data Exchange'!$E$484)*100</f>
        <v>0.23485836988465431</v>
      </c>
      <c r="G118" s="171">
        <f>('Pivot Table for Data Exchange'!$E$487)*100</f>
        <v>1.5102974712934767</v>
      </c>
      <c r="H118" s="163">
        <f>('Pivot Table for Data Exchange'!$E$490)*100</f>
        <v>0</v>
      </c>
      <c r="I118" s="169" t="s">
        <v>631</v>
      </c>
      <c r="J118" s="163">
        <f>('Pivot Table for Data Exchange'!$E$493)*100</f>
        <v>16.550354738764923</v>
      </c>
      <c r="K118" s="163">
        <f>('Pivot Table for Data Exchange'!$E$496)*100</f>
        <v>1.0430227981470828</v>
      </c>
      <c r="L118" s="164">
        <f>SUM(M118:O118)</f>
        <v>82.406622463087984</v>
      </c>
      <c r="M118" s="163">
        <f>('Pivot Table for Data Exchange'!$E$499)*100</f>
        <v>80.729056283871742</v>
      </c>
      <c r="N118" s="163">
        <f>('Pivot Table for Data Exchange'!$E$502)*100</f>
        <v>0.25697114656816733</v>
      </c>
      <c r="O118" s="171">
        <f>('Pivot Table for Data Exchange'!$E$505)*100</f>
        <v>1.420595032648077</v>
      </c>
      <c r="P118" s="163">
        <f>('Pivot Table for Data Exchange'!$E$508)*100</f>
        <v>0</v>
      </c>
      <c r="Q118" s="168">
        <f t="shared" si="14"/>
        <v>100</v>
      </c>
      <c r="R118" s="168">
        <f t="shared" si="15"/>
        <v>99.999999999999986</v>
      </c>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row>
    <row r="119" spans="1:41" ht="15.75" customHeight="1">
      <c r="A119" s="134" t="s">
        <v>632</v>
      </c>
      <c r="B119" s="163">
        <f>('Pivot Table for Data Exchange'!$E$511)*100</f>
        <v>50.264491440438839</v>
      </c>
      <c r="C119" s="163">
        <f>('Pivot Table for Data Exchange'!$E$514)*100</f>
        <v>1.9849643453531112</v>
      </c>
      <c r="D119" s="164">
        <f>SUM(E119:G119)</f>
        <v>47.750544214208048</v>
      </c>
      <c r="E119" s="163">
        <f>('Pivot Table for Data Exchange'!$E$517)*100</f>
        <v>45.635724466403246</v>
      </c>
      <c r="F119" s="163">
        <f>('Pivot Table for Data Exchange'!$E$520)*100</f>
        <v>2.1148197478047988</v>
      </c>
      <c r="G119" s="171">
        <f>('Pivot Table for Data Exchange'!$E$523)*100</f>
        <v>0</v>
      </c>
      <c r="H119" s="163">
        <f>('Pivot Table for Data Exchange'!$E$526)*100</f>
        <v>0</v>
      </c>
      <c r="I119" s="169" t="s">
        <v>632</v>
      </c>
      <c r="J119" s="163">
        <f>('Pivot Table for Data Exchange'!$E$529)*100</f>
        <v>35.556263363999548</v>
      </c>
      <c r="K119" s="163">
        <f>('Pivot Table for Data Exchange'!$E$532)*100</f>
        <v>11.164032137795491</v>
      </c>
      <c r="L119" s="164">
        <f>SUM(M119:O119)</f>
        <v>53.279704498204964</v>
      </c>
      <c r="M119" s="163">
        <f>('Pivot Table for Data Exchange'!$E$535)*100</f>
        <v>49.095815864456327</v>
      </c>
      <c r="N119" s="163">
        <f>('Pivot Table for Data Exchange'!$E$538)*100</f>
        <v>4.1838886337486354</v>
      </c>
      <c r="O119" s="171">
        <f>('Pivot Table for Data Exchange'!$E$541)*100</f>
        <v>0</v>
      </c>
      <c r="P119" s="163">
        <f>('Pivot Table for Data Exchange'!$E$544)*100</f>
        <v>0</v>
      </c>
      <c r="Q119" s="168">
        <f t="shared" si="14"/>
        <v>100</v>
      </c>
      <c r="R119" s="168">
        <f t="shared" si="15"/>
        <v>100</v>
      </c>
      <c r="S119" s="217"/>
      <c r="T119" s="217"/>
      <c r="U119" s="217"/>
      <c r="V119" s="217"/>
      <c r="W119" s="217"/>
      <c r="X119" s="217"/>
      <c r="Y119" s="217"/>
      <c r="Z119" s="217"/>
      <c r="AA119" s="217"/>
      <c r="AB119" s="217"/>
      <c r="AC119" s="217"/>
      <c r="AD119" s="217"/>
      <c r="AE119" s="217"/>
      <c r="AF119" s="217"/>
      <c r="AG119" s="217"/>
      <c r="AH119" s="217"/>
      <c r="AI119" s="217"/>
      <c r="AJ119" s="217"/>
      <c r="AK119" s="217"/>
      <c r="AL119" s="217"/>
      <c r="AM119" s="217"/>
      <c r="AN119" s="217"/>
      <c r="AO119" s="217"/>
    </row>
    <row r="120" spans="1:41" ht="15.75" customHeight="1">
      <c r="A120" s="140" t="s">
        <v>633</v>
      </c>
      <c r="B120" s="176">
        <f>('Pivot Table for Data Exchange'!$E$547)*100</f>
        <v>43.357903432249159</v>
      </c>
      <c r="C120" s="176">
        <f>('Pivot Table for Data Exchange'!$E$550)*100</f>
        <v>7.1931082688065651</v>
      </c>
      <c r="D120" s="177">
        <f>SUM(E120:G120)</f>
        <v>49.448988298944265</v>
      </c>
      <c r="E120" s="176">
        <f>('Pivot Table for Data Exchange'!$E$553)*100</f>
        <v>48.330625175878936</v>
      </c>
      <c r="F120" s="176">
        <f>('Pivot Table for Data Exchange'!$E$556)*100</f>
        <v>1.1183631230653317</v>
      </c>
      <c r="G120" s="178">
        <f>('Pivot Table for Data Exchange'!$E$559)*100</f>
        <v>0</v>
      </c>
      <c r="H120" s="176">
        <f>('Pivot Table for Data Exchange'!$E$562)*100</f>
        <v>0</v>
      </c>
      <c r="I120" s="179" t="s">
        <v>633</v>
      </c>
      <c r="J120" s="176">
        <f>('Pivot Table for Data Exchange'!$E$565)*100</f>
        <v>37.090527674681297</v>
      </c>
      <c r="K120" s="176">
        <f>('Pivot Table for Data Exchange'!$E$568)*100</f>
        <v>14.558657414878168</v>
      </c>
      <c r="L120" s="177">
        <f>SUM(M120:O120)</f>
        <v>48.350814910440533</v>
      </c>
      <c r="M120" s="176">
        <f>('Pivot Table for Data Exchange'!$E$571)*100</f>
        <v>47.979667581087618</v>
      </c>
      <c r="N120" s="176">
        <f>('Pivot Table for Data Exchange'!$E$574)*100</f>
        <v>0.37114732935291272</v>
      </c>
      <c r="O120" s="178">
        <f>('Pivot Table for Data Exchange'!$E$577)*100</f>
        <v>0</v>
      </c>
      <c r="P120" s="176">
        <f>('Pivot Table for Data Exchange'!$E$580)*100</f>
        <v>0</v>
      </c>
      <c r="Q120" s="168">
        <f t="shared" si="14"/>
        <v>100</v>
      </c>
      <c r="R120" s="168">
        <f t="shared" si="15"/>
        <v>100</v>
      </c>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row>
    <row r="121" spans="1:41" s="207" customFormat="1" ht="13.5" customHeight="1">
      <c r="A121" s="182" t="s">
        <v>658</v>
      </c>
      <c r="B121" s="183"/>
      <c r="C121" s="183"/>
      <c r="D121" s="184"/>
      <c r="E121" s="183"/>
      <c r="F121" s="184"/>
      <c r="G121" s="184"/>
      <c r="H121" s="183"/>
      <c r="I121" s="182" t="s">
        <v>658</v>
      </c>
      <c r="J121" s="183"/>
      <c r="K121" s="183"/>
      <c r="L121" s="184"/>
      <c r="M121" s="183"/>
      <c r="N121" s="184"/>
      <c r="O121" s="184"/>
      <c r="P121" s="183"/>
      <c r="Q121" s="168">
        <f t="shared" si="14"/>
        <v>0</v>
      </c>
      <c r="R121" s="168">
        <f t="shared" si="15"/>
        <v>0</v>
      </c>
      <c r="S121" s="220"/>
      <c r="T121" s="220"/>
      <c r="U121" s="220"/>
      <c r="V121" s="220"/>
      <c r="W121" s="220"/>
      <c r="X121" s="220"/>
      <c r="Y121" s="220"/>
      <c r="Z121" s="220"/>
      <c r="AA121" s="220"/>
      <c r="AB121" s="220"/>
      <c r="AC121" s="220"/>
      <c r="AD121" s="220"/>
      <c r="AE121" s="220"/>
      <c r="AF121" s="220"/>
      <c r="AG121" s="220"/>
      <c r="AH121" s="220"/>
      <c r="AI121" s="220"/>
      <c r="AJ121" s="220"/>
      <c r="AK121" s="220"/>
      <c r="AL121" s="220"/>
      <c r="AM121" s="220"/>
      <c r="AN121" s="220"/>
      <c r="AO121" s="220"/>
    </row>
    <row r="122" spans="1:41" s="207" customFormat="1" ht="26.25" customHeight="1">
      <c r="A122" s="633" t="s">
        <v>664</v>
      </c>
      <c r="B122" s="634"/>
      <c r="C122" s="634"/>
      <c r="D122" s="634"/>
      <c r="E122" s="634"/>
      <c r="F122" s="634"/>
      <c r="G122" s="634"/>
      <c r="H122" s="634"/>
      <c r="I122" s="633" t="s">
        <v>664</v>
      </c>
      <c r="J122" s="634"/>
      <c r="K122" s="634"/>
      <c r="L122" s="634"/>
      <c r="M122" s="634"/>
      <c r="N122" s="634"/>
      <c r="O122" s="634"/>
      <c r="P122" s="634"/>
      <c r="Q122" s="168">
        <f t="shared" si="14"/>
        <v>0</v>
      </c>
      <c r="R122" s="168">
        <f t="shared" si="15"/>
        <v>0</v>
      </c>
      <c r="S122" s="220"/>
      <c r="T122" s="220"/>
      <c r="U122" s="220"/>
      <c r="V122" s="220"/>
      <c r="W122" s="220"/>
      <c r="X122" s="220"/>
      <c r="Y122" s="220"/>
      <c r="Z122" s="220"/>
      <c r="AA122" s="220"/>
      <c r="AB122" s="220"/>
      <c r="AC122" s="220"/>
      <c r="AD122" s="220"/>
      <c r="AE122" s="220"/>
      <c r="AF122" s="220"/>
      <c r="AG122" s="220"/>
      <c r="AH122" s="220"/>
      <c r="AI122" s="220"/>
      <c r="AJ122" s="220"/>
      <c r="AK122" s="220"/>
      <c r="AL122" s="220"/>
      <c r="AM122" s="220"/>
      <c r="AN122" s="220"/>
      <c r="AO122" s="220"/>
    </row>
    <row r="123" spans="1:41" s="207" customFormat="1" ht="13.5" customHeight="1">
      <c r="A123" s="192"/>
      <c r="B123" s="193"/>
      <c r="C123" s="181"/>
      <c r="D123" s="181"/>
      <c r="E123" s="181"/>
      <c r="F123" s="181"/>
      <c r="G123" s="181"/>
      <c r="H123" s="181"/>
      <c r="I123" s="192"/>
      <c r="J123" s="181"/>
      <c r="K123" s="181"/>
      <c r="L123" s="181"/>
      <c r="M123" s="181"/>
      <c r="N123" s="181"/>
      <c r="O123" s="181"/>
      <c r="P123" s="194"/>
      <c r="Q123" s="168">
        <f t="shared" si="14"/>
        <v>0</v>
      </c>
      <c r="R123" s="168">
        <f t="shared" si="15"/>
        <v>0</v>
      </c>
    </row>
    <row r="124" spans="1:41" s="207" customFormat="1" ht="13.5" customHeight="1">
      <c r="A124" s="181"/>
      <c r="B124" s="181"/>
      <c r="C124" s="181"/>
      <c r="D124" s="181"/>
      <c r="E124" s="181"/>
      <c r="F124" s="181"/>
      <c r="G124" s="181"/>
      <c r="H124" s="187" t="s">
        <v>992</v>
      </c>
      <c r="I124" s="192"/>
      <c r="J124" s="181"/>
      <c r="K124" s="181"/>
      <c r="L124" s="181"/>
      <c r="M124" s="181"/>
      <c r="N124" s="181"/>
      <c r="O124" s="181"/>
      <c r="P124" s="187" t="s">
        <v>992</v>
      </c>
      <c r="Q124" s="168">
        <f t="shared" si="14"/>
        <v>0</v>
      </c>
      <c r="R124" s="168">
        <f t="shared" si="15"/>
        <v>0</v>
      </c>
    </row>
    <row r="125" spans="1:41" ht="18">
      <c r="A125" s="129" t="s">
        <v>665</v>
      </c>
      <c r="B125" s="130"/>
      <c r="C125" s="130"/>
      <c r="D125" s="130"/>
      <c r="E125" s="130"/>
      <c r="F125" s="130"/>
      <c r="G125" s="130"/>
      <c r="H125" s="130"/>
      <c r="I125" s="129" t="s">
        <v>666</v>
      </c>
      <c r="J125" s="131"/>
      <c r="K125" s="131"/>
      <c r="L125" s="130"/>
      <c r="M125" s="131"/>
      <c r="N125" s="131"/>
      <c r="O125" s="131"/>
      <c r="P125" s="131"/>
      <c r="Q125" s="168">
        <f t="shared" si="14"/>
        <v>0</v>
      </c>
      <c r="R125" s="168">
        <f t="shared" si="15"/>
        <v>0</v>
      </c>
    </row>
    <row r="126" spans="1:41">
      <c r="A126" s="135"/>
      <c r="B126" s="131"/>
      <c r="C126" s="131"/>
      <c r="D126" s="131"/>
      <c r="E126" s="131"/>
      <c r="F126" s="131"/>
      <c r="G126" s="131"/>
      <c r="H126" s="131"/>
      <c r="I126" s="135"/>
      <c r="J126" s="131"/>
      <c r="K126" s="131"/>
      <c r="L126" s="131"/>
      <c r="M126" s="131"/>
      <c r="N126" s="131"/>
      <c r="O126" s="131"/>
      <c r="P126" s="131"/>
      <c r="Q126" s="168">
        <f t="shared" si="14"/>
        <v>0</v>
      </c>
      <c r="R126" s="168">
        <f t="shared" si="15"/>
        <v>0</v>
      </c>
    </row>
    <row r="127" spans="1:41" ht="15.75">
      <c r="A127" s="137" t="s">
        <v>639</v>
      </c>
      <c r="B127" s="131"/>
      <c r="C127" s="131"/>
      <c r="D127" s="131"/>
      <c r="E127" s="131"/>
      <c r="F127" s="131"/>
      <c r="G127" s="131"/>
      <c r="H127" s="131"/>
      <c r="I127" s="137" t="s">
        <v>640</v>
      </c>
      <c r="J127" s="131"/>
      <c r="K127" s="131"/>
      <c r="L127" s="131"/>
      <c r="M127" s="131"/>
      <c r="N127" s="131"/>
      <c r="O127" s="131"/>
      <c r="P127" s="131"/>
      <c r="Q127" s="168">
        <f t="shared" si="14"/>
        <v>0</v>
      </c>
      <c r="R127" s="168">
        <f t="shared" si="15"/>
        <v>0</v>
      </c>
    </row>
    <row r="128" spans="1:41" ht="15.75">
      <c r="A128" s="137" t="s">
        <v>965</v>
      </c>
      <c r="B128" s="131"/>
      <c r="C128" s="131"/>
      <c r="D128" s="131"/>
      <c r="E128" s="131"/>
      <c r="F128" s="131"/>
      <c r="G128" s="131"/>
      <c r="H128" s="131"/>
      <c r="I128" s="137" t="s">
        <v>965</v>
      </c>
      <c r="J128" s="131"/>
      <c r="K128" s="131"/>
      <c r="L128" s="131"/>
      <c r="M128" s="131"/>
      <c r="N128" s="131"/>
      <c r="O128" s="131"/>
      <c r="P128" s="131"/>
      <c r="Q128" s="168">
        <f t="shared" si="14"/>
        <v>0</v>
      </c>
      <c r="R128" s="168">
        <f t="shared" si="15"/>
        <v>0</v>
      </c>
    </row>
    <row r="129" spans="1:41">
      <c r="A129" s="140"/>
      <c r="B129" s="141"/>
      <c r="C129" s="141"/>
      <c r="D129" s="141"/>
      <c r="E129" s="141"/>
      <c r="F129" s="141"/>
      <c r="G129" s="141"/>
      <c r="H129" s="141"/>
      <c r="I129" s="142"/>
      <c r="L129" s="143"/>
      <c r="P129" s="140"/>
      <c r="Q129" s="168">
        <f t="shared" si="14"/>
        <v>0</v>
      </c>
      <c r="R129" s="168">
        <f t="shared" si="15"/>
        <v>0</v>
      </c>
    </row>
    <row r="130" spans="1:41" s="161" customFormat="1">
      <c r="A130" s="145"/>
      <c r="B130" s="146" t="s">
        <v>641</v>
      </c>
      <c r="C130" s="146"/>
      <c r="D130" s="146"/>
      <c r="E130" s="146"/>
      <c r="F130" s="146"/>
      <c r="G130" s="146"/>
      <c r="H130" s="147"/>
      <c r="I130" s="145"/>
      <c r="J130" s="146" t="s">
        <v>641</v>
      </c>
      <c r="K130" s="146"/>
      <c r="L130" s="146"/>
      <c r="M130" s="146"/>
      <c r="N130" s="146"/>
      <c r="O130" s="146"/>
      <c r="P130" s="147"/>
      <c r="Q130" s="168">
        <f t="shared" si="14"/>
        <v>0</v>
      </c>
      <c r="R130" s="168">
        <f t="shared" si="15"/>
        <v>0</v>
      </c>
    </row>
    <row r="131" spans="1:41" s="161" customFormat="1">
      <c r="A131" s="145"/>
      <c r="B131" s="146" t="s">
        <v>642</v>
      </c>
      <c r="C131" s="146"/>
      <c r="D131" s="639" t="s">
        <v>643</v>
      </c>
      <c r="E131" s="637"/>
      <c r="F131" s="637"/>
      <c r="G131" s="637"/>
      <c r="H131" s="153" t="s">
        <v>533</v>
      </c>
      <c r="I131" s="145"/>
      <c r="J131" s="146" t="s">
        <v>642</v>
      </c>
      <c r="K131" s="146"/>
      <c r="L131" s="639" t="s">
        <v>643</v>
      </c>
      <c r="M131" s="637"/>
      <c r="N131" s="637"/>
      <c r="O131" s="637"/>
      <c r="P131" s="153" t="s">
        <v>533</v>
      </c>
      <c r="Q131" s="168">
        <f t="shared" si="14"/>
        <v>0</v>
      </c>
      <c r="R131" s="168">
        <f t="shared" si="15"/>
        <v>0</v>
      </c>
    </row>
    <row r="132" spans="1:41" s="161" customFormat="1" ht="40.5" customHeight="1">
      <c r="A132" s="145"/>
      <c r="B132" s="154" t="s">
        <v>644</v>
      </c>
      <c r="C132" s="155" t="s">
        <v>645</v>
      </c>
      <c r="D132" s="156" t="s">
        <v>646</v>
      </c>
      <c r="E132" s="157" t="s">
        <v>8</v>
      </c>
      <c r="F132" s="154" t="s">
        <v>647</v>
      </c>
      <c r="G132" s="158" t="s">
        <v>656</v>
      </c>
      <c r="H132" s="159" t="s">
        <v>649</v>
      </c>
      <c r="I132" s="145"/>
      <c r="J132" s="154" t="s">
        <v>644</v>
      </c>
      <c r="K132" s="155" t="s">
        <v>645</v>
      </c>
      <c r="L132" s="156" t="s">
        <v>646</v>
      </c>
      <c r="M132" s="157" t="s">
        <v>8</v>
      </c>
      <c r="N132" s="154" t="s">
        <v>647</v>
      </c>
      <c r="O132" s="158" t="s">
        <v>656</v>
      </c>
      <c r="P132" s="159" t="s">
        <v>649</v>
      </c>
      <c r="Q132" s="168">
        <f t="shared" si="14"/>
        <v>0</v>
      </c>
      <c r="R132" s="168">
        <f t="shared" si="15"/>
        <v>0</v>
      </c>
      <c r="T132" s="160"/>
    </row>
    <row r="133" spans="1:41" ht="15.75" customHeight="1">
      <c r="A133" s="189" t="s">
        <v>618</v>
      </c>
      <c r="B133" s="216">
        <f>('Pivot Table for Data Exchange'!$F$7)*100</f>
        <v>41.640102920706468</v>
      </c>
      <c r="C133" s="163">
        <f>('Pivot Table for Data Exchange'!$F$10)*100</f>
        <v>0.10484896326068224</v>
      </c>
      <c r="D133" s="164">
        <f>SUM(E133:G133)</f>
        <v>58.255048116032846</v>
      </c>
      <c r="E133" s="163">
        <f>('Pivot Table for Data Exchange'!$F$13)*100</f>
        <v>58.255048116032846</v>
      </c>
      <c r="F133" s="163">
        <f>('Pivot Table for Data Exchange'!$F$16)*100</f>
        <v>0</v>
      </c>
      <c r="G133" s="167">
        <f>('Pivot Table for Data Exchange'!$F$19)*100</f>
        <v>0</v>
      </c>
      <c r="H133" s="163">
        <f>('Pivot Table for Data Exchange'!$F$22)*100</f>
        <v>0</v>
      </c>
      <c r="I133" s="166" t="s">
        <v>618</v>
      </c>
      <c r="J133" s="163">
        <f>('Pivot Table for Data Exchange'!$F$25)*100</f>
        <v>8.7193938255369776</v>
      </c>
      <c r="K133" s="163">
        <f>('Pivot Table for Data Exchange'!$F$28)*100</f>
        <v>0.12399023107270338</v>
      </c>
      <c r="L133" s="164">
        <f>SUM(M133:O133)</f>
        <v>91.156615943390321</v>
      </c>
      <c r="M133" s="163">
        <f>('Pivot Table for Data Exchange'!$F$31)*100</f>
        <v>91.156615943390321</v>
      </c>
      <c r="N133" s="163">
        <f>('Pivot Table for Data Exchange'!$F$34)*100</f>
        <v>0</v>
      </c>
      <c r="O133" s="167">
        <f>('Pivot Table for Data Exchange'!$F$37)*100</f>
        <v>0</v>
      </c>
      <c r="P133" s="163">
        <f>('Pivot Table for Data Exchange'!$F$40)*100</f>
        <v>0</v>
      </c>
      <c r="Q133" s="168">
        <f t="shared" si="14"/>
        <v>100</v>
      </c>
      <c r="R133" s="168">
        <f t="shared" si="15"/>
        <v>100</v>
      </c>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row>
    <row r="134" spans="1:41" ht="15.75" customHeight="1">
      <c r="A134" s="134" t="s">
        <v>619</v>
      </c>
      <c r="B134" s="163">
        <f>('Pivot Table for Data Exchange'!$F$43)*100</f>
        <v>28.554902357105071</v>
      </c>
      <c r="C134" s="163">
        <f>('Pivot Table for Data Exchange'!$F$46)*100</f>
        <v>6.4761257638766443</v>
      </c>
      <c r="D134" s="164">
        <f t="shared" ref="D134:D136" si="20">SUM(E134:G134)</f>
        <v>64.968971879018284</v>
      </c>
      <c r="E134" s="163">
        <f>('Pivot Table for Data Exchange'!$F$49)*100</f>
        <v>64.968971879018284</v>
      </c>
      <c r="F134" s="175">
        <f>('Pivot Table for Data Exchange'!$F$52)*100</f>
        <v>0</v>
      </c>
      <c r="G134" s="171">
        <f>('Pivot Table for Data Exchange'!$F$55)*100</f>
        <v>0</v>
      </c>
      <c r="H134" s="163">
        <f>('Pivot Table for Data Exchange'!$F$58)*100</f>
        <v>0</v>
      </c>
      <c r="I134" s="169" t="s">
        <v>619</v>
      </c>
      <c r="J134" s="163">
        <f>('Pivot Table for Data Exchange'!$F$61)*100</f>
        <v>4.8133801759601242</v>
      </c>
      <c r="K134" s="163">
        <f>('Pivot Table for Data Exchange'!$F$64)*100</f>
        <v>4.396000360327899</v>
      </c>
      <c r="L134" s="164">
        <f t="shared" ref="L134:L136" si="21">SUM(M134:O134)</f>
        <v>90.790619463711977</v>
      </c>
      <c r="M134" s="163">
        <f>('Pivot Table for Data Exchange'!$F$67)*100</f>
        <v>90.790619463711977</v>
      </c>
      <c r="N134" s="163">
        <f>('Pivot Table for Data Exchange'!$F$70)*100</f>
        <v>0</v>
      </c>
      <c r="O134" s="171">
        <f>('Pivot Table for Data Exchange'!$F$73)*100</f>
        <v>0</v>
      </c>
      <c r="P134" s="163">
        <f>('Pivot Table for Data Exchange'!$F$76)*100</f>
        <v>0</v>
      </c>
      <c r="Q134" s="168">
        <f t="shared" si="14"/>
        <v>100</v>
      </c>
      <c r="R134" s="168">
        <f t="shared" si="15"/>
        <v>100</v>
      </c>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row>
    <row r="135" spans="1:41" ht="15.75" customHeight="1">
      <c r="A135" s="134" t="s">
        <v>620</v>
      </c>
      <c r="B135" s="163">
        <f>('Pivot Table for Data Exchange'!$F$79)*100</f>
        <v>0</v>
      </c>
      <c r="C135" s="163">
        <f>('Pivot Table for Data Exchange'!$F$82)*100</f>
        <v>0</v>
      </c>
      <c r="D135" s="164">
        <f t="shared" si="20"/>
        <v>0</v>
      </c>
      <c r="E135" s="163">
        <f>('Pivot Table for Data Exchange'!$F$85)*100</f>
        <v>0</v>
      </c>
      <c r="F135" s="163">
        <f>('Pivot Table for Data Exchange'!$F$88)*100</f>
        <v>0</v>
      </c>
      <c r="G135" s="171">
        <f>('Pivot Table for Data Exchange'!$F$91)*100</f>
        <v>0</v>
      </c>
      <c r="H135" s="163">
        <f>('Pivot Table for Data Exchange'!$F$94)*100</f>
        <v>0</v>
      </c>
      <c r="I135" s="169" t="s">
        <v>620</v>
      </c>
      <c r="J135" s="163">
        <f>('Pivot Table for Data Exchange'!$F$97)*100</f>
        <v>0</v>
      </c>
      <c r="K135" s="163">
        <f>('Pivot Table for Data Exchange'!$F$100)*100</f>
        <v>0</v>
      </c>
      <c r="L135" s="164">
        <f t="shared" si="21"/>
        <v>0</v>
      </c>
      <c r="M135" s="163">
        <f>('Pivot Table for Data Exchange'!$F$103)*100</f>
        <v>0</v>
      </c>
      <c r="N135" s="163">
        <f>('Pivot Table for Data Exchange'!$F$106)*100</f>
        <v>0</v>
      </c>
      <c r="O135" s="171">
        <f>('Pivot Table for Data Exchange'!$F$109)*100</f>
        <v>0</v>
      </c>
      <c r="P135" s="163">
        <f>('Pivot Table for Data Exchange'!$F$112)*100</f>
        <v>0</v>
      </c>
      <c r="Q135" s="168">
        <f t="shared" si="14"/>
        <v>0</v>
      </c>
      <c r="R135" s="168">
        <f t="shared" si="15"/>
        <v>0</v>
      </c>
      <c r="S135" s="217"/>
      <c r="T135" s="221"/>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row>
    <row r="136" spans="1:41" ht="15.75" customHeight="1">
      <c r="A136" s="134" t="s">
        <v>657</v>
      </c>
      <c r="B136" s="163">
        <f>('Pivot Table for Data Exchange'!$F$115)*100</f>
        <v>0</v>
      </c>
      <c r="C136" s="163">
        <f>('Pivot Table for Data Exchange'!$F$118)*100</f>
        <v>0</v>
      </c>
      <c r="D136" s="164">
        <f t="shared" si="20"/>
        <v>0</v>
      </c>
      <c r="E136" s="163">
        <f>('Pivot Table for Data Exchange'!$F$121)*100</f>
        <v>0</v>
      </c>
      <c r="F136" s="172">
        <f>('Pivot Table for Data Exchange'!$F$124)*100</f>
        <v>0</v>
      </c>
      <c r="G136" s="174">
        <f>('Pivot Table for Data Exchange'!$F$127)*100</f>
        <v>0</v>
      </c>
      <c r="H136" s="163">
        <f>('Pivot Table for Data Exchange'!$F$130)*100</f>
        <v>0</v>
      </c>
      <c r="I136" s="169" t="s">
        <v>657</v>
      </c>
      <c r="J136" s="163">
        <f>('Pivot Table for Data Exchange'!$F$133)*100</f>
        <v>0</v>
      </c>
      <c r="K136" s="163">
        <f>('Pivot Table for Data Exchange'!$F$136)*100</f>
        <v>0</v>
      </c>
      <c r="L136" s="164">
        <f t="shared" si="21"/>
        <v>0</v>
      </c>
      <c r="M136" s="163">
        <f>('Pivot Table for Data Exchange'!$F$139)*100</f>
        <v>0</v>
      </c>
      <c r="N136" s="163">
        <f>('Pivot Table for Data Exchange'!$F$142)*100</f>
        <v>0</v>
      </c>
      <c r="O136" s="171">
        <f>('Pivot Table for Data Exchange'!$F$145)*100</f>
        <v>0</v>
      </c>
      <c r="P136" s="163">
        <f>('Pivot Table for Data Exchange'!$F$148)*100</f>
        <v>0</v>
      </c>
      <c r="Q136" s="168">
        <f t="shared" si="14"/>
        <v>0</v>
      </c>
      <c r="R136" s="168">
        <f t="shared" si="15"/>
        <v>0</v>
      </c>
      <c r="S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row>
    <row r="137" spans="1:41" ht="15.75" customHeight="1">
      <c r="B137" s="163"/>
      <c r="C137" s="163"/>
      <c r="D137" s="164"/>
      <c r="E137" s="163"/>
      <c r="F137" s="163"/>
      <c r="G137" s="171"/>
      <c r="H137" s="163"/>
      <c r="I137" s="169"/>
      <c r="J137" s="163"/>
      <c r="K137" s="163"/>
      <c r="L137" s="164"/>
      <c r="M137" s="163"/>
      <c r="N137" s="163"/>
      <c r="O137" s="171"/>
      <c r="P137" s="163"/>
      <c r="Q137" s="168">
        <f t="shared" si="14"/>
        <v>0</v>
      </c>
      <c r="R137" s="168">
        <f t="shared" si="15"/>
        <v>0</v>
      </c>
      <c r="S137" s="217"/>
      <c r="U137" s="217"/>
      <c r="V137" s="217"/>
      <c r="W137" s="217"/>
      <c r="X137" s="217"/>
      <c r="Y137" s="217"/>
      <c r="Z137" s="217"/>
      <c r="AA137" s="217"/>
      <c r="AB137" s="217"/>
      <c r="AC137" s="217"/>
      <c r="AD137" s="217"/>
      <c r="AE137" s="217"/>
      <c r="AF137" s="217"/>
      <c r="AG137" s="217"/>
      <c r="AH137" s="217"/>
      <c r="AI137" s="217"/>
      <c r="AJ137" s="217"/>
      <c r="AK137" s="217"/>
      <c r="AL137" s="217"/>
      <c r="AM137" s="217"/>
      <c r="AN137" s="217"/>
      <c r="AO137" s="217"/>
    </row>
    <row r="138" spans="1:41" ht="15.75" customHeight="1">
      <c r="A138" s="134" t="s">
        <v>622</v>
      </c>
      <c r="B138" s="163">
        <f>('Pivot Table for Data Exchange'!$F$151)*100</f>
        <v>56.379690914441468</v>
      </c>
      <c r="C138" s="163">
        <f>('Pivot Table for Data Exchange'!$F$154)*100</f>
        <v>1.1511228963544229</v>
      </c>
      <c r="D138" s="164">
        <f t="shared" ref="D138:D139" si="22">SUM(E138:G138)</f>
        <v>42.469186189204109</v>
      </c>
      <c r="E138" s="163">
        <f>('Pivot Table for Data Exchange'!$F$157)*100</f>
        <v>42.044586511691854</v>
      </c>
      <c r="F138" s="175">
        <f>('Pivot Table for Data Exchange'!$F$160)*100</f>
        <v>0.35242797504403378</v>
      </c>
      <c r="G138" s="171">
        <f>('Pivot Table for Data Exchange'!$F$163)*100</f>
        <v>7.2171702468217067E-2</v>
      </c>
      <c r="H138" s="172">
        <f>('Pivot Table for Data Exchange'!$F$166)*100</f>
        <v>0</v>
      </c>
      <c r="I138" s="169" t="s">
        <v>622</v>
      </c>
      <c r="J138" s="163">
        <f>('Pivot Table for Data Exchange'!$F$169)*100</f>
        <v>57.127191000403712</v>
      </c>
      <c r="K138" s="163">
        <f>('Pivot Table for Data Exchange'!$F$172)*100</f>
        <v>4.4422552014605667</v>
      </c>
      <c r="L138" s="164">
        <f t="shared" ref="L138:L139" si="23">SUM(M138:O138)</f>
        <v>38.430553798135733</v>
      </c>
      <c r="M138" s="163">
        <f>('Pivot Table for Data Exchange'!$F$175)*100</f>
        <v>38.430553798135733</v>
      </c>
      <c r="N138" s="172">
        <f>('Pivot Table for Data Exchange'!$F$178)*100</f>
        <v>0</v>
      </c>
      <c r="O138" s="171">
        <f>('Pivot Table for Data Exchange'!$F$181)*100</f>
        <v>0</v>
      </c>
      <c r="P138" s="163">
        <f>('Pivot Table for Data Exchange'!$F$184)*100</f>
        <v>0</v>
      </c>
      <c r="Q138" s="168">
        <f t="shared" si="14"/>
        <v>100</v>
      </c>
      <c r="R138" s="168">
        <f t="shared" si="15"/>
        <v>100.00000000000001</v>
      </c>
      <c r="S138" s="217"/>
      <c r="T138" s="217"/>
      <c r="U138" s="217"/>
      <c r="V138" s="217"/>
      <c r="W138" s="217"/>
      <c r="X138" s="217"/>
      <c r="Y138" s="217"/>
      <c r="Z138" s="217"/>
      <c r="AA138" s="217"/>
      <c r="AB138" s="217"/>
      <c r="AC138" s="217"/>
      <c r="AD138" s="217"/>
      <c r="AE138" s="217"/>
      <c r="AF138" s="217"/>
      <c r="AG138" s="217"/>
      <c r="AH138" s="217"/>
      <c r="AI138" s="217"/>
      <c r="AJ138" s="217"/>
      <c r="AK138" s="217"/>
      <c r="AL138" s="217"/>
      <c r="AM138" s="217"/>
      <c r="AN138" s="217"/>
      <c r="AO138" s="217"/>
    </row>
    <row r="139" spans="1:41" ht="15.75" customHeight="1">
      <c r="A139" s="134" t="s">
        <v>623</v>
      </c>
      <c r="B139" s="163">
        <f>('Pivot Table for Data Exchange'!$F$187)*100</f>
        <v>33.444566582914575</v>
      </c>
      <c r="C139" s="163">
        <f>('Pivot Table for Data Exchange'!$F$190)*100</f>
        <v>6.4777010050251257E-2</v>
      </c>
      <c r="D139" s="164">
        <f t="shared" si="22"/>
        <v>66.490656407035175</v>
      </c>
      <c r="E139" s="163">
        <f>('Pivot Table for Data Exchange'!$F$193)*100</f>
        <v>66.490656407035175</v>
      </c>
      <c r="F139" s="163">
        <f>('Pivot Table for Data Exchange'!$F$196)*100</f>
        <v>0</v>
      </c>
      <c r="G139" s="174">
        <f>('Pivot Table for Data Exchange'!$F$199)*100</f>
        <v>0</v>
      </c>
      <c r="H139" s="163">
        <f>('Pivot Table for Data Exchange'!$F$202)*100</f>
        <v>0</v>
      </c>
      <c r="I139" s="169" t="s">
        <v>623</v>
      </c>
      <c r="J139" s="163">
        <f>('Pivot Table for Data Exchange'!$F$205)*100</f>
        <v>32.32169954476479</v>
      </c>
      <c r="K139" s="163">
        <f>('Pivot Table for Data Exchange'!$F$208)*100</f>
        <v>0</v>
      </c>
      <c r="L139" s="164">
        <f t="shared" si="23"/>
        <v>67.678300455235203</v>
      </c>
      <c r="M139" s="163">
        <f>('Pivot Table for Data Exchange'!$F$211)*100</f>
        <v>67.678300455235203</v>
      </c>
      <c r="N139" s="163">
        <f>('Pivot Table for Data Exchange'!$F$214)*100</f>
        <v>0</v>
      </c>
      <c r="O139" s="171">
        <f>('Pivot Table for Data Exchange'!$F$217)*100</f>
        <v>0</v>
      </c>
      <c r="P139" s="163">
        <f>('Pivot Table for Data Exchange'!$F$220)*100</f>
        <v>0</v>
      </c>
      <c r="Q139" s="168">
        <f t="shared" si="14"/>
        <v>100</v>
      </c>
      <c r="R139" s="168">
        <f t="shared" si="15"/>
        <v>100</v>
      </c>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row>
    <row r="140" spans="1:41" ht="15.75" customHeight="1">
      <c r="A140" s="134" t="s">
        <v>624</v>
      </c>
      <c r="B140" s="163">
        <f>('Pivot Table for Data Exchange'!$F$223)*100</f>
        <v>46.647584410239538</v>
      </c>
      <c r="C140" s="163">
        <f>('Pivot Table for Data Exchange'!$F$226)*100</f>
        <v>0</v>
      </c>
      <c r="D140" s="164">
        <f>SUM(E140:G140)</f>
        <v>53.352415589760462</v>
      </c>
      <c r="E140" s="163">
        <f>('Pivot Table for Data Exchange'!$F$229)*100</f>
        <v>53.352415589760462</v>
      </c>
      <c r="F140" s="163">
        <f>('Pivot Table for Data Exchange'!$F$232)*100</f>
        <v>0</v>
      </c>
      <c r="G140" s="171">
        <f>('Pivot Table for Data Exchange'!$F$235)*100</f>
        <v>0</v>
      </c>
      <c r="H140" s="163">
        <f>('Pivot Table for Data Exchange'!$F$238)*100</f>
        <v>0</v>
      </c>
      <c r="I140" s="169" t="s">
        <v>624</v>
      </c>
      <c r="J140" s="163">
        <f>('Pivot Table for Data Exchange'!$F$241)*100</f>
        <v>17.780355013686478</v>
      </c>
      <c r="K140" s="163">
        <f>('Pivot Table for Data Exchange'!$F$244)*100</f>
        <v>0</v>
      </c>
      <c r="L140" s="164">
        <f>SUM(M140:O140)</f>
        <v>82.219644986313526</v>
      </c>
      <c r="M140" s="163">
        <f>('Pivot Table for Data Exchange'!$F$247)*100</f>
        <v>82.219644986313526</v>
      </c>
      <c r="N140" s="163">
        <f>('Pivot Table for Data Exchange'!$F$250)*100</f>
        <v>0</v>
      </c>
      <c r="O140" s="171">
        <f>('Pivot Table for Data Exchange'!$F$253)*100</f>
        <v>0</v>
      </c>
      <c r="P140" s="163">
        <f>('Pivot Table for Data Exchange'!$F$256)*100</f>
        <v>0</v>
      </c>
      <c r="Q140" s="168">
        <f t="shared" si="14"/>
        <v>100</v>
      </c>
      <c r="R140" s="168">
        <f t="shared" si="15"/>
        <v>100</v>
      </c>
      <c r="S140" s="217"/>
      <c r="T140" s="221"/>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row>
    <row r="141" spans="1:41" ht="15.75" customHeight="1">
      <c r="A141" s="134" t="s">
        <v>625</v>
      </c>
      <c r="B141" s="163">
        <f>('Pivot Table for Data Exchange'!$F$259)*100</f>
        <v>44.269207809326161</v>
      </c>
      <c r="C141" s="163">
        <f>('Pivot Table for Data Exchange'!$F$262)*100</f>
        <v>0.58393663436151588</v>
      </c>
      <c r="D141" s="164">
        <f>SUM(E141:G141)</f>
        <v>55.146855556312325</v>
      </c>
      <c r="E141" s="163">
        <f>('Pivot Table for Data Exchange'!$F$265)*100</f>
        <v>55.146855556312325</v>
      </c>
      <c r="F141" s="163">
        <f>('Pivot Table for Data Exchange'!$F$268)*100</f>
        <v>0</v>
      </c>
      <c r="G141" s="171">
        <f>('Pivot Table for Data Exchange'!$F$271)*100</f>
        <v>0</v>
      </c>
      <c r="H141" s="163">
        <f>('Pivot Table for Data Exchange'!$F$274)*100</f>
        <v>0</v>
      </c>
      <c r="I141" s="169" t="s">
        <v>625</v>
      </c>
      <c r="J141" s="163">
        <f>('Pivot Table for Data Exchange'!$F$277)*100</f>
        <v>36.046436424783337</v>
      </c>
      <c r="K141" s="163">
        <f>('Pivot Table for Data Exchange'!$F$280)*100</f>
        <v>5.5668736256629163</v>
      </c>
      <c r="L141" s="164">
        <f>SUM(M141:O141)</f>
        <v>58.386689949553748</v>
      </c>
      <c r="M141" s="163">
        <f>('Pivot Table for Data Exchange'!$F$283)*100</f>
        <v>58.386689949553748</v>
      </c>
      <c r="N141" s="163">
        <f>('Pivot Table for Data Exchange'!$F$286)*100</f>
        <v>0</v>
      </c>
      <c r="O141" s="171">
        <f>('Pivot Table for Data Exchange'!$F$289)*100</f>
        <v>0</v>
      </c>
      <c r="P141" s="163">
        <f>('Pivot Table for Data Exchange'!$F$292)*100</f>
        <v>0</v>
      </c>
      <c r="Q141" s="168">
        <f t="shared" si="14"/>
        <v>100</v>
      </c>
      <c r="R141" s="168">
        <f t="shared" si="15"/>
        <v>100</v>
      </c>
      <c r="S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row>
    <row r="142" spans="1:41" ht="15.75" customHeight="1">
      <c r="B142" s="163"/>
      <c r="C142" s="163"/>
      <c r="D142" s="164"/>
      <c r="E142" s="163"/>
      <c r="F142" s="163"/>
      <c r="G142" s="171"/>
      <c r="H142" s="163"/>
      <c r="I142" s="169"/>
      <c r="J142" s="163"/>
      <c r="K142" s="163"/>
      <c r="L142" s="164"/>
      <c r="M142" s="163"/>
      <c r="N142" s="163"/>
      <c r="O142" s="171"/>
      <c r="P142" s="163"/>
      <c r="Q142" s="168">
        <f t="shared" si="14"/>
        <v>0</v>
      </c>
      <c r="R142" s="168">
        <f t="shared" si="15"/>
        <v>0</v>
      </c>
      <c r="S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row>
    <row r="143" spans="1:41" ht="15.75" customHeight="1">
      <c r="A143" s="134" t="s">
        <v>626</v>
      </c>
      <c r="B143" s="163">
        <f>('Pivot Table for Data Exchange'!$F$295)*100</f>
        <v>49.665015895913427</v>
      </c>
      <c r="C143" s="163">
        <f>('Pivot Table for Data Exchange'!$F$298)*100</f>
        <v>2.1307607927992906</v>
      </c>
      <c r="D143" s="164">
        <f>SUM(E143:G143)</f>
        <v>47.995569322711731</v>
      </c>
      <c r="E143" s="163">
        <f>('Pivot Table for Data Exchange'!$F$301)*100</f>
        <v>47.995569322711731</v>
      </c>
      <c r="F143" s="163">
        <f>('Pivot Table for Data Exchange'!$F$304)*100</f>
        <v>0</v>
      </c>
      <c r="G143" s="170">
        <f>('Pivot Table for Data Exchange'!$F$307)*100</f>
        <v>0</v>
      </c>
      <c r="H143" s="163">
        <f>('Pivot Table for Data Exchange'!$F$310)*100</f>
        <v>0.20865398857555012</v>
      </c>
      <c r="I143" s="169" t="s">
        <v>626</v>
      </c>
      <c r="J143" s="163">
        <f>('Pivot Table for Data Exchange'!$F$313)*100</f>
        <v>16.839267602626382</v>
      </c>
      <c r="K143" s="163">
        <f>('Pivot Table for Data Exchange'!$F$316)*100</f>
        <v>9.0748945710777768E-2</v>
      </c>
      <c r="L143" s="164">
        <f>SUM(M143:O143)</f>
        <v>82.509475257566862</v>
      </c>
      <c r="M143" s="163">
        <f>('Pivot Table for Data Exchange'!$F$319)*100</f>
        <v>82.421395398494639</v>
      </c>
      <c r="N143" s="163">
        <f>('Pivot Table for Data Exchange'!$F$322)*100</f>
        <v>0</v>
      </c>
      <c r="O143" s="171">
        <f>('Pivot Table for Data Exchange'!$F$325)*100</f>
        <v>8.8079859072225486E-2</v>
      </c>
      <c r="P143" s="163">
        <f>('Pivot Table for Data Exchange'!$F$328)*100</f>
        <v>0.56050819409598041</v>
      </c>
      <c r="Q143" s="168">
        <f t="shared" si="14"/>
        <v>100</v>
      </c>
      <c r="R143" s="168">
        <f t="shared" si="15"/>
        <v>100</v>
      </c>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row>
    <row r="144" spans="1:41" ht="15.75" customHeight="1">
      <c r="A144" s="134" t="s">
        <v>627</v>
      </c>
      <c r="B144" s="163">
        <f>('Pivot Table for Data Exchange'!$F$331)*100</f>
        <v>22.780147343931755</v>
      </c>
      <c r="C144" s="163">
        <f>('Pivot Table for Data Exchange'!$F$334)*100</f>
        <v>0.12463302498199745</v>
      </c>
      <c r="D144" s="164">
        <f>SUM(E144:G144)</f>
        <v>77.095219631086252</v>
      </c>
      <c r="E144" s="163">
        <f>('Pivot Table for Data Exchange'!$F$337)*100</f>
        <v>69.151249099872601</v>
      </c>
      <c r="F144" s="163">
        <f>('Pivot Table for Data Exchange'!$F$340)*100</f>
        <v>7.9439705312136484</v>
      </c>
      <c r="G144" s="171">
        <f>('Pivot Table for Data Exchange'!$F$343)*100</f>
        <v>0</v>
      </c>
      <c r="H144" s="163">
        <f>('Pivot Table for Data Exchange'!$F$346)*100</f>
        <v>0</v>
      </c>
      <c r="I144" s="169" t="s">
        <v>627</v>
      </c>
      <c r="J144" s="163">
        <f>('Pivot Table for Data Exchange'!$F$349)*100</f>
        <v>20.027000363466431</v>
      </c>
      <c r="K144" s="163">
        <f>('Pivot Table for Data Exchange'!$F$352)*100</f>
        <v>0</v>
      </c>
      <c r="L144" s="164">
        <f>SUM(M144:O144)</f>
        <v>79.972999636533572</v>
      </c>
      <c r="M144" s="163">
        <f>('Pivot Table for Data Exchange'!$F$355)*100</f>
        <v>76.104678332208323</v>
      </c>
      <c r="N144" s="163">
        <f>('Pivot Table for Data Exchange'!$F$358)*100</f>
        <v>3.8683213043252507</v>
      </c>
      <c r="O144" s="171">
        <f>('Pivot Table for Data Exchange'!$F$361)*100</f>
        <v>0</v>
      </c>
      <c r="P144" s="163">
        <f>('Pivot Table for Data Exchange'!$F$364)*100</f>
        <v>0</v>
      </c>
      <c r="Q144" s="168">
        <f t="shared" si="14"/>
        <v>100</v>
      </c>
      <c r="R144" s="168">
        <f t="shared" si="15"/>
        <v>100</v>
      </c>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row>
    <row r="145" spans="1:41" ht="15.75" customHeight="1">
      <c r="A145" s="134" t="s">
        <v>628</v>
      </c>
      <c r="B145" s="163">
        <f>('Pivot Table for Data Exchange'!$F$367)*100</f>
        <v>0</v>
      </c>
      <c r="C145" s="163">
        <f>('Pivot Table for Data Exchange'!$F$370)*100</f>
        <v>0</v>
      </c>
      <c r="D145" s="164">
        <f>SUM(E145:G145)</f>
        <v>0</v>
      </c>
      <c r="E145" s="163">
        <f>('Pivot Table for Data Exchange'!$F$373)*100</f>
        <v>0</v>
      </c>
      <c r="F145" s="163">
        <f>('Pivot Table for Data Exchange'!$F$376)*100</f>
        <v>0</v>
      </c>
      <c r="G145" s="171">
        <f>('Pivot Table for Data Exchange'!$F$379)*100</f>
        <v>0</v>
      </c>
      <c r="H145" s="163">
        <f>('Pivot Table for Data Exchange'!$F$382)*100</f>
        <v>0</v>
      </c>
      <c r="I145" s="169" t="s">
        <v>628</v>
      </c>
      <c r="J145" s="163">
        <f>('Pivot Table for Data Exchange'!$F$385)*100</f>
        <v>0</v>
      </c>
      <c r="K145" s="163">
        <f>('Pivot Table for Data Exchange'!$F$388)*100</f>
        <v>0</v>
      </c>
      <c r="L145" s="164">
        <f>SUM(M145:O145)</f>
        <v>0</v>
      </c>
      <c r="M145" s="163">
        <f>('Pivot Table for Data Exchange'!$F$391)*100</f>
        <v>0</v>
      </c>
      <c r="N145" s="163">
        <f>('Pivot Table for Data Exchange'!$F$394)*100</f>
        <v>0</v>
      </c>
      <c r="O145" s="171">
        <f>('Pivot Table for Data Exchange'!$F$397)*100</f>
        <v>0</v>
      </c>
      <c r="P145" s="163">
        <f>('Pivot Table for Data Exchange'!$F$400)*100</f>
        <v>0</v>
      </c>
      <c r="Q145" s="168">
        <f t="shared" si="14"/>
        <v>0</v>
      </c>
      <c r="R145" s="168">
        <f t="shared" si="15"/>
        <v>0</v>
      </c>
      <c r="S145" s="217"/>
      <c r="T145" s="221"/>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row>
    <row r="146" spans="1:41" ht="15.75" customHeight="1">
      <c r="A146" s="134" t="s">
        <v>629</v>
      </c>
      <c r="B146" s="163">
        <f>('Pivot Table for Data Exchange'!$F$403)*100</f>
        <v>63.255437166588848</v>
      </c>
      <c r="C146" s="163">
        <f>('Pivot Table for Data Exchange'!$F$406)*100</f>
        <v>0.26248390428888796</v>
      </c>
      <c r="D146" s="164">
        <f>SUM(E146:G146)</f>
        <v>36.482078929122267</v>
      </c>
      <c r="E146" s="163">
        <f>('Pivot Table for Data Exchange'!$F$409)*100</f>
        <v>36.482078929122267</v>
      </c>
      <c r="F146" s="163">
        <f>('Pivot Table for Data Exchange'!$F$412)*100</f>
        <v>0</v>
      </c>
      <c r="G146" s="171">
        <f>('Pivot Table for Data Exchange'!$F$415)*100</f>
        <v>0</v>
      </c>
      <c r="H146" s="163">
        <f>('Pivot Table for Data Exchange'!$F$418)*100</f>
        <v>0</v>
      </c>
      <c r="I146" s="169" t="s">
        <v>629</v>
      </c>
      <c r="J146" s="163">
        <f>('Pivot Table for Data Exchange'!$F$421)*100</f>
        <v>30.865468366458153</v>
      </c>
      <c r="K146" s="163">
        <f>('Pivot Table for Data Exchange'!$F$424)*100</f>
        <v>0.15836566632354104</v>
      </c>
      <c r="L146" s="164">
        <f>SUM(M146:O146)</f>
        <v>68.976165967218307</v>
      </c>
      <c r="M146" s="163">
        <f>('Pivot Table for Data Exchange'!$F$427)*100</f>
        <v>68.976165967218307</v>
      </c>
      <c r="N146" s="163">
        <f>('Pivot Table for Data Exchange'!$F$430)*100</f>
        <v>0</v>
      </c>
      <c r="O146" s="171">
        <f>('Pivot Table for Data Exchange'!$F$433)*100</f>
        <v>0</v>
      </c>
      <c r="P146" s="163">
        <f>('Pivot Table for Data Exchange'!$F$436)*100</f>
        <v>0</v>
      </c>
      <c r="Q146" s="168">
        <f t="shared" si="14"/>
        <v>100</v>
      </c>
      <c r="R146" s="168">
        <f t="shared" si="15"/>
        <v>100</v>
      </c>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row>
    <row r="147" spans="1:41" ht="15.75" customHeight="1">
      <c r="B147" s="163"/>
      <c r="C147" s="163"/>
      <c r="D147" s="164"/>
      <c r="E147" s="163"/>
      <c r="F147" s="163"/>
      <c r="G147" s="171"/>
      <c r="H147" s="163"/>
      <c r="I147" s="169"/>
      <c r="J147" s="163"/>
      <c r="K147" s="163"/>
      <c r="L147" s="164"/>
      <c r="M147" s="163"/>
      <c r="N147" s="163"/>
      <c r="O147" s="171"/>
      <c r="P147" s="163"/>
      <c r="Q147" s="168">
        <f t="shared" si="14"/>
        <v>0</v>
      </c>
      <c r="R147" s="168">
        <f t="shared" si="15"/>
        <v>0</v>
      </c>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row>
    <row r="148" spans="1:41" ht="15.75" customHeight="1">
      <c r="A148" s="134" t="s">
        <v>630</v>
      </c>
      <c r="B148" s="163">
        <f>('Pivot Table for Data Exchange'!$F$439)*100</f>
        <v>48.953315231672065</v>
      </c>
      <c r="C148" s="163">
        <f>('Pivot Table for Data Exchange'!$F$442)*100</f>
        <v>7.1000734397423546</v>
      </c>
      <c r="D148" s="164">
        <f>SUM(E148:G148)</f>
        <v>43.794341771043179</v>
      </c>
      <c r="E148" s="163">
        <f>('Pivot Table for Data Exchange'!$F$445)*100</f>
        <v>42.346433456182076</v>
      </c>
      <c r="F148" s="163">
        <f>('Pivot Table for Data Exchange'!$F$448)*100</f>
        <v>1.4458870375485948</v>
      </c>
      <c r="G148" s="171">
        <f>('Pivot Table for Data Exchange'!$F$451)*100</f>
        <v>2.0212773125096854E-3</v>
      </c>
      <c r="H148" s="163">
        <f>('Pivot Table for Data Exchange'!$F$454)*100</f>
        <v>0.15226955754239629</v>
      </c>
      <c r="I148" s="169" t="s">
        <v>630</v>
      </c>
      <c r="J148" s="163">
        <f>('Pivot Table for Data Exchange'!$F$457)*100</f>
        <v>5.7885362694300513</v>
      </c>
      <c r="K148" s="163">
        <f>('Pivot Table for Data Exchange'!$F$460)*100</f>
        <v>0.19430051813471502</v>
      </c>
      <c r="L148" s="164">
        <f>SUM(M148:O148)</f>
        <v>94.017163212435236</v>
      </c>
      <c r="M148" s="163">
        <f>('Pivot Table for Data Exchange'!$F$463)*100</f>
        <v>92.495142487046635</v>
      </c>
      <c r="N148" s="163">
        <f>('Pivot Table for Data Exchange'!$F$466)*100</f>
        <v>1.5220207253886011</v>
      </c>
      <c r="O148" s="171">
        <f>('Pivot Table for Data Exchange'!$F$469)*100</f>
        <v>0</v>
      </c>
      <c r="P148" s="163">
        <f>('Pivot Table for Data Exchange'!$F$472)*100</f>
        <v>0</v>
      </c>
      <c r="Q148" s="168">
        <f t="shared" si="14"/>
        <v>99.999999999999986</v>
      </c>
      <c r="R148" s="168">
        <f t="shared" si="15"/>
        <v>100</v>
      </c>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row>
    <row r="149" spans="1:41" ht="15.75" customHeight="1">
      <c r="A149" s="134" t="s">
        <v>631</v>
      </c>
      <c r="B149" s="163">
        <f>('Pivot Table for Data Exchange'!$F$475)*100</f>
        <v>19.208726107889582</v>
      </c>
      <c r="C149" s="163">
        <f>('Pivot Table for Data Exchange'!$F$478)*100</f>
        <v>0.54240678740162551</v>
      </c>
      <c r="D149" s="164">
        <f>SUM(E149:G149)</f>
        <v>80.248867104708793</v>
      </c>
      <c r="E149" s="163">
        <f>('Pivot Table for Data Exchange'!$F$481)*100</f>
        <v>79.94670809091464</v>
      </c>
      <c r="F149" s="163">
        <f>('Pivot Table for Data Exchange'!$F$484)*100</f>
        <v>0.19908081909374808</v>
      </c>
      <c r="G149" s="171">
        <f>('Pivot Table for Data Exchange'!$F$487)*100</f>
        <v>0.10307819470039783</v>
      </c>
      <c r="H149" s="163">
        <f>('Pivot Table for Data Exchange'!$F$490)*100</f>
        <v>0</v>
      </c>
      <c r="I149" s="169" t="s">
        <v>631</v>
      </c>
      <c r="J149" s="163">
        <f>('Pivot Table for Data Exchange'!$F$493)*100</f>
        <v>18.401404803112801</v>
      </c>
      <c r="K149" s="163">
        <f>('Pivot Table for Data Exchange'!$F$496)*100</f>
        <v>0.9664337961266849</v>
      </c>
      <c r="L149" s="164">
        <f>SUM(M149:O149)</f>
        <v>80.632161400760509</v>
      </c>
      <c r="M149" s="163">
        <f>('Pivot Table for Data Exchange'!$F$499)*100</f>
        <v>80.048511186629099</v>
      </c>
      <c r="N149" s="163">
        <f>('Pivot Table for Data Exchange'!$F$502)*100</f>
        <v>0.58365021413140972</v>
      </c>
      <c r="O149" s="171">
        <f>('Pivot Table for Data Exchange'!$F$505)*100</f>
        <v>0</v>
      </c>
      <c r="P149" s="163">
        <f>('Pivot Table for Data Exchange'!$F$508)*100</f>
        <v>0</v>
      </c>
      <c r="Q149" s="168">
        <f t="shared" si="14"/>
        <v>100</v>
      </c>
      <c r="R149" s="168">
        <f t="shared" si="15"/>
        <v>100</v>
      </c>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row>
    <row r="150" spans="1:41" ht="15.75" customHeight="1">
      <c r="A150" s="134" t="s">
        <v>632</v>
      </c>
      <c r="B150" s="163">
        <f>('Pivot Table for Data Exchange'!$F$511)*100</f>
        <v>51.657580779411646</v>
      </c>
      <c r="C150" s="163">
        <f>('Pivot Table for Data Exchange'!$F$514)*100</f>
        <v>0</v>
      </c>
      <c r="D150" s="164">
        <f>SUM(E150:G150)</f>
        <v>48.342419220588347</v>
      </c>
      <c r="E150" s="163">
        <f>('Pivot Table for Data Exchange'!$F$517)*100</f>
        <v>48.342419220588347</v>
      </c>
      <c r="F150" s="163">
        <f>('Pivot Table for Data Exchange'!$F$520)*100</f>
        <v>0</v>
      </c>
      <c r="G150" s="171">
        <f>('Pivot Table for Data Exchange'!$F$523)*100</f>
        <v>0</v>
      </c>
      <c r="H150" s="163">
        <f>('Pivot Table for Data Exchange'!$F$526)*100</f>
        <v>0</v>
      </c>
      <c r="I150" s="169" t="s">
        <v>632</v>
      </c>
      <c r="J150" s="163">
        <f>('Pivot Table for Data Exchange'!$F$529)*100</f>
        <v>56.356295118071699</v>
      </c>
      <c r="K150" s="163">
        <f>('Pivot Table for Data Exchange'!$F$532)*100</f>
        <v>0</v>
      </c>
      <c r="L150" s="164">
        <f>SUM(M150:O150)</f>
        <v>43.643704881928301</v>
      </c>
      <c r="M150" s="163">
        <f>('Pivot Table for Data Exchange'!$F$535)*100</f>
        <v>43.643704881928301</v>
      </c>
      <c r="N150" s="163">
        <f>('Pivot Table for Data Exchange'!$F$538)*100</f>
        <v>0</v>
      </c>
      <c r="O150" s="171">
        <f>('Pivot Table for Data Exchange'!$F$541)*100</f>
        <v>0</v>
      </c>
      <c r="P150" s="163">
        <f>('Pivot Table for Data Exchange'!$F$544)*100</f>
        <v>0</v>
      </c>
      <c r="Q150" s="168">
        <f t="shared" si="14"/>
        <v>100</v>
      </c>
      <c r="R150" s="168">
        <f t="shared" si="15"/>
        <v>100</v>
      </c>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row>
    <row r="151" spans="1:41" ht="15.75" customHeight="1">
      <c r="A151" s="140" t="s">
        <v>633</v>
      </c>
      <c r="B151" s="176">
        <f>('Pivot Table for Data Exchange'!$F$547)*100</f>
        <v>62.872660248380519</v>
      </c>
      <c r="C151" s="176">
        <f>('Pivot Table for Data Exchange'!$F$550)*100</f>
        <v>14.935936437493288</v>
      </c>
      <c r="D151" s="177">
        <f>SUM(E151:G151)</f>
        <v>22.191403314126195</v>
      </c>
      <c r="E151" s="176">
        <f>('Pivot Table for Data Exchange'!$F$553)*100</f>
        <v>22.191403314126195</v>
      </c>
      <c r="F151" s="176">
        <f>('Pivot Table for Data Exchange'!$F$556)*100</f>
        <v>0</v>
      </c>
      <c r="G151" s="178">
        <f>('Pivot Table for Data Exchange'!$F$559)*100</f>
        <v>0</v>
      </c>
      <c r="H151" s="176">
        <f>('Pivot Table for Data Exchange'!$F$562)*100</f>
        <v>0</v>
      </c>
      <c r="I151" s="179" t="s">
        <v>633</v>
      </c>
      <c r="J151" s="176">
        <f>('Pivot Table for Data Exchange'!$F$565)*100</f>
        <v>59.571195947168441</v>
      </c>
      <c r="K151" s="176">
        <f>('Pivot Table for Data Exchange'!$F$568)*100</f>
        <v>8.7660575357336707</v>
      </c>
      <c r="L151" s="177">
        <f>SUM(M151:O151)</f>
        <v>31.662746517097883</v>
      </c>
      <c r="M151" s="176">
        <f>('Pivot Table for Data Exchange'!$F$571)*100</f>
        <v>31.662746517097883</v>
      </c>
      <c r="N151" s="176">
        <f>('Pivot Table for Data Exchange'!$F$574)*100</f>
        <v>0</v>
      </c>
      <c r="O151" s="178">
        <f>('Pivot Table for Data Exchange'!$F$577)*100</f>
        <v>0</v>
      </c>
      <c r="P151" s="176">
        <f>('Pivot Table for Data Exchange'!$F$580)*100</f>
        <v>0</v>
      </c>
      <c r="Q151" s="168">
        <f t="shared" si="14"/>
        <v>100</v>
      </c>
      <c r="R151" s="168">
        <f t="shared" si="15"/>
        <v>100</v>
      </c>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row>
    <row r="152" spans="1:41" s="207" customFormat="1" ht="12.75" customHeight="1">
      <c r="A152" s="182" t="s">
        <v>658</v>
      </c>
      <c r="B152" s="183"/>
      <c r="C152" s="183"/>
      <c r="D152" s="184"/>
      <c r="E152" s="183"/>
      <c r="F152" s="184"/>
      <c r="G152" s="184"/>
      <c r="H152" s="183"/>
      <c r="I152" s="182" t="s">
        <v>658</v>
      </c>
      <c r="J152" s="183"/>
      <c r="K152" s="183"/>
      <c r="L152" s="184"/>
      <c r="M152" s="183"/>
      <c r="N152" s="184"/>
      <c r="O152" s="184"/>
      <c r="P152" s="183"/>
      <c r="Q152" s="168">
        <f t="shared" si="14"/>
        <v>0</v>
      </c>
      <c r="R152" s="168">
        <f t="shared" si="15"/>
        <v>0</v>
      </c>
      <c r="S152" s="220"/>
      <c r="T152" s="220"/>
      <c r="U152" s="220"/>
      <c r="V152" s="220"/>
      <c r="W152" s="220"/>
      <c r="X152" s="220"/>
      <c r="Y152" s="220"/>
      <c r="Z152" s="220"/>
      <c r="AA152" s="220"/>
      <c r="AB152" s="220"/>
      <c r="AC152" s="220"/>
      <c r="AD152" s="220"/>
      <c r="AE152" s="220"/>
      <c r="AF152" s="220"/>
      <c r="AG152" s="220"/>
      <c r="AH152" s="220"/>
      <c r="AI152" s="220"/>
      <c r="AJ152" s="220"/>
      <c r="AK152" s="220"/>
      <c r="AL152" s="220"/>
      <c r="AM152" s="220"/>
      <c r="AN152" s="220"/>
      <c r="AO152" s="220"/>
    </row>
    <row r="153" spans="1:41" s="207" customFormat="1" ht="24" customHeight="1">
      <c r="A153" s="633" t="s">
        <v>664</v>
      </c>
      <c r="B153" s="634"/>
      <c r="C153" s="634"/>
      <c r="D153" s="634"/>
      <c r="E153" s="634"/>
      <c r="F153" s="634"/>
      <c r="G153" s="634"/>
      <c r="H153" s="634"/>
      <c r="I153" s="633" t="s">
        <v>664</v>
      </c>
      <c r="J153" s="634"/>
      <c r="K153" s="634"/>
      <c r="L153" s="634"/>
      <c r="M153" s="634"/>
      <c r="N153" s="634"/>
      <c r="O153" s="634"/>
      <c r="P153" s="634"/>
      <c r="Q153" s="168">
        <f t="shared" si="14"/>
        <v>0</v>
      </c>
      <c r="R153" s="168">
        <f t="shared" si="15"/>
        <v>0</v>
      </c>
      <c r="S153" s="220"/>
      <c r="T153" s="220"/>
      <c r="U153" s="220"/>
      <c r="V153" s="220"/>
      <c r="W153" s="220"/>
      <c r="X153" s="220"/>
      <c r="Y153" s="220"/>
      <c r="Z153" s="220"/>
      <c r="AA153" s="220"/>
      <c r="AB153" s="220"/>
      <c r="AC153" s="220"/>
      <c r="AD153" s="220"/>
      <c r="AE153" s="220"/>
      <c r="AF153" s="220"/>
      <c r="AG153" s="220"/>
      <c r="AH153" s="220"/>
      <c r="AI153" s="220"/>
      <c r="AJ153" s="220"/>
      <c r="AK153" s="220"/>
      <c r="AL153" s="220"/>
      <c r="AM153" s="220"/>
      <c r="AN153" s="220"/>
      <c r="AO153" s="220"/>
    </row>
    <row r="154" spans="1:41" s="207" customFormat="1" ht="9.75" customHeight="1">
      <c r="A154" s="186"/>
      <c r="B154" s="195"/>
      <c r="C154" s="195"/>
      <c r="D154" s="195"/>
      <c r="E154" s="195"/>
      <c r="F154" s="195"/>
      <c r="G154" s="195"/>
      <c r="H154" s="195"/>
      <c r="I154" s="186"/>
      <c r="J154" s="195"/>
      <c r="K154" s="195"/>
      <c r="L154" s="195"/>
      <c r="M154" s="195"/>
      <c r="N154" s="195"/>
      <c r="O154" s="195"/>
      <c r="P154" s="195"/>
      <c r="Q154" s="168"/>
      <c r="R154" s="168"/>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220"/>
      <c r="AO154" s="220"/>
    </row>
    <row r="155" spans="1:41" s="207" customFormat="1" ht="13.5" customHeight="1">
      <c r="A155" s="192"/>
      <c r="B155" s="193"/>
      <c r="C155" s="181"/>
      <c r="D155" s="181"/>
      <c r="E155" s="181"/>
      <c r="F155" s="181"/>
      <c r="G155" s="181"/>
      <c r="H155" s="187" t="s">
        <v>992</v>
      </c>
      <c r="I155" s="192"/>
      <c r="J155" s="181"/>
      <c r="K155" s="181"/>
      <c r="L155" s="181"/>
      <c r="M155" s="181"/>
      <c r="N155" s="181"/>
      <c r="O155" s="181"/>
      <c r="P155" s="187" t="s">
        <v>992</v>
      </c>
      <c r="Q155" s="168">
        <f t="shared" ref="Q155:Q216" si="24">SUM(B155,C155,D155,H155)</f>
        <v>0</v>
      </c>
      <c r="R155" s="168">
        <f t="shared" ref="R155:R216" si="25">SUM(J155,K155,L155,P155)</f>
        <v>0</v>
      </c>
    </row>
    <row r="156" spans="1:41" ht="18">
      <c r="A156" s="129" t="s">
        <v>667</v>
      </c>
      <c r="B156" s="130"/>
      <c r="C156" s="130"/>
      <c r="D156" s="130"/>
      <c r="E156" s="130"/>
      <c r="F156" s="130"/>
      <c r="G156" s="130"/>
      <c r="H156" s="130"/>
      <c r="I156" s="129" t="s">
        <v>668</v>
      </c>
      <c r="J156" s="131"/>
      <c r="K156" s="131"/>
      <c r="L156" s="130"/>
      <c r="M156" s="131"/>
      <c r="N156" s="131"/>
      <c r="O156" s="131"/>
      <c r="P156" s="131"/>
      <c r="Q156" s="168">
        <f t="shared" si="24"/>
        <v>0</v>
      </c>
      <c r="R156" s="168">
        <f t="shared" si="25"/>
        <v>0</v>
      </c>
    </row>
    <row r="157" spans="1:41">
      <c r="A157" s="135"/>
      <c r="B157" s="131"/>
      <c r="C157" s="131"/>
      <c r="D157" s="131"/>
      <c r="E157" s="131"/>
      <c r="F157" s="131"/>
      <c r="G157" s="131"/>
      <c r="H157" s="131"/>
      <c r="I157" s="135"/>
      <c r="J157" s="131"/>
      <c r="K157" s="131"/>
      <c r="L157" s="131"/>
      <c r="M157" s="131"/>
      <c r="N157" s="131"/>
      <c r="O157" s="131"/>
      <c r="P157" s="131"/>
      <c r="Q157" s="168">
        <f t="shared" si="24"/>
        <v>0</v>
      </c>
      <c r="R157" s="168">
        <f t="shared" si="25"/>
        <v>0</v>
      </c>
    </row>
    <row r="158" spans="1:41" ht="15.75">
      <c r="A158" s="137" t="s">
        <v>639</v>
      </c>
      <c r="B158" s="131"/>
      <c r="C158" s="131"/>
      <c r="D158" s="131"/>
      <c r="E158" s="131"/>
      <c r="F158" s="131"/>
      <c r="G158" s="131"/>
      <c r="H158" s="131"/>
      <c r="I158" s="137" t="s">
        <v>640</v>
      </c>
      <c r="J158" s="131"/>
      <c r="K158" s="131"/>
      <c r="L158" s="131"/>
      <c r="M158" s="131"/>
      <c r="N158" s="131"/>
      <c r="O158" s="131"/>
      <c r="P158" s="131"/>
      <c r="Q158" s="168">
        <f t="shared" si="24"/>
        <v>0</v>
      </c>
      <c r="R158" s="168">
        <f t="shared" si="25"/>
        <v>0</v>
      </c>
    </row>
    <row r="159" spans="1:41" ht="15.75">
      <c r="A159" s="137" t="s">
        <v>966</v>
      </c>
      <c r="B159" s="131"/>
      <c r="C159" s="131"/>
      <c r="D159" s="131"/>
      <c r="E159" s="131"/>
      <c r="F159" s="131"/>
      <c r="G159" s="131"/>
      <c r="H159" s="131"/>
      <c r="I159" s="137" t="s">
        <v>966</v>
      </c>
      <c r="J159" s="131"/>
      <c r="K159" s="131"/>
      <c r="L159" s="131"/>
      <c r="M159" s="131"/>
      <c r="N159" s="131"/>
      <c r="O159" s="131"/>
      <c r="P159" s="131"/>
      <c r="Q159" s="168">
        <f t="shared" si="24"/>
        <v>0</v>
      </c>
      <c r="R159" s="168">
        <f t="shared" si="25"/>
        <v>0</v>
      </c>
    </row>
    <row r="160" spans="1:41">
      <c r="A160" s="140"/>
      <c r="B160" s="141"/>
      <c r="C160" s="141"/>
      <c r="D160" s="141"/>
      <c r="E160" s="141"/>
      <c r="F160" s="141"/>
      <c r="G160" s="141"/>
      <c r="H160" s="141"/>
      <c r="I160" s="142"/>
      <c r="L160" s="143"/>
      <c r="P160" s="140"/>
      <c r="Q160" s="168">
        <f t="shared" si="24"/>
        <v>0</v>
      </c>
      <c r="R160" s="168">
        <f t="shared" si="25"/>
        <v>0</v>
      </c>
    </row>
    <row r="161" spans="1:41" s="161" customFormat="1">
      <c r="A161" s="145"/>
      <c r="B161" s="146" t="s">
        <v>641</v>
      </c>
      <c r="C161" s="146"/>
      <c r="D161" s="146"/>
      <c r="E161" s="146"/>
      <c r="F161" s="146"/>
      <c r="G161" s="146"/>
      <c r="H161" s="147"/>
      <c r="I161" s="145"/>
      <c r="J161" s="146" t="s">
        <v>641</v>
      </c>
      <c r="K161" s="146"/>
      <c r="L161" s="146"/>
      <c r="M161" s="146"/>
      <c r="N161" s="146"/>
      <c r="O161" s="146"/>
      <c r="P161" s="147"/>
      <c r="Q161" s="168">
        <f t="shared" si="24"/>
        <v>0</v>
      </c>
      <c r="R161" s="168">
        <f t="shared" si="25"/>
        <v>0</v>
      </c>
    </row>
    <row r="162" spans="1:41" s="161" customFormat="1">
      <c r="A162" s="145"/>
      <c r="B162" s="146" t="s">
        <v>642</v>
      </c>
      <c r="C162" s="146"/>
      <c r="D162" s="639" t="s">
        <v>643</v>
      </c>
      <c r="E162" s="637"/>
      <c r="F162" s="637"/>
      <c r="G162" s="637"/>
      <c r="H162" s="153" t="s">
        <v>533</v>
      </c>
      <c r="I162" s="145"/>
      <c r="J162" s="146" t="s">
        <v>642</v>
      </c>
      <c r="K162" s="146"/>
      <c r="L162" s="639" t="s">
        <v>643</v>
      </c>
      <c r="M162" s="637"/>
      <c r="N162" s="637"/>
      <c r="O162" s="637"/>
      <c r="P162" s="153" t="s">
        <v>533</v>
      </c>
      <c r="Q162" s="168">
        <f t="shared" si="24"/>
        <v>0</v>
      </c>
      <c r="R162" s="168">
        <f t="shared" si="25"/>
        <v>0</v>
      </c>
    </row>
    <row r="163" spans="1:41" s="161" customFormat="1" ht="40.5" customHeight="1">
      <c r="A163" s="145"/>
      <c r="B163" s="154" t="s">
        <v>644</v>
      </c>
      <c r="C163" s="155" t="s">
        <v>645</v>
      </c>
      <c r="D163" s="156" t="s">
        <v>646</v>
      </c>
      <c r="E163" s="157" t="s">
        <v>8</v>
      </c>
      <c r="F163" s="154" t="s">
        <v>647</v>
      </c>
      <c r="G163" s="158" t="s">
        <v>656</v>
      </c>
      <c r="H163" s="159" t="s">
        <v>649</v>
      </c>
      <c r="I163" s="145"/>
      <c r="J163" s="154" t="s">
        <v>644</v>
      </c>
      <c r="K163" s="155" t="s">
        <v>645</v>
      </c>
      <c r="L163" s="156" t="s">
        <v>646</v>
      </c>
      <c r="M163" s="157" t="s">
        <v>8</v>
      </c>
      <c r="N163" s="154" t="s">
        <v>647</v>
      </c>
      <c r="O163" s="158" t="s">
        <v>656</v>
      </c>
      <c r="P163" s="159" t="s">
        <v>649</v>
      </c>
      <c r="Q163" s="168">
        <f t="shared" si="24"/>
        <v>0</v>
      </c>
      <c r="R163" s="168">
        <f t="shared" si="25"/>
        <v>0</v>
      </c>
      <c r="T163" s="160"/>
    </row>
    <row r="164" spans="1:41" ht="15.75" customHeight="1">
      <c r="A164" s="189" t="s">
        <v>618</v>
      </c>
      <c r="B164" s="216">
        <f>('Pivot Table for Data Exchange'!$G$7)*100</f>
        <v>40.138923950130703</v>
      </c>
      <c r="C164" s="163">
        <f>('Pivot Table for Data Exchange'!$G$10)*100</f>
        <v>0.85178459458799194</v>
      </c>
      <c r="D164" s="164">
        <f>SUM(E164:G164)</f>
        <v>59.009291455281307</v>
      </c>
      <c r="E164" s="163">
        <f>('Pivot Table for Data Exchange'!$G$13)*100</f>
        <v>59.009291455281307</v>
      </c>
      <c r="F164" s="163">
        <f>('Pivot Table for Data Exchange'!$G$16)*100</f>
        <v>0</v>
      </c>
      <c r="G164" s="167">
        <f>('Pivot Table for Data Exchange'!$G$19)*100</f>
        <v>0</v>
      </c>
      <c r="H164" s="163">
        <f>('Pivot Table for Data Exchange'!$G$22)*100</f>
        <v>0</v>
      </c>
      <c r="I164" s="166" t="s">
        <v>618</v>
      </c>
      <c r="J164" s="163">
        <f>('Pivot Table for Data Exchange'!$G$25)*100</f>
        <v>40.845937390080898</v>
      </c>
      <c r="K164" s="163">
        <f>('Pivot Table for Data Exchange'!$G$28)*100</f>
        <v>1.3981709461836089</v>
      </c>
      <c r="L164" s="164">
        <f>SUM(M164:O164)</f>
        <v>57.75589166373549</v>
      </c>
      <c r="M164" s="163">
        <f>('Pivot Table for Data Exchange'!$G$31)*100</f>
        <v>57.75589166373549</v>
      </c>
      <c r="N164" s="163">
        <f>('Pivot Table for Data Exchange'!$G$34)*100</f>
        <v>0</v>
      </c>
      <c r="O164" s="167">
        <f>('Pivot Table for Data Exchange'!$G$37)*100</f>
        <v>0</v>
      </c>
      <c r="P164" s="163">
        <f>('Pivot Table for Data Exchange'!$G$40)*100</f>
        <v>0</v>
      </c>
      <c r="Q164" s="168">
        <f t="shared" si="24"/>
        <v>100</v>
      </c>
      <c r="R164" s="168">
        <f t="shared" si="25"/>
        <v>100</v>
      </c>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row>
    <row r="165" spans="1:41" ht="15.75" customHeight="1">
      <c r="A165" s="134" t="s">
        <v>619</v>
      </c>
      <c r="B165" s="163">
        <f>('Pivot Table for Data Exchange'!$G$43)*100</f>
        <v>0</v>
      </c>
      <c r="C165" s="163">
        <f>('Pivot Table for Data Exchange'!$G$46)*100</f>
        <v>0</v>
      </c>
      <c r="D165" s="164">
        <f t="shared" ref="D165:D167" si="26">SUM(E165:G165)</f>
        <v>0</v>
      </c>
      <c r="E165" s="163">
        <f>('Pivot Table for Data Exchange'!$G$49)*100</f>
        <v>0</v>
      </c>
      <c r="F165" s="163">
        <f>('Pivot Table for Data Exchange'!$G$52)*100</f>
        <v>0</v>
      </c>
      <c r="G165" s="171">
        <f>('Pivot Table for Data Exchange'!$G$55)*100</f>
        <v>0</v>
      </c>
      <c r="H165" s="163">
        <f>('Pivot Table for Data Exchange'!$G$58)*100</f>
        <v>0</v>
      </c>
      <c r="I165" s="169" t="s">
        <v>619</v>
      </c>
      <c r="J165" s="163">
        <f>('Pivot Table for Data Exchange'!$G$61)*100</f>
        <v>0</v>
      </c>
      <c r="K165" s="163">
        <f>('Pivot Table for Data Exchange'!$G$64)*100</f>
        <v>0</v>
      </c>
      <c r="L165" s="164">
        <f t="shared" ref="L165:L167" si="27">SUM(M165:O165)</f>
        <v>0</v>
      </c>
      <c r="M165" s="163">
        <f>('Pivot Table for Data Exchange'!$G$67)*100</f>
        <v>0</v>
      </c>
      <c r="N165" s="163">
        <f>('Pivot Table for Data Exchange'!$G$70)*100</f>
        <v>0</v>
      </c>
      <c r="O165" s="171">
        <f>('Pivot Table for Data Exchange'!$G$73)*100</f>
        <v>0</v>
      </c>
      <c r="P165" s="163">
        <f>('Pivot Table for Data Exchange'!$G$76)*100</f>
        <v>0</v>
      </c>
      <c r="Q165" s="168">
        <f t="shared" si="24"/>
        <v>0</v>
      </c>
      <c r="R165" s="168">
        <f t="shared" si="25"/>
        <v>0</v>
      </c>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row>
    <row r="166" spans="1:41" ht="15.75" customHeight="1">
      <c r="A166" s="134" t="s">
        <v>620</v>
      </c>
      <c r="B166" s="163">
        <f>('Pivot Table for Data Exchange'!$G$79)*100</f>
        <v>0</v>
      </c>
      <c r="C166" s="163">
        <f>('Pivot Table for Data Exchange'!$G$82)*100</f>
        <v>0</v>
      </c>
      <c r="D166" s="164">
        <f t="shared" si="26"/>
        <v>0</v>
      </c>
      <c r="E166" s="163">
        <f>('Pivot Table for Data Exchange'!$G$85)*100</f>
        <v>0</v>
      </c>
      <c r="F166" s="163">
        <f>('Pivot Table for Data Exchange'!$G$88)*100</f>
        <v>0</v>
      </c>
      <c r="G166" s="171">
        <f>('Pivot Table for Data Exchange'!$G$91)*100</f>
        <v>0</v>
      </c>
      <c r="H166" s="163">
        <f>('Pivot Table for Data Exchange'!$G$94)*100</f>
        <v>0</v>
      </c>
      <c r="I166" s="169" t="s">
        <v>620</v>
      </c>
      <c r="J166" s="163">
        <f>('Pivot Table for Data Exchange'!$G$97)*100</f>
        <v>0</v>
      </c>
      <c r="K166" s="163">
        <f>('Pivot Table for Data Exchange'!$G$100)*100</f>
        <v>0</v>
      </c>
      <c r="L166" s="164">
        <f t="shared" si="27"/>
        <v>0</v>
      </c>
      <c r="M166" s="163">
        <f>('Pivot Table for Data Exchange'!$G$103)*100</f>
        <v>0</v>
      </c>
      <c r="N166" s="163">
        <f>('Pivot Table for Data Exchange'!$G$106)*100</f>
        <v>0</v>
      </c>
      <c r="O166" s="171">
        <f>('Pivot Table for Data Exchange'!$G$109)*100</f>
        <v>0</v>
      </c>
      <c r="P166" s="163">
        <f>('Pivot Table for Data Exchange'!$G$112)*100</f>
        <v>0</v>
      </c>
      <c r="Q166" s="168">
        <f t="shared" si="24"/>
        <v>0</v>
      </c>
      <c r="R166" s="168">
        <f t="shared" si="25"/>
        <v>0</v>
      </c>
      <c r="S166" s="217"/>
      <c r="T166" s="221"/>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row>
    <row r="167" spans="1:41" ht="15.75" customHeight="1">
      <c r="A167" s="134" t="s">
        <v>621</v>
      </c>
      <c r="B167" s="163">
        <f>('Pivot Table for Data Exchange'!$G$115)*100</f>
        <v>0</v>
      </c>
      <c r="C167" s="163">
        <f>('Pivot Table for Data Exchange'!$G$118)*100</f>
        <v>0</v>
      </c>
      <c r="D167" s="164">
        <f t="shared" si="26"/>
        <v>0</v>
      </c>
      <c r="E167" s="163">
        <f>('Pivot Table for Data Exchange'!$G$121)*100</f>
        <v>0</v>
      </c>
      <c r="F167" s="163">
        <f>('Pivot Table for Data Exchange'!$G$124)*100</f>
        <v>0</v>
      </c>
      <c r="G167" s="171">
        <f>('Pivot Table for Data Exchange'!$G$127)*100</f>
        <v>0</v>
      </c>
      <c r="H167" s="163">
        <f>('Pivot Table for Data Exchange'!$G$130)*100</f>
        <v>0</v>
      </c>
      <c r="I167" s="169" t="s">
        <v>621</v>
      </c>
      <c r="J167" s="163">
        <f>('Pivot Table for Data Exchange'!$G$133)*100</f>
        <v>0</v>
      </c>
      <c r="K167" s="163">
        <f>('Pivot Table for Data Exchange'!$G$136)*100</f>
        <v>0</v>
      </c>
      <c r="L167" s="164">
        <f t="shared" si="27"/>
        <v>0</v>
      </c>
      <c r="M167" s="163">
        <f>('Pivot Table for Data Exchange'!$G$139)*100</f>
        <v>0</v>
      </c>
      <c r="N167" s="163">
        <f>('Pivot Table for Data Exchange'!$G$142)*100</f>
        <v>0</v>
      </c>
      <c r="O167" s="171">
        <f>('Pivot Table for Data Exchange'!$G$145)*100</f>
        <v>0</v>
      </c>
      <c r="P167" s="163">
        <f>('Pivot Table for Data Exchange'!$G$148)*100</f>
        <v>0</v>
      </c>
      <c r="Q167" s="168">
        <f t="shared" si="24"/>
        <v>0</v>
      </c>
      <c r="R167" s="168">
        <f t="shared" si="25"/>
        <v>0</v>
      </c>
      <c r="S167" s="217"/>
      <c r="U167" s="217"/>
      <c r="V167" s="217"/>
      <c r="W167" s="217"/>
      <c r="X167" s="217"/>
      <c r="Y167" s="217"/>
      <c r="Z167" s="217"/>
      <c r="AA167" s="217"/>
      <c r="AB167" s="217"/>
      <c r="AC167" s="217"/>
      <c r="AD167" s="217"/>
      <c r="AE167" s="217"/>
      <c r="AF167" s="217"/>
      <c r="AG167" s="217"/>
      <c r="AH167" s="217"/>
      <c r="AI167" s="217"/>
      <c r="AJ167" s="217"/>
      <c r="AK167" s="217"/>
      <c r="AL167" s="217"/>
      <c r="AM167" s="217"/>
      <c r="AN167" s="217"/>
      <c r="AO167" s="217"/>
    </row>
    <row r="168" spans="1:41" ht="10.5" customHeight="1">
      <c r="B168" s="163"/>
      <c r="C168" s="163"/>
      <c r="D168" s="164"/>
      <c r="E168" s="163"/>
      <c r="F168" s="163"/>
      <c r="G168" s="171"/>
      <c r="H168" s="163"/>
      <c r="I168" s="169"/>
      <c r="J168" s="163"/>
      <c r="K168" s="163"/>
      <c r="L168" s="164"/>
      <c r="M168" s="163"/>
      <c r="N168" s="163"/>
      <c r="O168" s="171"/>
      <c r="P168" s="163"/>
      <c r="Q168" s="168">
        <f t="shared" si="24"/>
        <v>0</v>
      </c>
      <c r="R168" s="168">
        <f t="shared" si="25"/>
        <v>0</v>
      </c>
      <c r="S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row>
    <row r="169" spans="1:41" ht="15.75" customHeight="1">
      <c r="A169" s="134" t="s">
        <v>622</v>
      </c>
      <c r="B169" s="163">
        <f>('Pivot Table for Data Exchange'!$G$151)*100</f>
        <v>50.211857525445048</v>
      </c>
      <c r="C169" s="163">
        <f>('Pivot Table for Data Exchange'!$G$154)*100</f>
        <v>0.30974013127784783</v>
      </c>
      <c r="D169" s="164">
        <f t="shared" ref="D169:D170" si="28">SUM(E169:G169)</f>
        <v>49.478402343277104</v>
      </c>
      <c r="E169" s="163">
        <f>('Pivot Table for Data Exchange'!$G$157)*100</f>
        <v>49.078604309196834</v>
      </c>
      <c r="F169" s="175">
        <f>('Pivot Table for Data Exchange'!$G$160)*100</f>
        <v>6.6436157805067453E-2</v>
      </c>
      <c r="G169" s="170">
        <f>('Pivot Table for Data Exchange'!$G$163)*100</f>
        <v>0.33336187627520514</v>
      </c>
      <c r="H169" s="163">
        <f>('Pivot Table for Data Exchange'!$G$166)*100</f>
        <v>0</v>
      </c>
      <c r="I169" s="169" t="s">
        <v>622</v>
      </c>
      <c r="J169" s="163">
        <f>('Pivot Table for Data Exchange'!$G$169)*100</f>
        <v>22.323102155576382</v>
      </c>
      <c r="K169" s="163">
        <f>('Pivot Table for Data Exchange'!$G$172)*100</f>
        <v>6.0977038425492038</v>
      </c>
      <c r="L169" s="164">
        <f t="shared" ref="L169:L170" si="29">SUM(M169:O169)</f>
        <v>71.579194001874413</v>
      </c>
      <c r="M169" s="163">
        <f>('Pivot Table for Data Exchange'!$G$175)*100</f>
        <v>70.419400187441425</v>
      </c>
      <c r="N169" s="163">
        <f>('Pivot Table for Data Exchange'!$G$178)*100</f>
        <v>0</v>
      </c>
      <c r="O169" s="171">
        <f>('Pivot Table for Data Exchange'!$G$181)*100</f>
        <v>1.1597938144329898</v>
      </c>
      <c r="P169" s="163">
        <f>('Pivot Table for Data Exchange'!$G$184)*100</f>
        <v>0</v>
      </c>
      <c r="Q169" s="168">
        <f t="shared" si="24"/>
        <v>100</v>
      </c>
      <c r="R169" s="168">
        <f t="shared" si="25"/>
        <v>100</v>
      </c>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217"/>
      <c r="AO169" s="217"/>
    </row>
    <row r="170" spans="1:41" ht="15.75" customHeight="1">
      <c r="A170" s="134" t="s">
        <v>623</v>
      </c>
      <c r="B170" s="163">
        <f>('Pivot Table for Data Exchange'!$G$187)*100</f>
        <v>0</v>
      </c>
      <c r="C170" s="163">
        <f>('Pivot Table for Data Exchange'!$G$190)*100</f>
        <v>0</v>
      </c>
      <c r="D170" s="164">
        <f t="shared" si="28"/>
        <v>0</v>
      </c>
      <c r="E170" s="163">
        <f>('Pivot Table for Data Exchange'!$G$193)*100</f>
        <v>0</v>
      </c>
      <c r="F170" s="163">
        <f>('Pivot Table for Data Exchange'!$G$196)*100</f>
        <v>0</v>
      </c>
      <c r="G170" s="171">
        <f>('Pivot Table for Data Exchange'!$G$199)*100</f>
        <v>0</v>
      </c>
      <c r="H170" s="163">
        <f>('Pivot Table for Data Exchange'!$G$202)*100</f>
        <v>0</v>
      </c>
      <c r="I170" s="169" t="s">
        <v>623</v>
      </c>
      <c r="J170" s="163">
        <f>('Pivot Table for Data Exchange'!$G$205)*100</f>
        <v>0</v>
      </c>
      <c r="K170" s="163">
        <f>('Pivot Table for Data Exchange'!$G$208)*100</f>
        <v>0</v>
      </c>
      <c r="L170" s="164">
        <f t="shared" si="29"/>
        <v>0</v>
      </c>
      <c r="M170" s="163">
        <f>('Pivot Table for Data Exchange'!$G$211)*100</f>
        <v>0</v>
      </c>
      <c r="N170" s="163">
        <f>('Pivot Table for Data Exchange'!$G$214)*100</f>
        <v>0</v>
      </c>
      <c r="O170" s="171">
        <f>('Pivot Table for Data Exchange'!$G$217)*100</f>
        <v>0</v>
      </c>
      <c r="P170" s="163">
        <f>('Pivot Table for Data Exchange'!$G$220)*100</f>
        <v>0</v>
      </c>
      <c r="Q170" s="168">
        <f t="shared" si="24"/>
        <v>0</v>
      </c>
      <c r="R170" s="168">
        <f t="shared" si="25"/>
        <v>0</v>
      </c>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row>
    <row r="171" spans="1:41" ht="15.75" customHeight="1">
      <c r="A171" s="134" t="s">
        <v>624</v>
      </c>
      <c r="B171" s="163">
        <f>('Pivot Table for Data Exchange'!$G$223)*100</f>
        <v>0</v>
      </c>
      <c r="C171" s="163">
        <f>('Pivot Table for Data Exchange'!$G$226)*100</f>
        <v>0</v>
      </c>
      <c r="D171" s="164">
        <f>SUM(E171:G171)</f>
        <v>100</v>
      </c>
      <c r="E171" s="163">
        <f>('Pivot Table for Data Exchange'!$G$229)*100</f>
        <v>100</v>
      </c>
      <c r="F171" s="163">
        <f>('Pivot Table for Data Exchange'!$G$232)*100</f>
        <v>0</v>
      </c>
      <c r="G171" s="171">
        <f>('Pivot Table for Data Exchange'!$G$235)*100</f>
        <v>0</v>
      </c>
      <c r="H171" s="163">
        <f>('Pivot Table for Data Exchange'!$G$238)*100</f>
        <v>0</v>
      </c>
      <c r="I171" s="169" t="s">
        <v>624</v>
      </c>
      <c r="J171" s="163">
        <f>('Pivot Table for Data Exchange'!$G$241)*100</f>
        <v>0</v>
      </c>
      <c r="K171" s="163">
        <f>('Pivot Table for Data Exchange'!$G$244)*100</f>
        <v>0</v>
      </c>
      <c r="L171" s="164">
        <f>SUM(M171:O171)</f>
        <v>100</v>
      </c>
      <c r="M171" s="163">
        <f>('Pivot Table for Data Exchange'!$G$247)*100</f>
        <v>100</v>
      </c>
      <c r="N171" s="163">
        <f>('Pivot Table for Data Exchange'!$G$250)*100</f>
        <v>0</v>
      </c>
      <c r="O171" s="171">
        <f>('Pivot Table for Data Exchange'!$G$253)*100</f>
        <v>0</v>
      </c>
      <c r="P171" s="163">
        <f>('Pivot Table for Data Exchange'!$G$256)*100</f>
        <v>0</v>
      </c>
      <c r="Q171" s="168">
        <f t="shared" si="24"/>
        <v>100</v>
      </c>
      <c r="R171" s="168">
        <f t="shared" si="25"/>
        <v>100</v>
      </c>
      <c r="S171" s="217"/>
      <c r="T171" s="221"/>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row>
    <row r="172" spans="1:41" ht="15.75" customHeight="1">
      <c r="A172" s="134" t="s">
        <v>625</v>
      </c>
      <c r="B172" s="163">
        <f>('Pivot Table for Data Exchange'!$G$259)*100</f>
        <v>70.309513070000222</v>
      </c>
      <c r="C172" s="163">
        <f>('Pivot Table for Data Exchange'!$G$262)*100</f>
        <v>0</v>
      </c>
      <c r="D172" s="164">
        <f>SUM(E172:G172)</f>
        <v>29.690486929999789</v>
      </c>
      <c r="E172" s="163">
        <f>('Pivot Table for Data Exchange'!$G$265)*100</f>
        <v>29.690486929999789</v>
      </c>
      <c r="F172" s="163">
        <f>('Pivot Table for Data Exchange'!$G$268)*100</f>
        <v>0</v>
      </c>
      <c r="G172" s="171">
        <f>('Pivot Table for Data Exchange'!$G$271)*100</f>
        <v>0</v>
      </c>
      <c r="H172" s="163">
        <f>('Pivot Table for Data Exchange'!$G$274)*100</f>
        <v>0</v>
      </c>
      <c r="I172" s="169" t="s">
        <v>625</v>
      </c>
      <c r="J172" s="163">
        <f>('Pivot Table for Data Exchange'!$G$277)*100</f>
        <v>68.590561224489804</v>
      </c>
      <c r="K172" s="163">
        <f>('Pivot Table for Data Exchange'!$G$280)*100</f>
        <v>1.7219387755102038</v>
      </c>
      <c r="L172" s="164">
        <f>SUM(M172:O172)</f>
        <v>29.6875</v>
      </c>
      <c r="M172" s="163">
        <f>('Pivot Table for Data Exchange'!$G$283)*100</f>
        <v>29.6875</v>
      </c>
      <c r="N172" s="163">
        <f>('Pivot Table for Data Exchange'!$G$286)*100</f>
        <v>0</v>
      </c>
      <c r="O172" s="171">
        <f>('Pivot Table for Data Exchange'!$G$289)*100</f>
        <v>0</v>
      </c>
      <c r="P172" s="163">
        <f>('Pivot Table for Data Exchange'!$G$292)*100</f>
        <v>0</v>
      </c>
      <c r="Q172" s="168">
        <f t="shared" si="24"/>
        <v>100.00000000000001</v>
      </c>
      <c r="R172" s="168">
        <f t="shared" si="25"/>
        <v>100.00000000000001</v>
      </c>
      <c r="S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row>
    <row r="173" spans="1:41" ht="11.25" customHeight="1">
      <c r="B173" s="163"/>
      <c r="C173" s="163"/>
      <c r="D173" s="164"/>
      <c r="E173" s="163"/>
      <c r="F173" s="163"/>
      <c r="G173" s="171"/>
      <c r="H173" s="163"/>
      <c r="I173" s="169"/>
      <c r="J173" s="163"/>
      <c r="K173" s="163"/>
      <c r="L173" s="164"/>
      <c r="M173" s="163"/>
      <c r="N173" s="163"/>
      <c r="O173" s="171"/>
      <c r="P173" s="163"/>
      <c r="Q173" s="168">
        <f t="shared" si="24"/>
        <v>0</v>
      </c>
      <c r="R173" s="168">
        <f t="shared" si="25"/>
        <v>0</v>
      </c>
      <c r="S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row>
    <row r="174" spans="1:41" ht="15.75" customHeight="1">
      <c r="A174" s="134" t="s">
        <v>626</v>
      </c>
      <c r="B174" s="163">
        <f>('Pivot Table for Data Exchange'!$G$295)*100</f>
        <v>0</v>
      </c>
      <c r="C174" s="163">
        <f>('Pivot Table for Data Exchange'!$G$298)*100</f>
        <v>0</v>
      </c>
      <c r="D174" s="164">
        <f>SUM(E174:G174)</f>
        <v>0</v>
      </c>
      <c r="E174" s="163">
        <f>('Pivot Table for Data Exchange'!$G$301)*100</f>
        <v>0</v>
      </c>
      <c r="F174" s="163">
        <f>('Pivot Table for Data Exchange'!$G$304)*100</f>
        <v>0</v>
      </c>
      <c r="G174" s="171">
        <f>('Pivot Table for Data Exchange'!$G$307)*100</f>
        <v>0</v>
      </c>
      <c r="H174" s="163">
        <f>('Pivot Table for Data Exchange'!$G$310)*100</f>
        <v>0</v>
      </c>
      <c r="I174" s="169" t="s">
        <v>626</v>
      </c>
      <c r="J174" s="163">
        <f>('Pivot Table for Data Exchange'!$G$313)*100</f>
        <v>0</v>
      </c>
      <c r="K174" s="163">
        <f>('Pivot Table for Data Exchange'!$G$316)*100</f>
        <v>0</v>
      </c>
      <c r="L174" s="164">
        <f>SUM(M174:O174)</f>
        <v>0</v>
      </c>
      <c r="M174" s="163">
        <f>('Pivot Table for Data Exchange'!$G$319)*100</f>
        <v>0</v>
      </c>
      <c r="N174" s="163">
        <f>('Pivot Table for Data Exchange'!$G$322)*100</f>
        <v>0</v>
      </c>
      <c r="O174" s="171">
        <f>('Pivot Table for Data Exchange'!$G$325)*100</f>
        <v>0</v>
      </c>
      <c r="P174" s="163">
        <f>('Pivot Table for Data Exchange'!$G$328)*100</f>
        <v>0</v>
      </c>
      <c r="Q174" s="168">
        <f t="shared" si="24"/>
        <v>0</v>
      </c>
      <c r="R174" s="168">
        <f t="shared" si="25"/>
        <v>0</v>
      </c>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row>
    <row r="175" spans="1:41" ht="15.75" customHeight="1">
      <c r="A175" s="134" t="s">
        <v>627</v>
      </c>
      <c r="B175" s="163">
        <f>('Pivot Table for Data Exchange'!$G$331)*100</f>
        <v>32.505607781812571</v>
      </c>
      <c r="C175" s="163">
        <f>('Pivot Table for Data Exchange'!$G$334)*100</f>
        <v>0.34393301182597907</v>
      </c>
      <c r="D175" s="164">
        <f>SUM(E175:G175)</f>
        <v>67.150459206361447</v>
      </c>
      <c r="E175" s="163">
        <f>('Pivot Table for Data Exchange'!$G$337)*100</f>
        <v>66.093718463919032</v>
      </c>
      <c r="F175" s="163">
        <f>('Pivot Table for Data Exchange'!$G$340)*100</f>
        <v>1.2142673127443918E-2</v>
      </c>
      <c r="G175" s="171">
        <f>('Pivot Table for Data Exchange'!$G$343)*100</f>
        <v>1.0445980693149728</v>
      </c>
      <c r="H175" s="163">
        <f>('Pivot Table for Data Exchange'!$G$346)*100</f>
        <v>0</v>
      </c>
      <c r="I175" s="169" t="s">
        <v>627</v>
      </c>
      <c r="J175" s="163">
        <f>('Pivot Table for Data Exchange'!$G$349)*100</f>
        <v>12.37443766561903</v>
      </c>
      <c r="K175" s="163">
        <f>('Pivot Table for Data Exchange'!$G$352)*100</f>
        <v>1.125695856699739</v>
      </c>
      <c r="L175" s="164">
        <f>SUM(M175:O175)</f>
        <v>86.499866477681238</v>
      </c>
      <c r="M175" s="163">
        <f>('Pivot Table for Data Exchange'!$G$355)*100</f>
        <v>83.743144142478585</v>
      </c>
      <c r="N175" s="163">
        <f>('Pivot Table for Data Exchange'!$G$358)*100</f>
        <v>6.1625685585752141E-2</v>
      </c>
      <c r="O175" s="171">
        <f>('Pivot Table for Data Exchange'!$G$361)*100</f>
        <v>2.6950966496168935</v>
      </c>
      <c r="P175" s="163">
        <f>('Pivot Table for Data Exchange'!$G$364)*100</f>
        <v>0</v>
      </c>
      <c r="Q175" s="168">
        <f t="shared" si="24"/>
        <v>100</v>
      </c>
      <c r="R175" s="168">
        <f t="shared" si="25"/>
        <v>100</v>
      </c>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row>
    <row r="176" spans="1:41" ht="15.75" customHeight="1">
      <c r="A176" s="134" t="s">
        <v>628</v>
      </c>
      <c r="B176" s="163">
        <f>('Pivot Table for Data Exchange'!$G$367)*100</f>
        <v>0</v>
      </c>
      <c r="C176" s="163">
        <f>('Pivot Table for Data Exchange'!$G$370)*100</f>
        <v>0</v>
      </c>
      <c r="D176" s="164">
        <f>SUM(E176:G176)</f>
        <v>0</v>
      </c>
      <c r="E176" s="163">
        <f>('Pivot Table for Data Exchange'!$G$373)*100</f>
        <v>0</v>
      </c>
      <c r="F176" s="163">
        <f>('Pivot Table for Data Exchange'!$G$376)*100</f>
        <v>0</v>
      </c>
      <c r="G176" s="171">
        <f>('Pivot Table for Data Exchange'!$G$379)*100</f>
        <v>0</v>
      </c>
      <c r="H176" s="163">
        <f>('Pivot Table for Data Exchange'!$G$382)*100</f>
        <v>0</v>
      </c>
      <c r="I176" s="169" t="s">
        <v>628</v>
      </c>
      <c r="J176" s="163">
        <f>('Pivot Table for Data Exchange'!$G$385)*100</f>
        <v>0</v>
      </c>
      <c r="K176" s="163">
        <f>('Pivot Table for Data Exchange'!$G$388)*100</f>
        <v>0</v>
      </c>
      <c r="L176" s="164">
        <f>SUM(M176:O176)</f>
        <v>0</v>
      </c>
      <c r="M176" s="163">
        <f>('Pivot Table for Data Exchange'!$G$391)*100</f>
        <v>0</v>
      </c>
      <c r="N176" s="163">
        <f>('Pivot Table for Data Exchange'!$G$394)*100</f>
        <v>0</v>
      </c>
      <c r="O176" s="171">
        <f>('Pivot Table for Data Exchange'!$G$397)*100</f>
        <v>0</v>
      </c>
      <c r="P176" s="163">
        <f>('Pivot Table for Data Exchange'!$G$400)*100</f>
        <v>0</v>
      </c>
      <c r="Q176" s="168">
        <f t="shared" si="24"/>
        <v>0</v>
      </c>
      <c r="R176" s="168">
        <f t="shared" si="25"/>
        <v>0</v>
      </c>
      <c r="S176" s="217"/>
      <c r="T176" s="221"/>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row>
    <row r="177" spans="1:41" ht="15.75" customHeight="1">
      <c r="A177" s="134" t="s">
        <v>629</v>
      </c>
      <c r="B177" s="163">
        <f>('Pivot Table for Data Exchange'!$G$403)*100</f>
        <v>63.61725377300116</v>
      </c>
      <c r="C177" s="163">
        <f>('Pivot Table for Data Exchange'!$G$406)*100</f>
        <v>2.5606817952420031</v>
      </c>
      <c r="D177" s="164">
        <f>SUM(E177:G177)</f>
        <v>33.822064431756843</v>
      </c>
      <c r="E177" s="163">
        <f>('Pivot Table for Data Exchange'!$G$409)*100</f>
        <v>33.822064431756843</v>
      </c>
      <c r="F177" s="163">
        <f>('Pivot Table for Data Exchange'!$G$412)*100</f>
        <v>0</v>
      </c>
      <c r="G177" s="171">
        <f>('Pivot Table for Data Exchange'!$G$415)*100</f>
        <v>0</v>
      </c>
      <c r="H177" s="163">
        <f>('Pivot Table for Data Exchange'!$G$418)*100</f>
        <v>0</v>
      </c>
      <c r="I177" s="169" t="s">
        <v>629</v>
      </c>
      <c r="J177" s="163">
        <f>('Pivot Table for Data Exchange'!$G$421)*100</f>
        <v>28.995768229166668</v>
      </c>
      <c r="K177" s="163">
        <f>('Pivot Table for Data Exchange'!$G$424)*100</f>
        <v>0.33365885416666663</v>
      </c>
      <c r="L177" s="164">
        <f>SUM(M177:O177)</f>
        <v>70.670572916666657</v>
      </c>
      <c r="M177" s="163">
        <f>('Pivot Table for Data Exchange'!$G$427)*100</f>
        <v>70.670572916666657</v>
      </c>
      <c r="N177" s="163">
        <f>('Pivot Table for Data Exchange'!$G$430)*100</f>
        <v>0</v>
      </c>
      <c r="O177" s="171">
        <f>('Pivot Table for Data Exchange'!$G$433)*100</f>
        <v>0</v>
      </c>
      <c r="P177" s="163">
        <f>('Pivot Table for Data Exchange'!$G$436)*100</f>
        <v>0</v>
      </c>
      <c r="Q177" s="168">
        <f t="shared" si="24"/>
        <v>100</v>
      </c>
      <c r="R177" s="168">
        <f t="shared" si="25"/>
        <v>100</v>
      </c>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row>
    <row r="178" spans="1:41" ht="11.25" customHeight="1">
      <c r="B178" s="163"/>
      <c r="C178" s="163"/>
      <c r="D178" s="164"/>
      <c r="E178" s="163"/>
      <c r="F178" s="163"/>
      <c r="G178" s="171"/>
      <c r="H178" s="163"/>
      <c r="I178" s="169"/>
      <c r="J178" s="163"/>
      <c r="K178" s="163"/>
      <c r="L178" s="164"/>
      <c r="M178" s="163"/>
      <c r="N178" s="163"/>
      <c r="O178" s="171"/>
      <c r="P178" s="163"/>
      <c r="Q178" s="168">
        <f t="shared" si="24"/>
        <v>0</v>
      </c>
      <c r="R178" s="168">
        <f t="shared" si="25"/>
        <v>0</v>
      </c>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row>
    <row r="179" spans="1:41" ht="15.75" customHeight="1">
      <c r="A179" s="134" t="s">
        <v>630</v>
      </c>
      <c r="B179" s="163">
        <f>('Pivot Table for Data Exchange'!$G$439)*100</f>
        <v>0</v>
      </c>
      <c r="C179" s="163">
        <f>('Pivot Table for Data Exchange'!$G$442)*100</f>
        <v>0</v>
      </c>
      <c r="D179" s="164">
        <f>SUM(E179:G179)</f>
        <v>0</v>
      </c>
      <c r="E179" s="163">
        <f>('Pivot Table for Data Exchange'!$G$445)*100</f>
        <v>0</v>
      </c>
      <c r="F179" s="163">
        <f>('Pivot Table for Data Exchange'!$G$448)*100</f>
        <v>0</v>
      </c>
      <c r="G179" s="170">
        <f>('Pivot Table for Data Exchange'!$G$451)*100</f>
        <v>0</v>
      </c>
      <c r="H179" s="163">
        <f>('Pivot Table for Data Exchange'!$G$454)*100</f>
        <v>0</v>
      </c>
      <c r="I179" s="169" t="s">
        <v>630</v>
      </c>
      <c r="J179" s="163">
        <f>('Pivot Table for Data Exchange'!$G$457)*100</f>
        <v>0</v>
      </c>
      <c r="K179" s="163">
        <f>('Pivot Table for Data Exchange'!$G$460)*100</f>
        <v>0</v>
      </c>
      <c r="L179" s="164">
        <f>SUM(M179:O179)</f>
        <v>0</v>
      </c>
      <c r="M179" s="163">
        <f>('Pivot Table for Data Exchange'!$G$463)*100</f>
        <v>0</v>
      </c>
      <c r="N179" s="175">
        <f>('Pivot Table for Data Exchange'!$G$466)*100</f>
        <v>0</v>
      </c>
      <c r="O179" s="171">
        <f>('Pivot Table for Data Exchange'!$G$469)*100</f>
        <v>0</v>
      </c>
      <c r="P179" s="163">
        <f>('Pivot Table for Data Exchange'!$G$472)*100</f>
        <v>0</v>
      </c>
      <c r="Q179" s="168">
        <f t="shared" si="24"/>
        <v>0</v>
      </c>
      <c r="R179" s="168">
        <f t="shared" si="25"/>
        <v>0</v>
      </c>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row>
    <row r="180" spans="1:41" ht="15.75" customHeight="1">
      <c r="A180" s="134" t="s">
        <v>631</v>
      </c>
      <c r="B180" s="163">
        <f>('Pivot Table for Data Exchange'!$G$475)*100</f>
        <v>68.648571473896283</v>
      </c>
      <c r="C180" s="163">
        <f>('Pivot Table for Data Exchange'!$G$478)*100</f>
        <v>5.0525881625077336</v>
      </c>
      <c r="D180" s="164">
        <f>SUM(E180:G180)</f>
        <v>26.298840363595986</v>
      </c>
      <c r="E180" s="163">
        <f>('Pivot Table for Data Exchange'!$G$481)*100</f>
        <v>24.360296333899139</v>
      </c>
      <c r="F180" s="163">
        <f>('Pivot Table for Data Exchange'!$G$484)*100</f>
        <v>1.7799070387232896</v>
      </c>
      <c r="G180" s="171">
        <f>('Pivot Table for Data Exchange'!$G$487)*100</f>
        <v>0.15863699097355521</v>
      </c>
      <c r="H180" s="163">
        <f>('Pivot Table for Data Exchange'!$G$490)*100</f>
        <v>0</v>
      </c>
      <c r="I180" s="169" t="s">
        <v>631</v>
      </c>
      <c r="J180" s="163">
        <f>('Pivot Table for Data Exchange'!$G$493)*100</f>
        <v>41.534713763702804</v>
      </c>
      <c r="K180" s="163">
        <f>('Pivot Table for Data Exchange'!$G$496)*100</f>
        <v>7.9780755176613889</v>
      </c>
      <c r="L180" s="164">
        <f>SUM(M180:O180)</f>
        <v>50.487210718635808</v>
      </c>
      <c r="M180" s="163">
        <f>('Pivot Table for Data Exchange'!$G$499)*100</f>
        <v>50.101502233049125</v>
      </c>
      <c r="N180" s="163">
        <f>('Pivot Table for Data Exchange'!$G$502)*100</f>
        <v>0.36540803897685747</v>
      </c>
      <c r="O180" s="171">
        <f>('Pivot Table for Data Exchange'!$G$505)*100</f>
        <v>2.0300446609825416E-2</v>
      </c>
      <c r="P180" s="163">
        <f>('Pivot Table for Data Exchange'!$G$508)*100</f>
        <v>0</v>
      </c>
      <c r="Q180" s="168">
        <f t="shared" si="24"/>
        <v>100</v>
      </c>
      <c r="R180" s="168">
        <f t="shared" si="25"/>
        <v>100</v>
      </c>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row>
    <row r="181" spans="1:41" ht="15.75" customHeight="1">
      <c r="A181" s="134" t="s">
        <v>632</v>
      </c>
      <c r="B181" s="163">
        <f>('Pivot Table for Data Exchange'!$G$511)*100</f>
        <v>66.49904455395756</v>
      </c>
      <c r="C181" s="163">
        <f>('Pivot Table for Data Exchange'!$G$514)*100</f>
        <v>0.40051824813199949</v>
      </c>
      <c r="D181" s="164">
        <f>SUM(E181:G181)</f>
        <v>33.100437197910438</v>
      </c>
      <c r="E181" s="163">
        <f>('Pivot Table for Data Exchange'!$G$517)*100</f>
        <v>21.132218350480088</v>
      </c>
      <c r="F181" s="163">
        <f>('Pivot Table for Data Exchange'!$G$520)*100</f>
        <v>11.968218847430354</v>
      </c>
      <c r="G181" s="171">
        <f>('Pivot Table for Data Exchange'!$G$523)*100</f>
        <v>0</v>
      </c>
      <c r="H181" s="163">
        <f>('Pivot Table for Data Exchange'!$G$526)*100</f>
        <v>0</v>
      </c>
      <c r="I181" s="169" t="s">
        <v>632</v>
      </c>
      <c r="J181" s="163">
        <f>('Pivot Table for Data Exchange'!$G$529)*100</f>
        <v>22.482435597189696</v>
      </c>
      <c r="K181" s="163">
        <f>('Pivot Table for Data Exchange'!$G$532)*100</f>
        <v>2.2932751443720942</v>
      </c>
      <c r="L181" s="164">
        <f>SUM(M181:O181)</f>
        <v>75.224289258438219</v>
      </c>
      <c r="M181" s="163">
        <f>('Pivot Table for Data Exchange'!$G$535)*100</f>
        <v>70.213830533916152</v>
      </c>
      <c r="N181" s="163">
        <f>('Pivot Table for Data Exchange'!$G$538)*100</f>
        <v>5.0104587245220609</v>
      </c>
      <c r="O181" s="171">
        <f>('Pivot Table for Data Exchange'!$G$541)*100</f>
        <v>0</v>
      </c>
      <c r="P181" s="163">
        <f>('Pivot Table for Data Exchange'!$G$544)*100</f>
        <v>0</v>
      </c>
      <c r="Q181" s="168">
        <f t="shared" si="24"/>
        <v>100</v>
      </c>
      <c r="R181" s="168">
        <f t="shared" si="25"/>
        <v>100</v>
      </c>
      <c r="S181" s="217"/>
      <c r="T181" s="217"/>
      <c r="U181" s="217"/>
      <c r="V181" s="217"/>
      <c r="W181" s="217"/>
      <c r="X181" s="217"/>
      <c r="Y181" s="217"/>
      <c r="Z181" s="217"/>
      <c r="AA181" s="217"/>
      <c r="AB181" s="217"/>
      <c r="AC181" s="217"/>
      <c r="AD181" s="217"/>
      <c r="AE181" s="217"/>
      <c r="AF181" s="217"/>
      <c r="AG181" s="217"/>
      <c r="AH181" s="217"/>
      <c r="AI181" s="217"/>
      <c r="AJ181" s="217"/>
      <c r="AK181" s="217"/>
      <c r="AL181" s="217"/>
      <c r="AM181" s="217"/>
      <c r="AN181" s="217"/>
      <c r="AO181" s="217"/>
    </row>
    <row r="182" spans="1:41" ht="15.75" customHeight="1">
      <c r="A182" s="140" t="s">
        <v>633</v>
      </c>
      <c r="B182" s="176">
        <f>('Pivot Table for Data Exchange'!$G$547)*100</f>
        <v>45.454499037543464</v>
      </c>
      <c r="C182" s="176">
        <f>('Pivot Table for Data Exchange'!$G$550)*100</f>
        <v>1.5792456587338461</v>
      </c>
      <c r="D182" s="177">
        <f>SUM(E182:G182)</f>
        <v>52.96625530372269</v>
      </c>
      <c r="E182" s="176">
        <f>('Pivot Table for Data Exchange'!$G$553)*100</f>
        <v>52.675220701240214</v>
      </c>
      <c r="F182" s="176">
        <f>('Pivot Table for Data Exchange'!$G$556)*100</f>
        <v>0.29103460248247409</v>
      </c>
      <c r="G182" s="178">
        <f>('Pivot Table for Data Exchange'!$G$559)*100</f>
        <v>0</v>
      </c>
      <c r="H182" s="176">
        <f>('Pivot Table for Data Exchange'!$G$562)*100</f>
        <v>0</v>
      </c>
      <c r="I182" s="179" t="s">
        <v>633</v>
      </c>
      <c r="J182" s="176">
        <f>('Pivot Table for Data Exchange'!$G$565)*100</f>
        <v>9.8985382631126395</v>
      </c>
      <c r="K182" s="176">
        <f>('Pivot Table for Data Exchange'!$G$568)*100</f>
        <v>0</v>
      </c>
      <c r="L182" s="177">
        <f>SUM(M182:O182)</f>
        <v>90.101461736887359</v>
      </c>
      <c r="M182" s="176">
        <f>('Pivot Table for Data Exchange'!$G$571)*100</f>
        <v>90.101461736887359</v>
      </c>
      <c r="N182" s="176">
        <f>('Pivot Table for Data Exchange'!$G$574)*100</f>
        <v>0</v>
      </c>
      <c r="O182" s="178">
        <f>('Pivot Table for Data Exchange'!$G$577)*100</f>
        <v>0</v>
      </c>
      <c r="P182" s="176">
        <f>('Pivot Table for Data Exchange'!$G$580)*100</f>
        <v>0</v>
      </c>
      <c r="Q182" s="168">
        <f t="shared" si="24"/>
        <v>100</v>
      </c>
      <c r="R182" s="168">
        <f t="shared" si="25"/>
        <v>100</v>
      </c>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row>
    <row r="183" spans="1:41" s="207" customFormat="1" ht="13.5" customHeight="1">
      <c r="A183" s="182" t="s">
        <v>658</v>
      </c>
      <c r="B183" s="183"/>
      <c r="C183" s="183"/>
      <c r="D183" s="184"/>
      <c r="E183" s="183"/>
      <c r="F183" s="184"/>
      <c r="G183" s="184"/>
      <c r="H183" s="183"/>
      <c r="I183" s="182" t="s">
        <v>658</v>
      </c>
      <c r="J183" s="183"/>
      <c r="K183" s="183"/>
      <c r="L183" s="184"/>
      <c r="M183" s="183"/>
      <c r="N183" s="184"/>
      <c r="O183" s="184"/>
      <c r="P183" s="183"/>
      <c r="Q183" s="168">
        <f t="shared" si="24"/>
        <v>0</v>
      </c>
      <c r="R183" s="168">
        <f t="shared" si="25"/>
        <v>0</v>
      </c>
      <c r="S183" s="220"/>
      <c r="T183" s="220"/>
      <c r="U183" s="220"/>
      <c r="V183" s="220"/>
      <c r="W183" s="220"/>
      <c r="X183" s="220"/>
      <c r="Y183" s="220"/>
      <c r="Z183" s="220"/>
      <c r="AA183" s="220"/>
      <c r="AB183" s="220"/>
      <c r="AC183" s="220"/>
      <c r="AD183" s="220"/>
      <c r="AE183" s="220"/>
      <c r="AF183" s="220"/>
      <c r="AG183" s="220"/>
      <c r="AH183" s="220"/>
      <c r="AI183" s="220"/>
      <c r="AJ183" s="220"/>
      <c r="AK183" s="220"/>
      <c r="AL183" s="220"/>
      <c r="AM183" s="220"/>
      <c r="AN183" s="220"/>
      <c r="AO183" s="220"/>
    </row>
    <row r="184" spans="1:41" s="207" customFormat="1" ht="11.25" customHeight="1">
      <c r="A184" s="186"/>
      <c r="B184" s="195"/>
      <c r="C184" s="195"/>
      <c r="D184" s="195"/>
      <c r="E184" s="195"/>
      <c r="F184" s="195"/>
      <c r="G184" s="195"/>
      <c r="H184" s="195"/>
      <c r="I184" s="186"/>
      <c r="J184" s="195"/>
      <c r="K184" s="195"/>
      <c r="L184" s="195"/>
      <c r="M184" s="195"/>
      <c r="N184" s="195"/>
      <c r="O184" s="195"/>
      <c r="P184" s="195"/>
      <c r="Q184" s="168">
        <f t="shared" si="24"/>
        <v>0</v>
      </c>
      <c r="R184" s="168">
        <f t="shared" si="25"/>
        <v>0</v>
      </c>
      <c r="S184" s="220"/>
      <c r="T184" s="220"/>
      <c r="U184" s="220"/>
      <c r="V184" s="220"/>
      <c r="W184" s="220"/>
      <c r="X184" s="220"/>
      <c r="Y184" s="220"/>
      <c r="Z184" s="220"/>
      <c r="AA184" s="220"/>
      <c r="AB184" s="220"/>
      <c r="AC184" s="220"/>
      <c r="AD184" s="220"/>
      <c r="AE184" s="220"/>
      <c r="AF184" s="220"/>
      <c r="AG184" s="220"/>
      <c r="AH184" s="220"/>
      <c r="AI184" s="220"/>
      <c r="AJ184" s="220"/>
      <c r="AK184" s="220"/>
      <c r="AL184" s="220"/>
      <c r="AM184" s="220"/>
      <c r="AN184" s="220"/>
      <c r="AO184" s="220"/>
    </row>
    <row r="185" spans="1:41" s="207" customFormat="1" ht="13.5" customHeight="1">
      <c r="A185" s="192"/>
      <c r="B185" s="193"/>
      <c r="C185" s="181"/>
      <c r="D185" s="181"/>
      <c r="E185" s="181"/>
      <c r="F185" s="181"/>
      <c r="G185" s="181"/>
      <c r="H185" s="187" t="s">
        <v>992</v>
      </c>
      <c r="I185" s="192"/>
      <c r="J185" s="181"/>
      <c r="K185" s="181"/>
      <c r="L185" s="181"/>
      <c r="M185" s="181"/>
      <c r="N185" s="181"/>
      <c r="O185" s="181"/>
      <c r="P185" s="187" t="s">
        <v>992</v>
      </c>
      <c r="Q185" s="168">
        <f t="shared" si="24"/>
        <v>0</v>
      </c>
      <c r="R185" s="168">
        <f t="shared" si="25"/>
        <v>0</v>
      </c>
    </row>
    <row r="186" spans="1:41" ht="18">
      <c r="A186" s="129" t="s">
        <v>669</v>
      </c>
      <c r="B186" s="130"/>
      <c r="C186" s="130"/>
      <c r="D186" s="130"/>
      <c r="E186" s="130"/>
      <c r="F186" s="130"/>
      <c r="G186" s="130"/>
      <c r="H186" s="130"/>
      <c r="I186" s="129" t="s">
        <v>670</v>
      </c>
      <c r="J186" s="131"/>
      <c r="K186" s="131"/>
      <c r="L186" s="130"/>
      <c r="M186" s="131"/>
      <c r="N186" s="131"/>
      <c r="O186" s="131"/>
      <c r="P186" s="131"/>
      <c r="Q186" s="168">
        <f t="shared" si="24"/>
        <v>0</v>
      </c>
      <c r="R186" s="168">
        <f t="shared" si="25"/>
        <v>0</v>
      </c>
    </row>
    <row r="187" spans="1:41">
      <c r="A187" s="135"/>
      <c r="B187" s="131"/>
      <c r="C187" s="131"/>
      <c r="D187" s="131"/>
      <c r="E187" s="131"/>
      <c r="F187" s="131"/>
      <c r="G187" s="131"/>
      <c r="H187" s="131"/>
      <c r="I187" s="135"/>
      <c r="J187" s="131"/>
      <c r="K187" s="131"/>
      <c r="L187" s="131"/>
      <c r="M187" s="131"/>
      <c r="N187" s="131"/>
      <c r="O187" s="131"/>
      <c r="P187" s="131"/>
      <c r="Q187" s="168">
        <f t="shared" si="24"/>
        <v>0</v>
      </c>
      <c r="R187" s="168">
        <f t="shared" si="25"/>
        <v>0</v>
      </c>
    </row>
    <row r="188" spans="1:41" ht="15.75">
      <c r="A188" s="137" t="s">
        <v>639</v>
      </c>
      <c r="B188" s="131"/>
      <c r="C188" s="131"/>
      <c r="D188" s="131"/>
      <c r="E188" s="131"/>
      <c r="F188" s="131"/>
      <c r="G188" s="131"/>
      <c r="H188" s="131"/>
      <c r="I188" s="137" t="s">
        <v>640</v>
      </c>
      <c r="J188" s="131"/>
      <c r="K188" s="131"/>
      <c r="L188" s="131"/>
      <c r="M188" s="131"/>
      <c r="N188" s="131"/>
      <c r="O188" s="131"/>
      <c r="P188" s="131"/>
      <c r="Q188" s="168">
        <f t="shared" si="24"/>
        <v>0</v>
      </c>
      <c r="R188" s="168">
        <f t="shared" si="25"/>
        <v>0</v>
      </c>
    </row>
    <row r="189" spans="1:41" ht="15.75">
      <c r="A189" s="137" t="s">
        <v>967</v>
      </c>
      <c r="B189" s="131"/>
      <c r="C189" s="131"/>
      <c r="D189" s="131"/>
      <c r="E189" s="131"/>
      <c r="F189" s="131"/>
      <c r="G189" s="131"/>
      <c r="H189" s="131"/>
      <c r="I189" s="137" t="s">
        <v>967</v>
      </c>
      <c r="J189" s="131"/>
      <c r="K189" s="131"/>
      <c r="L189" s="131"/>
      <c r="M189" s="131"/>
      <c r="N189" s="131"/>
      <c r="O189" s="131"/>
      <c r="P189" s="131"/>
      <c r="Q189" s="168">
        <f t="shared" si="24"/>
        <v>0</v>
      </c>
      <c r="R189" s="168">
        <f t="shared" si="25"/>
        <v>0</v>
      </c>
    </row>
    <row r="190" spans="1:41">
      <c r="A190" s="140"/>
      <c r="B190" s="141"/>
      <c r="C190" s="141"/>
      <c r="D190" s="141"/>
      <c r="E190" s="141"/>
      <c r="F190" s="141"/>
      <c r="G190" s="141"/>
      <c r="H190" s="141"/>
      <c r="I190" s="142"/>
      <c r="L190" s="143"/>
      <c r="P190" s="140"/>
      <c r="Q190" s="168">
        <f t="shared" si="24"/>
        <v>0</v>
      </c>
      <c r="R190" s="168">
        <f t="shared" si="25"/>
        <v>0</v>
      </c>
    </row>
    <row r="191" spans="1:41" s="161" customFormat="1">
      <c r="A191" s="145"/>
      <c r="B191" s="146" t="s">
        <v>641</v>
      </c>
      <c r="C191" s="146"/>
      <c r="D191" s="146"/>
      <c r="E191" s="146"/>
      <c r="F191" s="146"/>
      <c r="G191" s="146"/>
      <c r="H191" s="147"/>
      <c r="I191" s="145"/>
      <c r="J191" s="146" t="s">
        <v>641</v>
      </c>
      <c r="K191" s="146"/>
      <c r="L191" s="146"/>
      <c r="M191" s="146"/>
      <c r="N191" s="146"/>
      <c r="O191" s="146"/>
      <c r="P191" s="147"/>
      <c r="Q191" s="168">
        <f t="shared" si="24"/>
        <v>0</v>
      </c>
      <c r="R191" s="168">
        <f t="shared" si="25"/>
        <v>0</v>
      </c>
    </row>
    <row r="192" spans="1:41" s="161" customFormat="1">
      <c r="A192" s="145"/>
      <c r="B192" s="146" t="s">
        <v>642</v>
      </c>
      <c r="C192" s="146"/>
      <c r="D192" s="639" t="s">
        <v>643</v>
      </c>
      <c r="E192" s="637"/>
      <c r="F192" s="637"/>
      <c r="G192" s="637"/>
      <c r="H192" s="153" t="s">
        <v>533</v>
      </c>
      <c r="I192" s="145"/>
      <c r="J192" s="146" t="s">
        <v>642</v>
      </c>
      <c r="K192" s="146"/>
      <c r="L192" s="639" t="s">
        <v>643</v>
      </c>
      <c r="M192" s="637"/>
      <c r="N192" s="637"/>
      <c r="O192" s="637"/>
      <c r="P192" s="153" t="s">
        <v>533</v>
      </c>
      <c r="Q192" s="168">
        <f t="shared" si="24"/>
        <v>0</v>
      </c>
      <c r="R192" s="168">
        <f t="shared" si="25"/>
        <v>0</v>
      </c>
    </row>
    <row r="193" spans="1:41" s="161" customFormat="1" ht="40.5" customHeight="1">
      <c r="A193" s="145"/>
      <c r="B193" s="154" t="s">
        <v>644</v>
      </c>
      <c r="C193" s="155" t="s">
        <v>645</v>
      </c>
      <c r="D193" s="156" t="s">
        <v>646</v>
      </c>
      <c r="E193" s="157" t="s">
        <v>8</v>
      </c>
      <c r="F193" s="154" t="s">
        <v>647</v>
      </c>
      <c r="G193" s="158" t="s">
        <v>656</v>
      </c>
      <c r="H193" s="159" t="s">
        <v>649</v>
      </c>
      <c r="I193" s="145"/>
      <c r="J193" s="154" t="s">
        <v>644</v>
      </c>
      <c r="K193" s="155" t="s">
        <v>645</v>
      </c>
      <c r="L193" s="156" t="s">
        <v>646</v>
      </c>
      <c r="M193" s="157" t="s">
        <v>8</v>
      </c>
      <c r="N193" s="154" t="s">
        <v>647</v>
      </c>
      <c r="O193" s="158" t="s">
        <v>656</v>
      </c>
      <c r="P193" s="159" t="s">
        <v>649</v>
      </c>
      <c r="Q193" s="168">
        <f t="shared" si="24"/>
        <v>0</v>
      </c>
      <c r="R193" s="168">
        <f t="shared" si="25"/>
        <v>0</v>
      </c>
      <c r="T193" s="160"/>
    </row>
    <row r="194" spans="1:41" ht="15.75" customHeight="1">
      <c r="A194" s="189" t="s">
        <v>618</v>
      </c>
      <c r="B194" s="216">
        <f>('Pivot Table for Data Exchange'!$H$7)*100</f>
        <v>0</v>
      </c>
      <c r="C194" s="163">
        <f>('Pivot Table for Data Exchange'!$H$10)*100</f>
        <v>0</v>
      </c>
      <c r="D194" s="164">
        <f>SUM(E194:G194)</f>
        <v>0</v>
      </c>
      <c r="E194" s="163">
        <f>('Pivot Table for Data Exchange'!$H$13)*100</f>
        <v>0</v>
      </c>
      <c r="F194" s="163">
        <f>('Pivot Table for Data Exchange'!$H$16)*100</f>
        <v>0</v>
      </c>
      <c r="G194" s="167">
        <f>('Pivot Table for Data Exchange'!$H$19)*100</f>
        <v>0</v>
      </c>
      <c r="H194" s="163">
        <f>('Pivot Table for Data Exchange'!$H$22)*100</f>
        <v>0</v>
      </c>
      <c r="I194" s="166" t="s">
        <v>618</v>
      </c>
      <c r="J194" s="163">
        <f>('Pivot Table for Data Exchange'!$H$25)*100</f>
        <v>0</v>
      </c>
      <c r="K194" s="163">
        <f>('Pivot Table for Data Exchange'!$H$28)*100</f>
        <v>0</v>
      </c>
      <c r="L194" s="164">
        <f>SUM(M194:O194)</f>
        <v>0</v>
      </c>
      <c r="M194" s="163">
        <f>('Pivot Table for Data Exchange'!$H$31)*100</f>
        <v>0</v>
      </c>
      <c r="N194" s="163">
        <f>('Pivot Table for Data Exchange'!$H$34)*100</f>
        <v>0</v>
      </c>
      <c r="O194" s="167">
        <f>('Pivot Table for Data Exchange'!$H$37)*100</f>
        <v>0</v>
      </c>
      <c r="P194" s="163">
        <f>('Pivot Table for Data Exchange'!$H$40)*100</f>
        <v>0</v>
      </c>
      <c r="Q194" s="168">
        <f t="shared" si="24"/>
        <v>0</v>
      </c>
      <c r="R194" s="168">
        <f t="shared" si="25"/>
        <v>0</v>
      </c>
      <c r="S194" s="217"/>
      <c r="T194" s="217"/>
      <c r="U194" s="217"/>
      <c r="V194" s="217"/>
      <c r="W194" s="217"/>
      <c r="X194" s="217"/>
      <c r="Y194" s="217"/>
      <c r="Z194" s="217"/>
      <c r="AA194" s="217"/>
      <c r="AB194" s="217"/>
      <c r="AC194" s="217"/>
      <c r="AD194" s="217"/>
      <c r="AE194" s="217"/>
      <c r="AF194" s="217"/>
      <c r="AG194" s="217"/>
      <c r="AH194" s="217"/>
      <c r="AI194" s="217"/>
      <c r="AJ194" s="217"/>
      <c r="AK194" s="217"/>
      <c r="AL194" s="217"/>
      <c r="AM194" s="217"/>
      <c r="AN194" s="217"/>
      <c r="AO194" s="217"/>
    </row>
    <row r="195" spans="1:41" ht="15.75" customHeight="1">
      <c r="A195" s="134" t="s">
        <v>619</v>
      </c>
      <c r="B195" s="163">
        <f>('Pivot Table for Data Exchange'!$H$43)*100</f>
        <v>10.599878632993077</v>
      </c>
      <c r="C195" s="163">
        <f>('Pivot Table for Data Exchange'!$H$46)*100</f>
        <v>6.5187896847911349</v>
      </c>
      <c r="D195" s="164">
        <f t="shared" ref="D195:D197" si="30">SUM(E195:G195)</f>
        <v>82.881331682215773</v>
      </c>
      <c r="E195" s="163">
        <f>('Pivot Table for Data Exchange'!$H$49)*100</f>
        <v>70.907933751375239</v>
      </c>
      <c r="F195" s="163">
        <f>('Pivot Table for Data Exchange'!$H$52)*100</f>
        <v>0</v>
      </c>
      <c r="G195" s="171">
        <f>('Pivot Table for Data Exchange'!$H$55)*100</f>
        <v>11.973397930840541</v>
      </c>
      <c r="H195" s="163">
        <f>('Pivot Table for Data Exchange'!$H$58)*100</f>
        <v>0</v>
      </c>
      <c r="I195" s="169" t="s">
        <v>619</v>
      </c>
      <c r="J195" s="163">
        <f>('Pivot Table for Data Exchange'!$H$61)*100</f>
        <v>14.793741109530584</v>
      </c>
      <c r="K195" s="163">
        <f>('Pivot Table for Data Exchange'!$H$64)*100</f>
        <v>0</v>
      </c>
      <c r="L195" s="164">
        <f t="shared" ref="L195:L197" si="31">SUM(M195:O195)</f>
        <v>85.206258890469428</v>
      </c>
      <c r="M195" s="163">
        <f>('Pivot Table for Data Exchange'!$H$67)*100</f>
        <v>63.49928876244666</v>
      </c>
      <c r="N195" s="163">
        <f>('Pivot Table for Data Exchange'!$H$70)*100</f>
        <v>0</v>
      </c>
      <c r="O195" s="171">
        <f>('Pivot Table for Data Exchange'!$H$73)*100</f>
        <v>21.70697012802276</v>
      </c>
      <c r="P195" s="163">
        <f>('Pivot Table for Data Exchange'!$H$76)*100</f>
        <v>0</v>
      </c>
      <c r="Q195" s="168">
        <f t="shared" si="24"/>
        <v>99.999999999999986</v>
      </c>
      <c r="R195" s="168">
        <f t="shared" si="25"/>
        <v>100.00000000000001</v>
      </c>
      <c r="S195" s="217"/>
      <c r="T195" s="217"/>
      <c r="U195" s="217"/>
      <c r="V195" s="217"/>
      <c r="W195" s="217"/>
      <c r="X195" s="217"/>
      <c r="Y195" s="217"/>
      <c r="Z195" s="217"/>
      <c r="AA195" s="217"/>
      <c r="AB195" s="217"/>
      <c r="AC195" s="217"/>
      <c r="AD195" s="217"/>
      <c r="AE195" s="217"/>
      <c r="AF195" s="217"/>
      <c r="AG195" s="217"/>
      <c r="AH195" s="217"/>
      <c r="AI195" s="217"/>
      <c r="AJ195" s="217"/>
      <c r="AK195" s="217"/>
      <c r="AL195" s="217"/>
      <c r="AM195" s="217"/>
      <c r="AN195" s="217"/>
      <c r="AO195" s="217"/>
    </row>
    <row r="196" spans="1:41" ht="15.75" customHeight="1">
      <c r="A196" s="134" t="s">
        <v>620</v>
      </c>
      <c r="B196" s="163">
        <f>('Pivot Table for Data Exchange'!$H$79)*100</f>
        <v>0</v>
      </c>
      <c r="C196" s="163">
        <f>('Pivot Table for Data Exchange'!$H$82)*100</f>
        <v>0</v>
      </c>
      <c r="D196" s="164">
        <f t="shared" si="30"/>
        <v>0</v>
      </c>
      <c r="E196" s="163">
        <f>('Pivot Table for Data Exchange'!$H$85)*100</f>
        <v>0</v>
      </c>
      <c r="F196" s="163">
        <f>('Pivot Table for Data Exchange'!$H$88)*100</f>
        <v>0</v>
      </c>
      <c r="G196" s="171">
        <f>('Pivot Table for Data Exchange'!$H$91)*100</f>
        <v>0</v>
      </c>
      <c r="H196" s="163">
        <f>('Pivot Table for Data Exchange'!$H$94)*100</f>
        <v>0</v>
      </c>
      <c r="I196" s="169" t="s">
        <v>620</v>
      </c>
      <c r="J196" s="163">
        <f>('Pivot Table for Data Exchange'!$H$97)*100</f>
        <v>0</v>
      </c>
      <c r="K196" s="163">
        <f>('Pivot Table for Data Exchange'!$H$100)*100</f>
        <v>0</v>
      </c>
      <c r="L196" s="164">
        <f t="shared" si="31"/>
        <v>0</v>
      </c>
      <c r="M196" s="163">
        <f>('Pivot Table for Data Exchange'!$H$103)*100</f>
        <v>0</v>
      </c>
      <c r="N196" s="163">
        <f>('Pivot Table for Data Exchange'!$H$106)*100</f>
        <v>0</v>
      </c>
      <c r="O196" s="171">
        <f>('Pivot Table for Data Exchange'!$H$109)*100</f>
        <v>0</v>
      </c>
      <c r="P196" s="163">
        <f>('Pivot Table for Data Exchange'!$H$112)*100</f>
        <v>0</v>
      </c>
      <c r="Q196" s="168">
        <f t="shared" si="24"/>
        <v>0</v>
      </c>
      <c r="R196" s="168">
        <f t="shared" si="25"/>
        <v>0</v>
      </c>
      <c r="S196" s="217"/>
      <c r="T196" s="221"/>
      <c r="U196" s="217"/>
      <c r="V196" s="217"/>
      <c r="W196" s="217"/>
      <c r="X196" s="217"/>
      <c r="Y196" s="217"/>
      <c r="Z196" s="217"/>
      <c r="AA196" s="217"/>
      <c r="AB196" s="217"/>
      <c r="AC196" s="217"/>
      <c r="AD196" s="217"/>
      <c r="AE196" s="217"/>
      <c r="AF196" s="217"/>
      <c r="AG196" s="217"/>
      <c r="AH196" s="217"/>
      <c r="AI196" s="217"/>
      <c r="AJ196" s="217"/>
      <c r="AK196" s="217"/>
      <c r="AL196" s="217"/>
      <c r="AM196" s="217"/>
      <c r="AN196" s="217"/>
      <c r="AO196" s="217"/>
    </row>
    <row r="197" spans="1:41" ht="15.75" customHeight="1">
      <c r="A197" s="134" t="s">
        <v>657</v>
      </c>
      <c r="B197" s="163">
        <f>('Pivot Table for Data Exchange'!$H$115)*100</f>
        <v>0</v>
      </c>
      <c r="C197" s="163">
        <f>('Pivot Table for Data Exchange'!$H$118)*100</f>
        <v>0</v>
      </c>
      <c r="D197" s="164">
        <f t="shared" si="30"/>
        <v>0</v>
      </c>
      <c r="E197" s="163">
        <f>('Pivot Table for Data Exchange'!$H$121)*100</f>
        <v>0</v>
      </c>
      <c r="F197" s="163">
        <f>('Pivot Table for Data Exchange'!$H$124)*100</f>
        <v>0</v>
      </c>
      <c r="G197" s="171">
        <f>('Pivot Table for Data Exchange'!$H$127)*100</f>
        <v>0</v>
      </c>
      <c r="H197" s="163">
        <f>('Pivot Table for Data Exchange'!$H$130)*100</f>
        <v>0</v>
      </c>
      <c r="I197" s="169" t="s">
        <v>621</v>
      </c>
      <c r="J197" s="163">
        <f>('Pivot Table for Data Exchange'!$H$133)*100</f>
        <v>0</v>
      </c>
      <c r="K197" s="163">
        <f>('Pivot Table for Data Exchange'!$H$136)*100</f>
        <v>0</v>
      </c>
      <c r="L197" s="164">
        <f t="shared" si="31"/>
        <v>0</v>
      </c>
      <c r="M197" s="163">
        <f>('Pivot Table for Data Exchange'!$H$139)*100</f>
        <v>0</v>
      </c>
      <c r="N197" s="163">
        <f>('Pivot Table for Data Exchange'!$H$142)*100</f>
        <v>0</v>
      </c>
      <c r="O197" s="171">
        <f>('Pivot Table for Data Exchange'!$H$145)*100</f>
        <v>0</v>
      </c>
      <c r="P197" s="163">
        <f>('Pivot Table for Data Exchange'!$H$148)*100</f>
        <v>0</v>
      </c>
      <c r="Q197" s="168">
        <f t="shared" si="24"/>
        <v>0</v>
      </c>
      <c r="R197" s="168">
        <f t="shared" si="25"/>
        <v>0</v>
      </c>
      <c r="S197" s="217"/>
      <c r="U197" s="217"/>
      <c r="V197" s="217"/>
      <c r="W197" s="217"/>
      <c r="X197" s="217"/>
      <c r="Y197" s="217"/>
      <c r="Z197" s="217"/>
      <c r="AA197" s="217"/>
      <c r="AB197" s="217"/>
      <c r="AC197" s="217"/>
      <c r="AD197" s="217"/>
      <c r="AE197" s="217"/>
      <c r="AF197" s="217"/>
      <c r="AG197" s="217"/>
      <c r="AH197" s="217"/>
      <c r="AI197" s="217"/>
      <c r="AJ197" s="217"/>
      <c r="AK197" s="217"/>
      <c r="AL197" s="217"/>
      <c r="AM197" s="217"/>
      <c r="AN197" s="217"/>
      <c r="AO197" s="217"/>
    </row>
    <row r="198" spans="1:41" ht="15.75" customHeight="1">
      <c r="B198" s="163"/>
      <c r="C198" s="163"/>
      <c r="D198" s="164"/>
      <c r="E198" s="163"/>
      <c r="F198" s="163"/>
      <c r="G198" s="171"/>
      <c r="H198" s="163"/>
      <c r="I198" s="169"/>
      <c r="J198" s="163"/>
      <c r="K198" s="163"/>
      <c r="L198" s="164"/>
      <c r="M198" s="163"/>
      <c r="N198" s="163"/>
      <c r="O198" s="171"/>
      <c r="P198" s="163"/>
      <c r="Q198" s="168">
        <f t="shared" si="24"/>
        <v>0</v>
      </c>
      <c r="R198" s="168">
        <f t="shared" si="25"/>
        <v>0</v>
      </c>
      <c r="S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row>
    <row r="199" spans="1:41" ht="15.75" customHeight="1">
      <c r="A199" s="134" t="s">
        <v>622</v>
      </c>
      <c r="B199" s="163">
        <f>('Pivot Table for Data Exchange'!$H$151)*100</f>
        <v>58.229824685925195</v>
      </c>
      <c r="C199" s="163">
        <f>('Pivot Table for Data Exchange'!$H$154)*100</f>
        <v>1.8620264681021299</v>
      </c>
      <c r="D199" s="164">
        <f t="shared" ref="D199:D200" si="32">SUM(E199:G199)</f>
        <v>39.908148845972683</v>
      </c>
      <c r="E199" s="163">
        <f>('Pivot Table for Data Exchange'!$H$157)*100</f>
        <v>39.908148845972683</v>
      </c>
      <c r="F199" s="163">
        <f>('Pivot Table for Data Exchange'!$H$160)*100</f>
        <v>0</v>
      </c>
      <c r="G199" s="171">
        <f>('Pivot Table for Data Exchange'!$H$163)*100</f>
        <v>0</v>
      </c>
      <c r="H199" s="163">
        <f>('Pivot Table for Data Exchange'!$H$166)*100</f>
        <v>0</v>
      </c>
      <c r="I199" s="169" t="s">
        <v>622</v>
      </c>
      <c r="J199" s="163">
        <f>('Pivot Table for Data Exchange'!$H$169)*100</f>
        <v>0</v>
      </c>
      <c r="K199" s="163">
        <f>('Pivot Table for Data Exchange'!$H$172)*100</f>
        <v>0</v>
      </c>
      <c r="L199" s="164">
        <f t="shared" ref="L199:L200" si="33">SUM(M199:O199)</f>
        <v>0</v>
      </c>
      <c r="M199" s="163">
        <f>('Pivot Table for Data Exchange'!$H$175)*100</f>
        <v>0</v>
      </c>
      <c r="N199" s="163">
        <f>('Pivot Table for Data Exchange'!$H$178)*100</f>
        <v>0</v>
      </c>
      <c r="O199" s="171">
        <f>('Pivot Table for Data Exchange'!$H$181)*100</f>
        <v>0</v>
      </c>
      <c r="P199" s="163">
        <f>('Pivot Table for Data Exchange'!$H$184)*100</f>
        <v>0</v>
      </c>
      <c r="Q199" s="168">
        <f t="shared" si="24"/>
        <v>100</v>
      </c>
      <c r="R199" s="168">
        <f t="shared" si="25"/>
        <v>0</v>
      </c>
      <c r="S199" s="217"/>
      <c r="T199" s="217"/>
      <c r="U199" s="217"/>
      <c r="V199" s="217"/>
      <c r="W199" s="217"/>
      <c r="X199" s="217"/>
      <c r="Y199" s="217"/>
      <c r="Z199" s="217"/>
      <c r="AA199" s="217"/>
      <c r="AB199" s="217"/>
      <c r="AC199" s="217"/>
      <c r="AD199" s="217"/>
      <c r="AE199" s="217"/>
      <c r="AF199" s="217"/>
      <c r="AG199" s="217"/>
      <c r="AH199" s="217"/>
      <c r="AI199" s="217"/>
      <c r="AJ199" s="217"/>
      <c r="AK199" s="217"/>
      <c r="AL199" s="217"/>
      <c r="AM199" s="217"/>
      <c r="AN199" s="217"/>
      <c r="AO199" s="217"/>
    </row>
    <row r="200" spans="1:41" ht="15.75" customHeight="1">
      <c r="A200" s="134" t="s">
        <v>623</v>
      </c>
      <c r="B200" s="163">
        <f>('Pivot Table for Data Exchange'!$H$187)*100</f>
        <v>0</v>
      </c>
      <c r="C200" s="163">
        <f>('Pivot Table for Data Exchange'!$H$190)*100</f>
        <v>0</v>
      </c>
      <c r="D200" s="164">
        <f t="shared" si="32"/>
        <v>0</v>
      </c>
      <c r="E200" s="163">
        <f>('Pivot Table for Data Exchange'!$H$193)*100</f>
        <v>0</v>
      </c>
      <c r="F200" s="163">
        <f>('Pivot Table for Data Exchange'!$H$196)*100</f>
        <v>0</v>
      </c>
      <c r="G200" s="171">
        <f>('Pivot Table for Data Exchange'!$H$199)*100</f>
        <v>0</v>
      </c>
      <c r="H200" s="163">
        <f>('Pivot Table for Data Exchange'!$H$202)*100</f>
        <v>0</v>
      </c>
      <c r="I200" s="169" t="s">
        <v>623</v>
      </c>
      <c r="J200" s="163">
        <f>('Pivot Table for Data Exchange'!$H$205)*100</f>
        <v>0</v>
      </c>
      <c r="K200" s="163">
        <f>('Pivot Table for Data Exchange'!$H$208)*100</f>
        <v>0</v>
      </c>
      <c r="L200" s="164">
        <f t="shared" si="33"/>
        <v>0</v>
      </c>
      <c r="M200" s="163">
        <f>('Pivot Table for Data Exchange'!$H$211)*100</f>
        <v>0</v>
      </c>
      <c r="N200" s="163">
        <f>('Pivot Table for Data Exchange'!$H$214)*100</f>
        <v>0</v>
      </c>
      <c r="O200" s="171">
        <f>('Pivot Table for Data Exchange'!$H$217)*100</f>
        <v>0</v>
      </c>
      <c r="P200" s="163">
        <f>('Pivot Table for Data Exchange'!$H$220)*100</f>
        <v>0</v>
      </c>
      <c r="Q200" s="168">
        <f t="shared" si="24"/>
        <v>0</v>
      </c>
      <c r="R200" s="168">
        <f t="shared" si="25"/>
        <v>0</v>
      </c>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row>
    <row r="201" spans="1:41" ht="15.75" customHeight="1">
      <c r="A201" s="134" t="s">
        <v>624</v>
      </c>
      <c r="B201" s="163">
        <f>('Pivot Table for Data Exchange'!$H$223)*100</f>
        <v>45.972644376899751</v>
      </c>
      <c r="C201" s="163">
        <f>('Pivot Table for Data Exchange'!$H$226)*100</f>
        <v>0</v>
      </c>
      <c r="D201" s="164">
        <f>SUM(E201:G201)</f>
        <v>54.027355623100249</v>
      </c>
      <c r="E201" s="163">
        <f>('Pivot Table for Data Exchange'!$H$229)*100</f>
        <v>54.027355623100249</v>
      </c>
      <c r="F201" s="163">
        <f>('Pivot Table for Data Exchange'!$H$232)*100</f>
        <v>0</v>
      </c>
      <c r="G201" s="171">
        <f>('Pivot Table for Data Exchange'!$H$235)*100</f>
        <v>0</v>
      </c>
      <c r="H201" s="163">
        <f>('Pivot Table for Data Exchange'!$H$238)*100</f>
        <v>0</v>
      </c>
      <c r="I201" s="169" t="s">
        <v>624</v>
      </c>
      <c r="J201" s="163">
        <f>('Pivot Table for Data Exchange'!$H$241)*100</f>
        <v>0</v>
      </c>
      <c r="K201" s="163">
        <f>('Pivot Table for Data Exchange'!$H$244)*100</f>
        <v>0</v>
      </c>
      <c r="L201" s="164">
        <f>SUM(M201:O201)</f>
        <v>0</v>
      </c>
      <c r="M201" s="163">
        <f>('Pivot Table for Data Exchange'!$H$247)*100</f>
        <v>0</v>
      </c>
      <c r="N201" s="163">
        <f>('Pivot Table for Data Exchange'!$H$250)*100</f>
        <v>0</v>
      </c>
      <c r="O201" s="171">
        <f>('Pivot Table for Data Exchange'!$H$253)*100</f>
        <v>0</v>
      </c>
      <c r="P201" s="163">
        <f>('Pivot Table for Data Exchange'!$H$256)*100</f>
        <v>0</v>
      </c>
      <c r="Q201" s="168">
        <f t="shared" si="24"/>
        <v>100</v>
      </c>
      <c r="R201" s="168">
        <f t="shared" si="25"/>
        <v>0</v>
      </c>
      <c r="S201" s="217"/>
      <c r="T201" s="221"/>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row>
    <row r="202" spans="1:41" ht="15.75" customHeight="1">
      <c r="A202" s="134" t="s">
        <v>625</v>
      </c>
      <c r="B202" s="163">
        <f>('Pivot Table for Data Exchange'!$H$259)*100</f>
        <v>71.99330333786753</v>
      </c>
      <c r="C202" s="163">
        <f>('Pivot Table for Data Exchange'!$H$262)*100</f>
        <v>0</v>
      </c>
      <c r="D202" s="164">
        <f>SUM(E202:G202)</f>
        <v>28.00669666213247</v>
      </c>
      <c r="E202" s="163">
        <f>('Pivot Table for Data Exchange'!$H$265)*100</f>
        <v>28.00669666213247</v>
      </c>
      <c r="F202" s="163">
        <f>('Pivot Table for Data Exchange'!$H$268)*100</f>
        <v>0</v>
      </c>
      <c r="G202" s="171">
        <f>('Pivot Table for Data Exchange'!$H$271)*100</f>
        <v>0</v>
      </c>
      <c r="H202" s="163">
        <f>('Pivot Table for Data Exchange'!$H$274)*100</f>
        <v>0</v>
      </c>
      <c r="I202" s="169" t="s">
        <v>625</v>
      </c>
      <c r="J202" s="163">
        <f>('Pivot Table for Data Exchange'!$H$277)*100</f>
        <v>60.203045685279186</v>
      </c>
      <c r="K202" s="163">
        <f>('Pivot Table for Data Exchange'!$H$280)*100</f>
        <v>0</v>
      </c>
      <c r="L202" s="164">
        <f>SUM(M202:O202)</f>
        <v>39.796954314720814</v>
      </c>
      <c r="M202" s="163">
        <f>('Pivot Table for Data Exchange'!$H$283)*100</f>
        <v>39.796954314720814</v>
      </c>
      <c r="N202" s="163">
        <f>('Pivot Table for Data Exchange'!$H$286)*100</f>
        <v>0</v>
      </c>
      <c r="O202" s="171">
        <f>('Pivot Table for Data Exchange'!$H$289)*100</f>
        <v>0</v>
      </c>
      <c r="P202" s="163">
        <f>('Pivot Table for Data Exchange'!$H$292)*100</f>
        <v>0</v>
      </c>
      <c r="Q202" s="168">
        <f t="shared" si="24"/>
        <v>100</v>
      </c>
      <c r="R202" s="168">
        <f t="shared" si="25"/>
        <v>100</v>
      </c>
      <c r="S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row>
    <row r="203" spans="1:41" ht="11.25" customHeight="1">
      <c r="B203" s="163"/>
      <c r="C203" s="163"/>
      <c r="D203" s="164"/>
      <c r="E203" s="163"/>
      <c r="F203" s="163"/>
      <c r="G203" s="171"/>
      <c r="H203" s="163"/>
      <c r="I203" s="169"/>
      <c r="J203" s="163"/>
      <c r="K203" s="163"/>
      <c r="L203" s="164"/>
      <c r="M203" s="163"/>
      <c r="N203" s="163"/>
      <c r="O203" s="171"/>
      <c r="P203" s="163"/>
      <c r="Q203" s="168">
        <f t="shared" si="24"/>
        <v>0</v>
      </c>
      <c r="R203" s="168">
        <f t="shared" si="25"/>
        <v>0</v>
      </c>
      <c r="S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row>
    <row r="204" spans="1:41" ht="15.75" customHeight="1">
      <c r="A204" s="134" t="s">
        <v>626</v>
      </c>
      <c r="B204" s="163">
        <f>('Pivot Table for Data Exchange'!$H$295)*100</f>
        <v>0</v>
      </c>
      <c r="C204" s="163">
        <f>('Pivot Table for Data Exchange'!$H$298)*100</f>
        <v>0</v>
      </c>
      <c r="D204" s="164">
        <f>SUM(E204:G204)</f>
        <v>0</v>
      </c>
      <c r="E204" s="163">
        <f>('Pivot Table for Data Exchange'!$H$301)*100</f>
        <v>0</v>
      </c>
      <c r="F204" s="163">
        <f>('Pivot Table for Data Exchange'!$H$304)*100</f>
        <v>0</v>
      </c>
      <c r="G204" s="171">
        <f>('Pivot Table for Data Exchange'!$H$307)*100</f>
        <v>0</v>
      </c>
      <c r="H204" s="163">
        <f>('Pivot Table for Data Exchange'!$H$310)*100</f>
        <v>0</v>
      </c>
      <c r="I204" s="169" t="s">
        <v>626</v>
      </c>
      <c r="J204" s="163">
        <f>('Pivot Table for Data Exchange'!$H$313)*100</f>
        <v>0</v>
      </c>
      <c r="K204" s="163">
        <f>('Pivot Table for Data Exchange'!$H$316)*100</f>
        <v>0</v>
      </c>
      <c r="L204" s="164">
        <f>SUM(M204:O204)</f>
        <v>0</v>
      </c>
      <c r="M204" s="163">
        <f>('Pivot Table for Data Exchange'!$H$319)*100</f>
        <v>0</v>
      </c>
      <c r="N204" s="163">
        <f>('Pivot Table for Data Exchange'!$H$322)*100</f>
        <v>0</v>
      </c>
      <c r="O204" s="171">
        <f>('Pivot Table for Data Exchange'!$H$325)*100</f>
        <v>0</v>
      </c>
      <c r="P204" s="163">
        <f>('Pivot Table for Data Exchange'!$H$328)*100</f>
        <v>0</v>
      </c>
      <c r="Q204" s="168">
        <f t="shared" si="24"/>
        <v>0</v>
      </c>
      <c r="R204" s="168">
        <f t="shared" si="25"/>
        <v>0</v>
      </c>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row>
    <row r="205" spans="1:41" ht="15.75" customHeight="1">
      <c r="A205" s="134" t="s">
        <v>627</v>
      </c>
      <c r="B205" s="163">
        <f>('Pivot Table for Data Exchange'!$H$331)*100</f>
        <v>57.434450485169641</v>
      </c>
      <c r="C205" s="163">
        <f>('Pivot Table for Data Exchange'!$H$334)*100</f>
        <v>0.21746610694377538</v>
      </c>
      <c r="D205" s="164">
        <f>SUM(E205:G205)</f>
        <v>42.348083407886591</v>
      </c>
      <c r="E205" s="163">
        <f>('Pivot Table for Data Exchange'!$H$337)*100</f>
        <v>41.176794439474229</v>
      </c>
      <c r="F205" s="163">
        <f>('Pivot Table for Data Exchange'!$H$340)*100</f>
        <v>1.17128896841236</v>
      </c>
      <c r="G205" s="171">
        <f>('Pivot Table for Data Exchange'!$H$343)*100</f>
        <v>0</v>
      </c>
      <c r="H205" s="163">
        <f>('Pivot Table for Data Exchange'!$H$346)*100</f>
        <v>0</v>
      </c>
      <c r="I205" s="169" t="s">
        <v>627</v>
      </c>
      <c r="J205" s="163">
        <f>('Pivot Table for Data Exchange'!$H$349)*100</f>
        <v>21.665660832830415</v>
      </c>
      <c r="K205" s="163">
        <f>('Pivot Table for Data Exchange'!$H$352)*100</f>
        <v>0</v>
      </c>
      <c r="L205" s="164">
        <f>SUM(M205:O205)</f>
        <v>78.334339167169588</v>
      </c>
      <c r="M205" s="163">
        <f>('Pivot Table for Data Exchange'!$H$355)*100</f>
        <v>78.334339167169588</v>
      </c>
      <c r="N205" s="163">
        <f>('Pivot Table for Data Exchange'!$H$358)*100</f>
        <v>0</v>
      </c>
      <c r="O205" s="171">
        <f>('Pivot Table for Data Exchange'!$H$361)*100</f>
        <v>0</v>
      </c>
      <c r="P205" s="163">
        <f>('Pivot Table for Data Exchange'!$H$364)*100</f>
        <v>0</v>
      </c>
      <c r="Q205" s="168">
        <f t="shared" si="24"/>
        <v>100</v>
      </c>
      <c r="R205" s="168">
        <f t="shared" si="25"/>
        <v>100</v>
      </c>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row>
    <row r="206" spans="1:41" ht="15.75" customHeight="1">
      <c r="A206" s="134" t="s">
        <v>628</v>
      </c>
      <c r="B206" s="163">
        <f>('Pivot Table for Data Exchange'!$H$367)*100</f>
        <v>0</v>
      </c>
      <c r="C206" s="163">
        <f>('Pivot Table for Data Exchange'!$H$370)*100</f>
        <v>0</v>
      </c>
      <c r="D206" s="164">
        <f>SUM(E206:G206)</f>
        <v>0</v>
      </c>
      <c r="E206" s="163">
        <f>('Pivot Table for Data Exchange'!$H$373)*100</f>
        <v>0</v>
      </c>
      <c r="F206" s="163">
        <f>('Pivot Table for Data Exchange'!$H$376)*100</f>
        <v>0</v>
      </c>
      <c r="G206" s="171">
        <f>('Pivot Table for Data Exchange'!$H$379)*100</f>
        <v>0</v>
      </c>
      <c r="H206" s="163">
        <f>('Pivot Table for Data Exchange'!$H$382)*100</f>
        <v>0</v>
      </c>
      <c r="I206" s="169" t="s">
        <v>628</v>
      </c>
      <c r="J206" s="163">
        <f>('Pivot Table for Data Exchange'!$H$385)*100</f>
        <v>0</v>
      </c>
      <c r="K206" s="163">
        <f>('Pivot Table for Data Exchange'!$H$388)*100</f>
        <v>0</v>
      </c>
      <c r="L206" s="164">
        <f>SUM(M206:O206)</f>
        <v>0</v>
      </c>
      <c r="M206" s="163">
        <f>('Pivot Table for Data Exchange'!$H$391)*100</f>
        <v>0</v>
      </c>
      <c r="N206" s="163">
        <f>('Pivot Table for Data Exchange'!$H$394)*100</f>
        <v>0</v>
      </c>
      <c r="O206" s="171">
        <f>('Pivot Table for Data Exchange'!$H$397)*100</f>
        <v>0</v>
      </c>
      <c r="P206" s="163">
        <f>('Pivot Table for Data Exchange'!$H$400)*100</f>
        <v>0</v>
      </c>
      <c r="Q206" s="168">
        <f t="shared" si="24"/>
        <v>0</v>
      </c>
      <c r="R206" s="168">
        <f t="shared" si="25"/>
        <v>0</v>
      </c>
      <c r="S206" s="217"/>
      <c r="T206" s="221"/>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row>
    <row r="207" spans="1:41" ht="15.75" customHeight="1">
      <c r="A207" s="134" t="s">
        <v>629</v>
      </c>
      <c r="B207" s="163">
        <f>('Pivot Table for Data Exchange'!$H$403)*100</f>
        <v>43.90043749647387</v>
      </c>
      <c r="C207" s="163">
        <f>('Pivot Table for Data Exchange'!$H$406)*100</f>
        <v>1.5639772344546852</v>
      </c>
      <c r="D207" s="164">
        <f>SUM(E207:G207)</f>
        <v>54.53558526907144</v>
      </c>
      <c r="E207" s="163">
        <f>('Pivot Table for Data Exchange'!$H$409)*100</f>
        <v>53.576136182958663</v>
      </c>
      <c r="F207" s="163">
        <f>('Pivot Table for Data Exchange'!$H$412)*100</f>
        <v>0.95944908611277813</v>
      </c>
      <c r="G207" s="170">
        <f>('Pivot Table for Data Exchange'!$H$415)*100</f>
        <v>0</v>
      </c>
      <c r="H207" s="163">
        <f>('Pivot Table for Data Exchange'!$H$418)*100</f>
        <v>0</v>
      </c>
      <c r="I207" s="169" t="s">
        <v>629</v>
      </c>
      <c r="J207" s="163">
        <f>('Pivot Table for Data Exchange'!$H$421)*100</f>
        <v>4.9311239768416852</v>
      </c>
      <c r="K207" s="163">
        <f>('Pivot Table for Data Exchange'!$H$424)*100</f>
        <v>1.16789778398882</v>
      </c>
      <c r="L207" s="164">
        <f>SUM(M207:O207)</f>
        <v>93.90097823916949</v>
      </c>
      <c r="M207" s="163">
        <f>('Pivot Table for Data Exchange'!$H$427)*100</f>
        <v>93.90097823916949</v>
      </c>
      <c r="N207" s="163">
        <f>('Pivot Table for Data Exchange'!$H$430)*100</f>
        <v>0</v>
      </c>
      <c r="O207" s="171">
        <f>('Pivot Table for Data Exchange'!$H$433)*100</f>
        <v>0</v>
      </c>
      <c r="P207" s="163">
        <f>('Pivot Table for Data Exchange'!$H$436)*100</f>
        <v>0</v>
      </c>
      <c r="Q207" s="168">
        <f t="shared" si="24"/>
        <v>100</v>
      </c>
      <c r="R207" s="168">
        <f t="shared" si="25"/>
        <v>100</v>
      </c>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row>
    <row r="208" spans="1:41" ht="11.25" customHeight="1">
      <c r="B208" s="163"/>
      <c r="C208" s="163"/>
      <c r="D208" s="164"/>
      <c r="E208" s="163"/>
      <c r="F208" s="163"/>
      <c r="G208" s="171"/>
      <c r="H208" s="163"/>
      <c r="I208" s="169"/>
      <c r="J208" s="163"/>
      <c r="K208" s="163"/>
      <c r="L208" s="164"/>
      <c r="M208" s="163"/>
      <c r="N208" s="163"/>
      <c r="O208" s="171"/>
      <c r="P208" s="163"/>
      <c r="Q208" s="168">
        <f t="shared" si="24"/>
        <v>0</v>
      </c>
      <c r="R208" s="168">
        <f t="shared" si="25"/>
        <v>0</v>
      </c>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row>
    <row r="209" spans="1:41" ht="15.75" customHeight="1">
      <c r="A209" s="134" t="s">
        <v>630</v>
      </c>
      <c r="B209" s="163">
        <f>('Pivot Table for Data Exchange'!$H$439)*100</f>
        <v>0</v>
      </c>
      <c r="C209" s="163">
        <f>('Pivot Table for Data Exchange'!$H$442)*100</f>
        <v>0</v>
      </c>
      <c r="D209" s="164">
        <f>SUM(E209:G209)</f>
        <v>0</v>
      </c>
      <c r="E209" s="163">
        <f>('Pivot Table for Data Exchange'!$H$445)*100</f>
        <v>0</v>
      </c>
      <c r="F209" s="163">
        <f>('Pivot Table for Data Exchange'!$H$448)*100</f>
        <v>0</v>
      </c>
      <c r="G209" s="171">
        <f>('Pivot Table for Data Exchange'!$H$451)*100</f>
        <v>0</v>
      </c>
      <c r="H209" s="163">
        <f>('Pivot Table for Data Exchange'!$H$454)*100</f>
        <v>0</v>
      </c>
      <c r="I209" s="169" t="s">
        <v>630</v>
      </c>
      <c r="J209" s="163">
        <f>('Pivot Table for Data Exchange'!$H$457)*100</f>
        <v>0</v>
      </c>
      <c r="K209" s="163">
        <f>('Pivot Table for Data Exchange'!$H$460)*100</f>
        <v>0</v>
      </c>
      <c r="L209" s="164">
        <f>SUM(M209:O209)</f>
        <v>0</v>
      </c>
      <c r="M209" s="163">
        <f>('Pivot Table for Data Exchange'!$H$463)*100</f>
        <v>0</v>
      </c>
      <c r="N209" s="163">
        <f>('Pivot Table for Data Exchange'!$H$466)*100</f>
        <v>0</v>
      </c>
      <c r="O209" s="171">
        <f>('Pivot Table for Data Exchange'!$H$469)*100</f>
        <v>0</v>
      </c>
      <c r="P209" s="163">
        <f>('Pivot Table for Data Exchange'!$H$472)*100</f>
        <v>0</v>
      </c>
      <c r="Q209" s="168">
        <f t="shared" si="24"/>
        <v>0</v>
      </c>
      <c r="R209" s="168">
        <f t="shared" si="25"/>
        <v>0</v>
      </c>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row>
    <row r="210" spans="1:41" ht="15.75" customHeight="1">
      <c r="A210" s="134" t="s">
        <v>631</v>
      </c>
      <c r="B210" s="163">
        <f>('Pivot Table for Data Exchange'!$H$475)*100</f>
        <v>0</v>
      </c>
      <c r="C210" s="163">
        <f>('Pivot Table for Data Exchange'!$H$478)*100</f>
        <v>0</v>
      </c>
      <c r="D210" s="164">
        <f>SUM(E210:G210)</f>
        <v>0</v>
      </c>
      <c r="E210" s="163">
        <f>('Pivot Table for Data Exchange'!$H$481)*100</f>
        <v>0</v>
      </c>
      <c r="F210" s="163">
        <f>('Pivot Table for Data Exchange'!$H$484)*100</f>
        <v>0</v>
      </c>
      <c r="G210" s="170">
        <f>('Pivot Table for Data Exchange'!$H$487)*100</f>
        <v>0</v>
      </c>
      <c r="H210" s="163">
        <f>('Pivot Table for Data Exchange'!$H$490)*100</f>
        <v>0</v>
      </c>
      <c r="I210" s="169" t="s">
        <v>631</v>
      </c>
      <c r="J210" s="163">
        <f>('Pivot Table for Data Exchange'!$H$493)*100</f>
        <v>0</v>
      </c>
      <c r="K210" s="163">
        <f>('Pivot Table for Data Exchange'!$H$496)*100</f>
        <v>0</v>
      </c>
      <c r="L210" s="164">
        <f>SUM(M210:O210)</f>
        <v>0</v>
      </c>
      <c r="M210" s="163">
        <f>('Pivot Table for Data Exchange'!$H$499)*100</f>
        <v>0</v>
      </c>
      <c r="N210" s="163">
        <f>('Pivot Table for Data Exchange'!$H$502)*100</f>
        <v>0</v>
      </c>
      <c r="O210" s="171">
        <f>('Pivot Table for Data Exchange'!$H$505)*100</f>
        <v>0</v>
      </c>
      <c r="P210" s="163">
        <f>('Pivot Table for Data Exchange'!$H$508)*100</f>
        <v>0</v>
      </c>
      <c r="Q210" s="168">
        <f t="shared" si="24"/>
        <v>0</v>
      </c>
      <c r="R210" s="168">
        <f t="shared" si="25"/>
        <v>0</v>
      </c>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row>
    <row r="211" spans="1:41" ht="15.75" customHeight="1">
      <c r="A211" s="134" t="s">
        <v>632</v>
      </c>
      <c r="B211" s="163">
        <f>('Pivot Table for Data Exchange'!$H$511)*100</f>
        <v>72.095484985958095</v>
      </c>
      <c r="C211" s="163">
        <f>('Pivot Table for Data Exchange'!$H$514)*100</f>
        <v>0</v>
      </c>
      <c r="D211" s="164">
        <f>SUM(E211:G211)</f>
        <v>27.904515014041909</v>
      </c>
      <c r="E211" s="163">
        <f>('Pivot Table for Data Exchange'!$H$517)*100</f>
        <v>27.904515014041909</v>
      </c>
      <c r="F211" s="163">
        <f>('Pivot Table for Data Exchange'!$H$520)*100</f>
        <v>0</v>
      </c>
      <c r="G211" s="171">
        <f>('Pivot Table for Data Exchange'!$H$523)*100</f>
        <v>0</v>
      </c>
      <c r="H211" s="163">
        <f>('Pivot Table for Data Exchange'!$H$526)*100</f>
        <v>0</v>
      </c>
      <c r="I211" s="169" t="s">
        <v>632</v>
      </c>
      <c r="J211" s="163">
        <f>('Pivot Table for Data Exchange'!$H$529)*100</f>
        <v>0</v>
      </c>
      <c r="K211" s="163">
        <f>('Pivot Table for Data Exchange'!$H$532)*100</f>
        <v>0</v>
      </c>
      <c r="L211" s="164">
        <f>SUM(M211:O211)</f>
        <v>0</v>
      </c>
      <c r="M211" s="163">
        <f>('Pivot Table for Data Exchange'!$H$535)*100</f>
        <v>0</v>
      </c>
      <c r="N211" s="163">
        <f>('Pivot Table for Data Exchange'!$H$538)*100</f>
        <v>0</v>
      </c>
      <c r="O211" s="171">
        <f>('Pivot Table for Data Exchange'!$H$541)*100</f>
        <v>0</v>
      </c>
      <c r="P211" s="163">
        <f>('Pivot Table for Data Exchange'!$H$544)*100</f>
        <v>0</v>
      </c>
      <c r="Q211" s="168">
        <f t="shared" si="24"/>
        <v>100</v>
      </c>
      <c r="R211" s="168">
        <f t="shared" si="25"/>
        <v>0</v>
      </c>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row>
    <row r="212" spans="1:41" ht="15.75" customHeight="1">
      <c r="A212" s="140" t="s">
        <v>633</v>
      </c>
      <c r="B212" s="176">
        <f>('Pivot Table for Data Exchange'!$H$547)*100</f>
        <v>49.996620806179095</v>
      </c>
      <c r="C212" s="176">
        <f>('Pivot Table for Data Exchange'!$H$550)*100</f>
        <v>7.7219406227371472</v>
      </c>
      <c r="D212" s="177">
        <f>SUM(E212:G212)</f>
        <v>42.281438571083761</v>
      </c>
      <c r="E212" s="176">
        <f>('Pivot Table for Data Exchange'!$H$553)*100</f>
        <v>42.275645667390783</v>
      </c>
      <c r="F212" s="176">
        <f>('Pivot Table for Data Exchange'!$H$556)*100</f>
        <v>0</v>
      </c>
      <c r="G212" s="199">
        <f>('Pivot Table for Data Exchange'!$H$559)*100</f>
        <v>5.7929036929761039E-3</v>
      </c>
      <c r="H212" s="176">
        <f>('Pivot Table for Data Exchange'!$H$562)*100</f>
        <v>0</v>
      </c>
      <c r="I212" s="179" t="s">
        <v>633</v>
      </c>
      <c r="J212" s="176">
        <f>('Pivot Table for Data Exchange'!$H$565)*100</f>
        <v>0</v>
      </c>
      <c r="K212" s="176">
        <f>('Pivot Table for Data Exchange'!$H$568)*100</f>
        <v>0</v>
      </c>
      <c r="L212" s="177">
        <f>SUM(M212:O212)</f>
        <v>0</v>
      </c>
      <c r="M212" s="176">
        <f>('Pivot Table for Data Exchange'!$H$571)*100</f>
        <v>0</v>
      </c>
      <c r="N212" s="176">
        <f>('Pivot Table for Data Exchange'!$H$574)*100</f>
        <v>0</v>
      </c>
      <c r="O212" s="178">
        <f>('Pivot Table for Data Exchange'!$H$577)*100</f>
        <v>0</v>
      </c>
      <c r="P212" s="176">
        <f>('Pivot Table for Data Exchange'!$H$580)*100</f>
        <v>0</v>
      </c>
      <c r="Q212" s="168">
        <f t="shared" si="24"/>
        <v>100</v>
      </c>
      <c r="R212" s="168">
        <f t="shared" si="25"/>
        <v>0</v>
      </c>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row>
    <row r="213" spans="1:41" s="207" customFormat="1" ht="13.5" customHeight="1">
      <c r="A213" s="182" t="s">
        <v>658</v>
      </c>
      <c r="B213" s="183"/>
      <c r="C213" s="183"/>
      <c r="D213" s="184"/>
      <c r="E213" s="183"/>
      <c r="F213" s="184"/>
      <c r="G213" s="184"/>
      <c r="H213" s="183"/>
      <c r="I213" s="182" t="s">
        <v>658</v>
      </c>
      <c r="J213" s="183"/>
      <c r="K213" s="183"/>
      <c r="L213" s="184"/>
      <c r="M213" s="183"/>
      <c r="N213" s="184"/>
      <c r="O213" s="184"/>
      <c r="P213" s="183"/>
      <c r="Q213" s="168">
        <f t="shared" si="24"/>
        <v>0</v>
      </c>
      <c r="R213" s="168">
        <f t="shared" si="25"/>
        <v>0</v>
      </c>
      <c r="S213" s="220"/>
      <c r="T213" s="220"/>
      <c r="U213" s="220"/>
      <c r="V213" s="220"/>
      <c r="W213" s="220"/>
      <c r="X213" s="220"/>
      <c r="Y213" s="220"/>
      <c r="Z213" s="220"/>
      <c r="AA213" s="220"/>
      <c r="AB213" s="220"/>
      <c r="AC213" s="220"/>
      <c r="AD213" s="220"/>
      <c r="AE213" s="220"/>
      <c r="AF213" s="220"/>
      <c r="AG213" s="220"/>
      <c r="AH213" s="220"/>
      <c r="AI213" s="220"/>
      <c r="AJ213" s="220"/>
      <c r="AK213" s="220"/>
      <c r="AL213" s="220"/>
      <c r="AM213" s="220"/>
      <c r="AN213" s="220"/>
      <c r="AO213" s="220"/>
    </row>
    <row r="214" spans="1:41" s="207" customFormat="1" ht="23.25" customHeight="1">
      <c r="A214" s="633" t="s">
        <v>664</v>
      </c>
      <c r="B214" s="634"/>
      <c r="C214" s="634"/>
      <c r="D214" s="634"/>
      <c r="E214" s="634"/>
      <c r="F214" s="634"/>
      <c r="G214" s="634"/>
      <c r="H214" s="634"/>
      <c r="I214" s="633"/>
      <c r="J214" s="634"/>
      <c r="K214" s="634"/>
      <c r="L214" s="634"/>
      <c r="M214" s="634"/>
      <c r="N214" s="634"/>
      <c r="O214" s="634"/>
      <c r="P214" s="634"/>
      <c r="Q214" s="168">
        <f t="shared" si="24"/>
        <v>0</v>
      </c>
      <c r="R214" s="168">
        <f t="shared" si="25"/>
        <v>0</v>
      </c>
    </row>
    <row r="215" spans="1:41" s="207" customFormat="1" ht="10.5" customHeight="1">
      <c r="A215" s="186"/>
      <c r="B215" s="195"/>
      <c r="C215" s="195"/>
      <c r="D215" s="195"/>
      <c r="E215" s="195"/>
      <c r="F215" s="195"/>
      <c r="G215" s="195"/>
      <c r="H215" s="195"/>
      <c r="I215" s="186"/>
      <c r="J215" s="195"/>
      <c r="K215" s="195"/>
      <c r="L215" s="195"/>
      <c r="M215" s="195"/>
      <c r="N215" s="195"/>
      <c r="O215" s="195"/>
      <c r="P215" s="195"/>
      <c r="Q215" s="168">
        <f t="shared" si="24"/>
        <v>0</v>
      </c>
      <c r="R215" s="168">
        <f t="shared" si="25"/>
        <v>0</v>
      </c>
    </row>
    <row r="216" spans="1:41" s="207" customFormat="1">
      <c r="A216" s="181"/>
      <c r="B216" s="181"/>
      <c r="C216" s="181"/>
      <c r="D216" s="181"/>
      <c r="E216" s="181"/>
      <c r="F216" s="181"/>
      <c r="G216" s="181"/>
      <c r="H216" s="187" t="s">
        <v>992</v>
      </c>
      <c r="I216" s="181"/>
      <c r="J216" s="181"/>
      <c r="K216" s="181"/>
      <c r="L216" s="181"/>
      <c r="M216" s="181"/>
      <c r="N216" s="181"/>
      <c r="O216" s="181"/>
      <c r="P216" s="187" t="s">
        <v>992</v>
      </c>
      <c r="Q216" s="168">
        <f t="shared" si="24"/>
        <v>0</v>
      </c>
      <c r="R216" s="168">
        <f t="shared" si="25"/>
        <v>0</v>
      </c>
    </row>
    <row r="217" spans="1:41" ht="18">
      <c r="A217" s="129" t="s">
        <v>671</v>
      </c>
      <c r="B217" s="130"/>
      <c r="C217" s="130"/>
      <c r="D217" s="130"/>
      <c r="E217" s="130"/>
      <c r="F217" s="130"/>
      <c r="G217" s="130"/>
      <c r="H217" s="130"/>
      <c r="I217" s="134"/>
      <c r="Q217" s="168">
        <f>SUM(B217,C217,D217,H217)</f>
        <v>0</v>
      </c>
    </row>
    <row r="218" spans="1:41">
      <c r="A218" s="135"/>
      <c r="B218" s="131"/>
      <c r="C218" s="131"/>
      <c r="D218" s="131"/>
      <c r="E218" s="131"/>
      <c r="F218" s="131"/>
      <c r="G218" s="131"/>
      <c r="H218" s="131"/>
      <c r="I218" s="134"/>
      <c r="Q218" s="168">
        <f t="shared" ref="Q218:Q281" si="34">SUM(B218,C218,D218,H218)</f>
        <v>0</v>
      </c>
    </row>
    <row r="219" spans="1:41" ht="15.75">
      <c r="A219" s="137" t="s">
        <v>639</v>
      </c>
      <c r="B219" s="131"/>
      <c r="C219" s="131"/>
      <c r="D219" s="131"/>
      <c r="E219" s="131"/>
      <c r="F219" s="131"/>
      <c r="G219" s="131"/>
      <c r="H219" s="131"/>
      <c r="L219" s="131"/>
      <c r="Q219" s="168">
        <f t="shared" si="34"/>
        <v>0</v>
      </c>
    </row>
    <row r="220" spans="1:41" ht="15.75">
      <c r="A220" s="137" t="s">
        <v>968</v>
      </c>
      <c r="B220" s="131"/>
      <c r="C220" s="131"/>
      <c r="D220" s="131"/>
      <c r="E220" s="131"/>
      <c r="F220" s="131"/>
      <c r="G220" s="131"/>
      <c r="H220" s="131"/>
      <c r="Q220" s="168">
        <f t="shared" si="34"/>
        <v>0</v>
      </c>
    </row>
    <row r="221" spans="1:41">
      <c r="A221" s="140"/>
      <c r="B221" s="141"/>
      <c r="C221" s="141"/>
      <c r="D221" s="141"/>
      <c r="E221" s="141"/>
      <c r="F221" s="141"/>
      <c r="G221" s="141"/>
      <c r="H221" s="141"/>
      <c r="Q221" s="168">
        <f t="shared" si="34"/>
        <v>0</v>
      </c>
    </row>
    <row r="222" spans="1:41">
      <c r="A222" s="145"/>
      <c r="B222" s="146" t="s">
        <v>641</v>
      </c>
      <c r="C222" s="146"/>
      <c r="D222" s="146"/>
      <c r="E222" s="146"/>
      <c r="F222" s="146"/>
      <c r="G222" s="146"/>
      <c r="H222" s="147"/>
      <c r="Q222" s="168">
        <f t="shared" si="34"/>
        <v>0</v>
      </c>
    </row>
    <row r="223" spans="1:41">
      <c r="A223" s="145"/>
      <c r="B223" s="146" t="s">
        <v>642</v>
      </c>
      <c r="C223" s="146"/>
      <c r="D223" s="639" t="s">
        <v>643</v>
      </c>
      <c r="E223" s="637"/>
      <c r="F223" s="637"/>
      <c r="G223" s="637"/>
      <c r="H223" s="153" t="s">
        <v>533</v>
      </c>
      <c r="Q223" s="168">
        <f t="shared" si="34"/>
        <v>0</v>
      </c>
    </row>
    <row r="224" spans="1:41" ht="36">
      <c r="A224" s="145"/>
      <c r="B224" s="154" t="s">
        <v>644</v>
      </c>
      <c r="C224" s="155" t="s">
        <v>645</v>
      </c>
      <c r="D224" s="156" t="s">
        <v>646</v>
      </c>
      <c r="E224" s="157" t="s">
        <v>8</v>
      </c>
      <c r="F224" s="154" t="s">
        <v>647</v>
      </c>
      <c r="G224" s="158" t="s">
        <v>656</v>
      </c>
      <c r="H224" s="159" t="s">
        <v>649</v>
      </c>
      <c r="I224" s="188"/>
      <c r="J224" s="150"/>
      <c r="K224" s="150"/>
      <c r="L224" s="150"/>
      <c r="M224" s="150"/>
      <c r="N224" s="150"/>
      <c r="O224" s="150"/>
      <c r="Q224" s="168">
        <f t="shared" si="34"/>
        <v>0</v>
      </c>
    </row>
    <row r="225" spans="1:41" ht="15.75" customHeight="1">
      <c r="A225" s="189" t="s">
        <v>618</v>
      </c>
      <c r="B225" s="216">
        <f>('Pivot Table for Data Exchange'!$O$7)*100</f>
        <v>46.395565539957587</v>
      </c>
      <c r="C225" s="163">
        <f>('Pivot Table for Data Exchange'!$O$10)*100</f>
        <v>1.685551497683093</v>
      </c>
      <c r="D225" s="164">
        <f>SUM(E225:G225)</f>
        <v>51.861114111597111</v>
      </c>
      <c r="E225" s="163">
        <f>('Pivot Table for Data Exchange'!$O$13)*100</f>
        <v>51.674954844584697</v>
      </c>
      <c r="F225" s="163">
        <f>('Pivot Table for Data Exchange'!$O$16)*100</f>
        <v>0.15532642477128319</v>
      </c>
      <c r="G225" s="167">
        <f>('Pivot Table for Data Exchange'!$O$19)*100</f>
        <v>3.0832842241130604E-2</v>
      </c>
      <c r="H225" s="163">
        <f>('Pivot Table for Data Exchange'!$O$22)*100</f>
        <v>5.7768850762207002E-2</v>
      </c>
      <c r="I225" s="201"/>
      <c r="J225" s="201"/>
      <c r="K225" s="201"/>
      <c r="L225" s="201"/>
      <c r="M225" s="201"/>
      <c r="N225" s="201"/>
      <c r="O225" s="201"/>
      <c r="P225" s="202"/>
      <c r="Q225" s="168">
        <f t="shared" si="34"/>
        <v>99.999999999999986</v>
      </c>
      <c r="R225" s="168"/>
      <c r="Z225" s="217"/>
      <c r="AA225" s="217"/>
      <c r="AB225" s="217"/>
      <c r="AC225" s="217"/>
      <c r="AD225" s="217"/>
      <c r="AE225" s="217"/>
      <c r="AF225" s="217"/>
      <c r="AG225" s="217"/>
      <c r="AH225" s="217"/>
      <c r="AI225" s="217"/>
      <c r="AJ225" s="217"/>
      <c r="AK225" s="217"/>
      <c r="AL225" s="217"/>
      <c r="AM225" s="217"/>
      <c r="AN225" s="217"/>
      <c r="AO225" s="217"/>
    </row>
    <row r="226" spans="1:41" ht="15.75" customHeight="1">
      <c r="A226" s="134" t="s">
        <v>619</v>
      </c>
      <c r="B226" s="163">
        <f>('Pivot Table for Data Exchange'!$O$43)*100</f>
        <v>36.340333341777253</v>
      </c>
      <c r="C226" s="163">
        <f>('Pivot Table for Data Exchange'!$O$46)*100</f>
        <v>6.7299236790394197</v>
      </c>
      <c r="D226" s="164">
        <f t="shared" ref="D226:D228" si="35">SUM(E226:G226)</f>
        <v>56.929742979183331</v>
      </c>
      <c r="E226" s="163">
        <f>('Pivot Table for Data Exchange'!$O$49)*100</f>
        <v>49.54819004606761</v>
      </c>
      <c r="F226" s="163">
        <f>('Pivot Table for Data Exchange'!$O$52)*100</f>
        <v>7.3521198457416714</v>
      </c>
      <c r="G226" s="174">
        <f>('Pivot Table for Data Exchange'!$O$55)*100</f>
        <v>2.9433087374049909E-2</v>
      </c>
      <c r="H226" s="172">
        <f>('Pivot Table for Data Exchange'!$O$58)*100</f>
        <v>0</v>
      </c>
      <c r="I226" s="201"/>
      <c r="J226" s="201"/>
      <c r="K226" s="201"/>
      <c r="L226" s="201"/>
      <c r="M226" s="201"/>
      <c r="N226" s="201"/>
      <c r="O226" s="201"/>
      <c r="P226" s="202"/>
      <c r="Q226" s="168">
        <f t="shared" si="34"/>
        <v>100</v>
      </c>
      <c r="R226" s="168"/>
      <c r="Z226" s="217"/>
      <c r="AA226" s="217"/>
      <c r="AB226" s="217"/>
      <c r="AC226" s="217"/>
      <c r="AD226" s="217"/>
      <c r="AE226" s="217"/>
      <c r="AF226" s="217"/>
      <c r="AG226" s="217"/>
      <c r="AH226" s="217"/>
      <c r="AI226" s="217"/>
      <c r="AJ226" s="217"/>
      <c r="AK226" s="217"/>
      <c r="AL226" s="217"/>
      <c r="AM226" s="217"/>
      <c r="AN226" s="217"/>
      <c r="AO226" s="217"/>
    </row>
    <row r="227" spans="1:41" ht="15.75" customHeight="1">
      <c r="A227" s="134" t="s">
        <v>620</v>
      </c>
      <c r="B227" s="163">
        <f>('Pivot Table for Data Exchange'!$O$79)*100</f>
        <v>7.6725120561157389</v>
      </c>
      <c r="C227" s="163">
        <f>('Pivot Table for Data Exchange'!$O$82)*100</f>
        <v>0</v>
      </c>
      <c r="D227" s="164">
        <f t="shared" si="35"/>
        <v>92.32748794388425</v>
      </c>
      <c r="E227" s="163">
        <f>('Pivot Table for Data Exchange'!$O$85)*100</f>
        <v>75.735642262165712</v>
      </c>
      <c r="F227" s="163">
        <f>('Pivot Table for Data Exchange'!$O$88)*100</f>
        <v>0</v>
      </c>
      <c r="G227" s="171">
        <f>('Pivot Table for Data Exchange'!$O$91)*100</f>
        <v>16.591845681718546</v>
      </c>
      <c r="H227" s="163">
        <f>('Pivot Table for Data Exchange'!$O$94)*100</f>
        <v>0</v>
      </c>
      <c r="I227" s="201"/>
      <c r="J227" s="201"/>
      <c r="K227" s="201"/>
      <c r="L227" s="201"/>
      <c r="M227" s="201"/>
      <c r="N227" s="201"/>
      <c r="O227" s="201"/>
      <c r="P227" s="202"/>
      <c r="Q227" s="168">
        <f t="shared" si="34"/>
        <v>99.999999999999986</v>
      </c>
      <c r="R227" s="168"/>
      <c r="Z227" s="217"/>
      <c r="AA227" s="217"/>
      <c r="AB227" s="217"/>
      <c r="AC227" s="217"/>
      <c r="AD227" s="217"/>
      <c r="AE227" s="217"/>
      <c r="AF227" s="217"/>
      <c r="AG227" s="217"/>
      <c r="AH227" s="217"/>
      <c r="AI227" s="217"/>
      <c r="AJ227" s="217"/>
      <c r="AK227" s="217"/>
      <c r="AL227" s="217"/>
      <c r="AM227" s="217"/>
      <c r="AN227" s="217"/>
      <c r="AO227" s="217"/>
    </row>
    <row r="228" spans="1:41" ht="15.75" customHeight="1">
      <c r="A228" s="134" t="s">
        <v>657</v>
      </c>
      <c r="B228" s="163">
        <f>('Pivot Table for Data Exchange'!$O$115)*100</f>
        <v>27.013673192610504</v>
      </c>
      <c r="C228" s="163">
        <f>('Pivot Table for Data Exchange'!$O$118)*100</f>
        <v>2.7470197791203677</v>
      </c>
      <c r="D228" s="164">
        <f t="shared" si="35"/>
        <v>70.18829973702907</v>
      </c>
      <c r="E228" s="163">
        <f>('Pivot Table for Data Exchange'!$O$121)*100</f>
        <v>53.892971132987157</v>
      </c>
      <c r="F228" s="163">
        <f>('Pivot Table for Data Exchange'!$O$124)*100</f>
        <v>16.294930012266661</v>
      </c>
      <c r="G228" s="171">
        <f>('Pivot Table for Data Exchange'!$O$127)*100</f>
        <v>3.9859177525801339E-4</v>
      </c>
      <c r="H228" s="172">
        <f>('Pivot Table for Data Exchange'!$O$130)*100</f>
        <v>5.1007291240048915E-2</v>
      </c>
      <c r="I228" s="201"/>
      <c r="J228" s="201"/>
      <c r="K228" s="201"/>
      <c r="L228" s="201"/>
      <c r="M228" s="201"/>
      <c r="N228" s="201"/>
      <c r="O228" s="201"/>
      <c r="P228" s="202"/>
      <c r="Q228" s="168">
        <f t="shared" si="34"/>
        <v>100</v>
      </c>
      <c r="R228" s="168"/>
      <c r="Z228" s="217"/>
      <c r="AA228" s="217"/>
      <c r="AB228" s="217"/>
      <c r="AC228" s="217"/>
      <c r="AD228" s="217"/>
      <c r="AE228" s="217"/>
      <c r="AF228" s="217"/>
      <c r="AG228" s="217"/>
      <c r="AH228" s="217"/>
      <c r="AI228" s="217"/>
      <c r="AJ228" s="217"/>
      <c r="AK228" s="217"/>
      <c r="AL228" s="217"/>
      <c r="AM228" s="217"/>
      <c r="AN228" s="217"/>
      <c r="AO228" s="217"/>
    </row>
    <row r="229" spans="1:41" ht="15.75" customHeight="1">
      <c r="B229" s="163"/>
      <c r="C229" s="163"/>
      <c r="D229" s="164"/>
      <c r="E229" s="163"/>
      <c r="F229" s="163"/>
      <c r="G229" s="171"/>
      <c r="H229" s="163"/>
      <c r="I229" s="201"/>
      <c r="J229" s="201"/>
      <c r="K229" s="201"/>
      <c r="L229" s="201"/>
      <c r="M229" s="201"/>
      <c r="N229" s="201"/>
      <c r="O229" s="201"/>
      <c r="P229" s="202"/>
      <c r="Q229" s="168">
        <f t="shared" si="34"/>
        <v>0</v>
      </c>
      <c r="R229" s="168"/>
      <c r="Z229" s="217"/>
      <c r="AA229" s="217"/>
      <c r="AB229" s="217"/>
      <c r="AC229" s="217"/>
      <c r="AD229" s="217"/>
      <c r="AE229" s="217"/>
      <c r="AF229" s="217"/>
      <c r="AG229" s="217"/>
      <c r="AH229" s="217"/>
      <c r="AI229" s="217"/>
      <c r="AJ229" s="217"/>
      <c r="AK229" s="217"/>
      <c r="AL229" s="217"/>
      <c r="AM229" s="217"/>
      <c r="AN229" s="217"/>
      <c r="AO229" s="217"/>
    </row>
    <row r="230" spans="1:41" ht="15.75" customHeight="1">
      <c r="A230" s="134" t="s">
        <v>622</v>
      </c>
      <c r="B230" s="163">
        <f>('Pivot Table for Data Exchange'!$O$151)*100</f>
        <v>30.567286983443264</v>
      </c>
      <c r="C230" s="163">
        <f>('Pivot Table for Data Exchange'!$O$154)*100</f>
        <v>7.5577971463184817</v>
      </c>
      <c r="D230" s="164">
        <f t="shared" ref="D230:D231" si="36">SUM(E230:G230)</f>
        <v>61.874915870238254</v>
      </c>
      <c r="E230" s="163">
        <f>('Pivot Table for Data Exchange'!$O$157)*100</f>
        <v>61.874915870238254</v>
      </c>
      <c r="F230" s="175">
        <f>('Pivot Table for Data Exchange'!$O$160)*100</f>
        <v>0</v>
      </c>
      <c r="G230" s="171">
        <f>('Pivot Table for Data Exchange'!$O$163)*100</f>
        <v>0</v>
      </c>
      <c r="H230" s="175">
        <f>('Pivot Table for Data Exchange'!$O$166)*100</f>
        <v>0</v>
      </c>
      <c r="I230" s="201"/>
      <c r="J230" s="201"/>
      <c r="K230" s="201"/>
      <c r="L230" s="201"/>
      <c r="M230" s="201"/>
      <c r="N230" s="201"/>
      <c r="O230" s="201"/>
      <c r="P230" s="202"/>
      <c r="Q230" s="168">
        <f t="shared" si="34"/>
        <v>100</v>
      </c>
      <c r="R230" s="168"/>
      <c r="Z230" s="217"/>
      <c r="AA230" s="217"/>
      <c r="AB230" s="217"/>
      <c r="AC230" s="217"/>
      <c r="AD230" s="217"/>
      <c r="AE230" s="217"/>
      <c r="AF230" s="217"/>
      <c r="AG230" s="217"/>
      <c r="AH230" s="217"/>
      <c r="AI230" s="217"/>
      <c r="AJ230" s="217"/>
      <c r="AK230" s="217"/>
      <c r="AL230" s="217"/>
      <c r="AM230" s="217"/>
      <c r="AN230" s="217"/>
      <c r="AO230" s="217"/>
    </row>
    <row r="231" spans="1:41" ht="15.75" customHeight="1">
      <c r="A231" s="134" t="s">
        <v>623</v>
      </c>
      <c r="B231" s="163">
        <f>('Pivot Table for Data Exchange'!$O$187)*100</f>
        <v>41.933174073111843</v>
      </c>
      <c r="C231" s="163">
        <f>('Pivot Table for Data Exchange'!$O$190)*100</f>
        <v>13.945365717653171</v>
      </c>
      <c r="D231" s="164">
        <f t="shared" si="36"/>
        <v>44.121460209234982</v>
      </c>
      <c r="E231" s="163">
        <f>('Pivot Table for Data Exchange'!$O$193)*100</f>
        <v>44.121460209234982</v>
      </c>
      <c r="F231" s="163">
        <f>('Pivot Table for Data Exchange'!$O$196)*100</f>
        <v>0</v>
      </c>
      <c r="G231" s="171">
        <f>('Pivot Table for Data Exchange'!$O$199)*100</f>
        <v>0</v>
      </c>
      <c r="H231" s="163">
        <f>('Pivot Table for Data Exchange'!$O$202)*100</f>
        <v>0</v>
      </c>
      <c r="I231" s="201"/>
      <c r="J231" s="201"/>
      <c r="K231" s="201"/>
      <c r="L231" s="201"/>
      <c r="M231" s="201"/>
      <c r="N231" s="201"/>
      <c r="O231" s="201"/>
      <c r="P231" s="202"/>
      <c r="Q231" s="168">
        <f t="shared" si="34"/>
        <v>100</v>
      </c>
      <c r="R231" s="168"/>
      <c r="Z231" s="217"/>
      <c r="AA231" s="217"/>
      <c r="AB231" s="217"/>
      <c r="AC231" s="217"/>
      <c r="AD231" s="217"/>
      <c r="AE231" s="217"/>
      <c r="AF231" s="217"/>
      <c r="AG231" s="217"/>
      <c r="AH231" s="217"/>
      <c r="AI231" s="217"/>
      <c r="AJ231" s="217"/>
      <c r="AK231" s="217"/>
      <c r="AL231" s="217"/>
      <c r="AM231" s="217"/>
      <c r="AN231" s="217"/>
      <c r="AO231" s="217"/>
    </row>
    <row r="232" spans="1:41" ht="15.75" customHeight="1">
      <c r="A232" s="134" t="s">
        <v>624</v>
      </c>
      <c r="B232" s="163">
        <f>('Pivot Table for Data Exchange'!$O$223)*100</f>
        <v>41.268883614188375</v>
      </c>
      <c r="C232" s="163">
        <f>('Pivot Table for Data Exchange'!$O$226)*100</f>
        <v>0</v>
      </c>
      <c r="D232" s="164">
        <f>SUM(E232:G232)</f>
        <v>58.731116385811596</v>
      </c>
      <c r="E232" s="163">
        <f>('Pivot Table for Data Exchange'!$O$229)*100</f>
        <v>58.731116385811596</v>
      </c>
      <c r="F232" s="163">
        <f>('Pivot Table for Data Exchange'!$O$232)*100</f>
        <v>0</v>
      </c>
      <c r="G232" s="171">
        <f>('Pivot Table for Data Exchange'!$O$235)*100</f>
        <v>0</v>
      </c>
      <c r="H232" s="163">
        <f>('Pivot Table for Data Exchange'!$O$238)*100</f>
        <v>0</v>
      </c>
      <c r="Q232" s="168">
        <f t="shared" si="34"/>
        <v>99.999999999999972</v>
      </c>
      <c r="R232" s="168"/>
      <c r="Z232" s="217"/>
      <c r="AA232" s="217"/>
      <c r="AB232" s="217"/>
      <c r="AC232" s="217"/>
      <c r="AD232" s="217"/>
      <c r="AE232" s="217"/>
      <c r="AF232" s="217"/>
      <c r="AG232" s="217"/>
      <c r="AH232" s="217"/>
      <c r="AI232" s="217"/>
      <c r="AJ232" s="217"/>
      <c r="AK232" s="217"/>
      <c r="AL232" s="217"/>
      <c r="AM232" s="217"/>
      <c r="AN232" s="217"/>
      <c r="AO232" s="217"/>
    </row>
    <row r="233" spans="1:41" ht="15.75" customHeight="1">
      <c r="A233" s="134" t="s">
        <v>625</v>
      </c>
      <c r="B233" s="163">
        <f>('Pivot Table for Data Exchange'!$O$259)*100</f>
        <v>16.128375739596148</v>
      </c>
      <c r="C233" s="163">
        <f>('Pivot Table for Data Exchange'!$O$262)*100</f>
        <v>6.1756163836017297</v>
      </c>
      <c r="D233" s="164">
        <f>SUM(E233:G233)</f>
        <v>77.696007876802128</v>
      </c>
      <c r="E233" s="163">
        <f>('Pivot Table for Data Exchange'!$O$265)*100</f>
        <v>74.637467248748166</v>
      </c>
      <c r="F233" s="163">
        <f>('Pivot Table for Data Exchange'!$O$268)*100</f>
        <v>3.034796543448008</v>
      </c>
      <c r="G233" s="170">
        <f>('Pivot Table for Data Exchange'!$O$271)*100</f>
        <v>2.374408460594904E-2</v>
      </c>
      <c r="H233" s="172">
        <f>('Pivot Table for Data Exchange'!$O$274)*100</f>
        <v>0</v>
      </c>
      <c r="I233" s="201"/>
      <c r="J233" s="201"/>
      <c r="K233" s="201"/>
      <c r="L233" s="201"/>
      <c r="M233" s="201"/>
      <c r="N233" s="201"/>
      <c r="O233" s="201"/>
      <c r="P233" s="202"/>
      <c r="Q233" s="168">
        <f t="shared" si="34"/>
        <v>100</v>
      </c>
      <c r="R233" s="168"/>
      <c r="Z233" s="217"/>
      <c r="AA233" s="217"/>
      <c r="AB233" s="217"/>
      <c r="AC233" s="217"/>
      <c r="AD233" s="217"/>
      <c r="AE233" s="217"/>
      <c r="AF233" s="217"/>
      <c r="AG233" s="217"/>
      <c r="AH233" s="217"/>
      <c r="AI233" s="217"/>
      <c r="AJ233" s="217"/>
      <c r="AK233" s="217"/>
      <c r="AL233" s="217"/>
      <c r="AM233" s="217"/>
      <c r="AN233" s="217"/>
      <c r="AO233" s="217"/>
    </row>
    <row r="234" spans="1:41" ht="15.75" customHeight="1">
      <c r="B234" s="163"/>
      <c r="C234" s="163"/>
      <c r="D234" s="164"/>
      <c r="E234" s="163"/>
      <c r="F234" s="163"/>
      <c r="G234" s="171"/>
      <c r="H234" s="163"/>
      <c r="I234" s="201"/>
      <c r="J234" s="201"/>
      <c r="K234" s="201"/>
      <c r="L234" s="201"/>
      <c r="M234" s="201"/>
      <c r="N234" s="201"/>
      <c r="O234" s="201"/>
      <c r="P234" s="202"/>
      <c r="Q234" s="168">
        <f t="shared" si="34"/>
        <v>0</v>
      </c>
      <c r="R234" s="168"/>
      <c r="Z234" s="217"/>
      <c r="AA234" s="217"/>
      <c r="AB234" s="217"/>
      <c r="AC234" s="217"/>
      <c r="AD234" s="217"/>
      <c r="AE234" s="217"/>
      <c r="AF234" s="217"/>
      <c r="AG234" s="217"/>
      <c r="AH234" s="217"/>
      <c r="AI234" s="217"/>
      <c r="AJ234" s="217"/>
      <c r="AK234" s="217"/>
      <c r="AL234" s="217"/>
      <c r="AM234" s="217"/>
      <c r="AN234" s="217"/>
      <c r="AO234" s="217"/>
    </row>
    <row r="235" spans="1:41" ht="15.75" customHeight="1">
      <c r="A235" s="134" t="s">
        <v>672</v>
      </c>
      <c r="B235" s="163">
        <f>('Pivot Table for Data Exchange'!$O$295)*100</f>
        <v>56.005925714554692</v>
      </c>
      <c r="C235" s="163">
        <f>('Pivot Table for Data Exchange'!$O$298)*100</f>
        <v>4.8643602535064421</v>
      </c>
      <c r="D235" s="164">
        <f>SUM(E235:G235)</f>
        <v>39.129714031938867</v>
      </c>
      <c r="E235" s="163">
        <f>('Pivot Table for Data Exchange'!$O$301)*100</f>
        <v>39.129714031938867</v>
      </c>
      <c r="F235" s="163">
        <f>('Pivot Table for Data Exchange'!$O$304)*100</f>
        <v>0</v>
      </c>
      <c r="G235" s="171">
        <f>('Pivot Table for Data Exchange'!$O$307)*100</f>
        <v>0</v>
      </c>
      <c r="H235" s="163">
        <f>('Pivot Table for Data Exchange'!$O$310)*100</f>
        <v>0</v>
      </c>
      <c r="I235" s="201"/>
      <c r="J235" s="201"/>
      <c r="K235" s="201"/>
      <c r="L235" s="201"/>
      <c r="M235" s="201"/>
      <c r="N235" s="201"/>
      <c r="O235" s="201"/>
      <c r="P235" s="202"/>
      <c r="Q235" s="168">
        <f t="shared" si="34"/>
        <v>100</v>
      </c>
      <c r="R235" s="168"/>
      <c r="Z235" s="217"/>
      <c r="AA235" s="217"/>
      <c r="AB235" s="217"/>
      <c r="AC235" s="217"/>
      <c r="AD235" s="217"/>
      <c r="AE235" s="217"/>
      <c r="AF235" s="217"/>
      <c r="AG235" s="217"/>
      <c r="AH235" s="217"/>
      <c r="AI235" s="217"/>
      <c r="AJ235" s="217"/>
      <c r="AK235" s="217"/>
      <c r="AL235" s="217"/>
      <c r="AM235" s="217"/>
      <c r="AN235" s="217"/>
      <c r="AO235" s="217"/>
    </row>
    <row r="236" spans="1:41" ht="15.75" customHeight="1">
      <c r="A236" s="134" t="s">
        <v>627</v>
      </c>
      <c r="B236" s="163">
        <f>('Pivot Table for Data Exchange'!$O$331)*100</f>
        <v>23.803565032427372</v>
      </c>
      <c r="C236" s="163">
        <f>('Pivot Table for Data Exchange'!$O$334)*100</f>
        <v>3.3547004749756257</v>
      </c>
      <c r="D236" s="164">
        <f>SUM(E236:G236)</f>
        <v>72.841734492596984</v>
      </c>
      <c r="E236" s="163">
        <f>('Pivot Table for Data Exchange'!$O$337)*100</f>
        <v>72.841734492596984</v>
      </c>
      <c r="F236" s="163">
        <f>('Pivot Table for Data Exchange'!$O$340)*100</f>
        <v>0</v>
      </c>
      <c r="G236" s="171">
        <f>('Pivot Table for Data Exchange'!$O$343)*100</f>
        <v>0</v>
      </c>
      <c r="H236" s="163">
        <f>('Pivot Table for Data Exchange'!$O$346)*100</f>
        <v>0</v>
      </c>
      <c r="I236" s="201"/>
      <c r="J236" s="201"/>
      <c r="K236" s="201"/>
      <c r="L236" s="201"/>
      <c r="M236" s="201"/>
      <c r="N236" s="201"/>
      <c r="O236" s="201"/>
      <c r="P236" s="202"/>
      <c r="Q236" s="168">
        <f t="shared" si="34"/>
        <v>99.999999999999986</v>
      </c>
      <c r="R236" s="168"/>
      <c r="Z236" s="217"/>
      <c r="AA236" s="217"/>
      <c r="AB236" s="217"/>
      <c r="AC236" s="217"/>
      <c r="AD236" s="217"/>
      <c r="AE236" s="217"/>
      <c r="AF236" s="217"/>
      <c r="AG236" s="217"/>
      <c r="AH236" s="217"/>
      <c r="AI236" s="217"/>
      <c r="AJ236" s="217"/>
      <c r="AK236" s="217"/>
      <c r="AL236" s="217"/>
      <c r="AM236" s="217"/>
      <c r="AN236" s="217"/>
      <c r="AO236" s="217"/>
    </row>
    <row r="237" spans="1:41" ht="15.75" customHeight="1">
      <c r="A237" s="134" t="s">
        <v>628</v>
      </c>
      <c r="B237" s="163">
        <f>('Pivot Table for Data Exchange'!$O$367)*100</f>
        <v>0</v>
      </c>
      <c r="C237" s="163">
        <f>('Pivot Table for Data Exchange'!$O$370)*100</f>
        <v>0</v>
      </c>
      <c r="D237" s="164">
        <f>SUM(E237:G237)</f>
        <v>0</v>
      </c>
      <c r="E237" s="163">
        <f>('Pivot Table for Data Exchange'!$O$373)*100</f>
        <v>0</v>
      </c>
      <c r="F237" s="163">
        <f>('Pivot Table for Data Exchange'!$O$376)*100</f>
        <v>0</v>
      </c>
      <c r="G237" s="171">
        <f>('Pivot Table for Data Exchange'!$O$379)*100</f>
        <v>0</v>
      </c>
      <c r="H237" s="175">
        <f>('Pivot Table for Data Exchange'!$O$382)*100</f>
        <v>0</v>
      </c>
      <c r="I237" s="201"/>
      <c r="J237" s="201"/>
      <c r="K237" s="201"/>
      <c r="L237" s="201"/>
      <c r="M237" s="201"/>
      <c r="N237" s="201"/>
      <c r="O237" s="201"/>
      <c r="P237" s="202"/>
      <c r="Q237" s="168">
        <f t="shared" si="34"/>
        <v>0</v>
      </c>
      <c r="R237" s="168"/>
      <c r="Z237" s="217"/>
      <c r="AA237" s="217"/>
      <c r="AB237" s="217"/>
      <c r="AC237" s="217"/>
      <c r="AD237" s="217"/>
      <c r="AE237" s="217"/>
      <c r="AF237" s="217"/>
      <c r="AG237" s="217"/>
      <c r="AH237" s="217"/>
      <c r="AI237" s="217"/>
      <c r="AJ237" s="217"/>
      <c r="AK237" s="217"/>
      <c r="AL237" s="217"/>
      <c r="AM237" s="217"/>
      <c r="AN237" s="217"/>
      <c r="AO237" s="217"/>
    </row>
    <row r="238" spans="1:41" ht="15.75" customHeight="1">
      <c r="A238" s="134" t="s">
        <v>629</v>
      </c>
      <c r="B238" s="163">
        <f>('Pivot Table for Data Exchange'!$O$403)*100</f>
        <v>21.908658610309562</v>
      </c>
      <c r="C238" s="163">
        <f>('Pivot Table for Data Exchange'!$O$406)*100</f>
        <v>7.7835877172754646</v>
      </c>
      <c r="D238" s="164">
        <f>SUM(E238:G238)</f>
        <v>70.307753672414975</v>
      </c>
      <c r="E238" s="163">
        <f>('Pivot Table for Data Exchange'!$O$409)*100</f>
        <v>70.074725932204444</v>
      </c>
      <c r="F238" s="163">
        <f>('Pivot Table for Data Exchange'!$O$412)*100</f>
        <v>0.23302774021052897</v>
      </c>
      <c r="G238" s="171">
        <f>('Pivot Table for Data Exchange'!$O$415)*100</f>
        <v>0</v>
      </c>
      <c r="H238" s="163">
        <f>('Pivot Table for Data Exchange'!$O$418)*100</f>
        <v>0</v>
      </c>
      <c r="I238" s="201"/>
      <c r="J238" s="201"/>
      <c r="K238" s="201"/>
      <c r="L238" s="201"/>
      <c r="M238" s="201"/>
      <c r="N238" s="201"/>
      <c r="O238" s="201"/>
      <c r="P238" s="202"/>
      <c r="Q238" s="168">
        <f t="shared" si="34"/>
        <v>100</v>
      </c>
      <c r="R238" s="168"/>
      <c r="Z238" s="217"/>
      <c r="AA238" s="217"/>
      <c r="AB238" s="217"/>
      <c r="AC238" s="217"/>
      <c r="AD238" s="217"/>
      <c r="AE238" s="217"/>
      <c r="AF238" s="217"/>
      <c r="AG238" s="217"/>
      <c r="AH238" s="217"/>
      <c r="AI238" s="217"/>
      <c r="AJ238" s="217"/>
      <c r="AK238" s="217"/>
      <c r="AL238" s="217"/>
      <c r="AM238" s="217"/>
      <c r="AN238" s="217"/>
      <c r="AO238" s="217"/>
    </row>
    <row r="239" spans="1:41" ht="10.5" customHeight="1">
      <c r="B239" s="163"/>
      <c r="C239" s="163"/>
      <c r="D239" s="164"/>
      <c r="E239" s="163"/>
      <c r="F239" s="163"/>
      <c r="G239" s="171"/>
      <c r="H239" s="163"/>
      <c r="I239" s="201"/>
      <c r="J239" s="201"/>
      <c r="K239" s="201"/>
      <c r="L239" s="201"/>
      <c r="M239" s="201"/>
      <c r="N239" s="201"/>
      <c r="O239" s="201"/>
      <c r="P239" s="202"/>
      <c r="Q239" s="168">
        <f t="shared" si="34"/>
        <v>0</v>
      </c>
      <c r="R239" s="168"/>
      <c r="Z239" s="217"/>
      <c r="AA239" s="217"/>
      <c r="AB239" s="217"/>
      <c r="AC239" s="217"/>
      <c r="AD239" s="217"/>
      <c r="AE239" s="217"/>
      <c r="AF239" s="217"/>
      <c r="AG239" s="217"/>
      <c r="AH239" s="217"/>
      <c r="AI239" s="217"/>
      <c r="AJ239" s="217"/>
      <c r="AK239" s="217"/>
      <c r="AL239" s="217"/>
      <c r="AM239" s="217"/>
      <c r="AN239" s="217"/>
      <c r="AO239" s="217"/>
    </row>
    <row r="240" spans="1:41" ht="15.75" customHeight="1">
      <c r="A240" s="134" t="s">
        <v>630</v>
      </c>
      <c r="B240" s="163">
        <f>('Pivot Table for Data Exchange'!$O$439)*100</f>
        <v>12.554175985828014</v>
      </c>
      <c r="C240" s="163">
        <f>('Pivot Table for Data Exchange'!$O$442)*100</f>
        <v>13.767059518880204</v>
      </c>
      <c r="D240" s="164">
        <f>SUM(E240:G240)</f>
        <v>73.44390928151428</v>
      </c>
      <c r="E240" s="163">
        <f>('Pivot Table for Data Exchange'!$O$445)*100</f>
        <v>54.287363011415138</v>
      </c>
      <c r="F240" s="163">
        <f>('Pivot Table for Data Exchange'!$O$448)*100</f>
        <v>0.29684118502688939</v>
      </c>
      <c r="G240" s="171">
        <f>('Pivot Table for Data Exchange'!$O$451)*100</f>
        <v>18.85970508507225</v>
      </c>
      <c r="H240" s="163">
        <f>('Pivot Table for Data Exchange'!$O$454)*100</f>
        <v>0.234855213777514</v>
      </c>
      <c r="I240" s="201"/>
      <c r="J240" s="201"/>
      <c r="K240" s="201"/>
      <c r="L240" s="201"/>
      <c r="M240" s="201"/>
      <c r="N240" s="201"/>
      <c r="O240" s="201"/>
      <c r="P240" s="202"/>
      <c r="Q240" s="168">
        <f t="shared" si="34"/>
        <v>100</v>
      </c>
      <c r="R240" s="168"/>
      <c r="Z240" s="217"/>
      <c r="AA240" s="217"/>
      <c r="AB240" s="217"/>
      <c r="AC240" s="217"/>
      <c r="AD240" s="217"/>
      <c r="AE240" s="217"/>
      <c r="AF240" s="217"/>
      <c r="AG240" s="217"/>
      <c r="AH240" s="217"/>
      <c r="AI240" s="217"/>
      <c r="AJ240" s="217"/>
      <c r="AK240" s="217"/>
      <c r="AL240" s="217"/>
      <c r="AM240" s="217"/>
      <c r="AN240" s="217"/>
      <c r="AO240" s="217"/>
    </row>
    <row r="241" spans="1:41" ht="15.75" customHeight="1">
      <c r="A241" s="134" t="s">
        <v>631</v>
      </c>
      <c r="B241" s="163">
        <f>('Pivot Table for Data Exchange'!$O$475)*100</f>
        <v>18.111076224807341</v>
      </c>
      <c r="C241" s="163">
        <f>('Pivot Table for Data Exchange'!$O$478)*100</f>
        <v>8.0158578122578117</v>
      </c>
      <c r="D241" s="164">
        <f>SUM(E241:G241)</f>
        <v>73.873065962934845</v>
      </c>
      <c r="E241" s="163">
        <f>('Pivot Table for Data Exchange'!$O$481)*100</f>
        <v>69.739264181613677</v>
      </c>
      <c r="F241" s="163">
        <f>('Pivot Table for Data Exchange'!$O$484)*100</f>
        <v>0.98915389231790352</v>
      </c>
      <c r="G241" s="171">
        <f>('Pivot Table for Data Exchange'!$O$487)*100</f>
        <v>3.144647889003263</v>
      </c>
      <c r="H241" s="163">
        <f>('Pivot Table for Data Exchange'!$O$490)*100</f>
        <v>0</v>
      </c>
      <c r="I241" s="201"/>
      <c r="J241" s="201"/>
      <c r="K241" s="201"/>
      <c r="L241" s="201"/>
      <c r="M241" s="201"/>
      <c r="N241" s="201"/>
      <c r="O241" s="201"/>
      <c r="P241" s="202"/>
      <c r="Q241" s="168">
        <f t="shared" si="34"/>
        <v>100</v>
      </c>
      <c r="R241" s="168"/>
      <c r="Z241" s="217"/>
      <c r="AA241" s="217"/>
      <c r="AB241" s="217"/>
      <c r="AC241" s="217"/>
      <c r="AD241" s="217"/>
      <c r="AE241" s="217"/>
      <c r="AF241" s="217"/>
      <c r="AG241" s="217"/>
      <c r="AH241" s="217"/>
      <c r="AI241" s="217"/>
      <c r="AJ241" s="217"/>
      <c r="AK241" s="217"/>
      <c r="AL241" s="217"/>
      <c r="AM241" s="217"/>
      <c r="AN241" s="217"/>
      <c r="AO241" s="217"/>
    </row>
    <row r="242" spans="1:41" ht="15.75" customHeight="1">
      <c r="A242" s="134" t="s">
        <v>632</v>
      </c>
      <c r="B242" s="163">
        <f>('Pivot Table for Data Exchange'!$O$511)*100</f>
        <v>15.191228302506474</v>
      </c>
      <c r="C242" s="163">
        <f>('Pivot Table for Data Exchange'!$O$514)*100</f>
        <v>13.104174017491152</v>
      </c>
      <c r="D242" s="164">
        <f>SUM(E242:G242)</f>
        <v>71.704597680002365</v>
      </c>
      <c r="E242" s="163">
        <f>('Pivot Table for Data Exchange'!$O$517)*100</f>
        <v>68.034046013413729</v>
      </c>
      <c r="F242" s="163">
        <f>('Pivot Table for Data Exchange'!$O$520)*100</f>
        <v>2.5806653749252928</v>
      </c>
      <c r="G242" s="171">
        <f>('Pivot Table for Data Exchange'!$O$523)*100</f>
        <v>1.0898862916633498</v>
      </c>
      <c r="H242" s="163">
        <f>('Pivot Table for Data Exchange'!$O$526)*100</f>
        <v>0</v>
      </c>
      <c r="I242" s="201"/>
      <c r="J242" s="201"/>
      <c r="K242" s="201"/>
      <c r="L242" s="201"/>
      <c r="M242" s="201"/>
      <c r="N242" s="201"/>
      <c r="O242" s="201"/>
      <c r="P242" s="202"/>
      <c r="Q242" s="168">
        <f t="shared" si="34"/>
        <v>100</v>
      </c>
      <c r="R242" s="168"/>
      <c r="Z242" s="217"/>
      <c r="AA242" s="217"/>
      <c r="AB242" s="217"/>
      <c r="AC242" s="217"/>
      <c r="AD242" s="217"/>
      <c r="AE242" s="217"/>
      <c r="AF242" s="217"/>
      <c r="AG242" s="217"/>
      <c r="AH242" s="217"/>
      <c r="AI242" s="217"/>
      <c r="AJ242" s="217"/>
      <c r="AK242" s="217"/>
      <c r="AL242" s="217"/>
      <c r="AM242" s="217"/>
      <c r="AN242" s="217"/>
      <c r="AO242" s="217"/>
    </row>
    <row r="243" spans="1:41" ht="15.75" customHeight="1">
      <c r="A243" s="140" t="s">
        <v>633</v>
      </c>
      <c r="B243" s="176">
        <f>('Pivot Table for Data Exchange'!$O$547)*100</f>
        <v>35.353077146297451</v>
      </c>
      <c r="C243" s="176">
        <f>('Pivot Table for Data Exchange'!$O$550)*100</f>
        <v>6.3227342923947747</v>
      </c>
      <c r="D243" s="177">
        <f>SUM(E243:G243)</f>
        <v>58.324188561307771</v>
      </c>
      <c r="E243" s="176">
        <f>('Pivot Table for Data Exchange'!$O$553)*100</f>
        <v>57.641749525528084</v>
      </c>
      <c r="F243" s="176">
        <f>('Pivot Table for Data Exchange'!$O$556)*100</f>
        <v>0.17411201206109261</v>
      </c>
      <c r="G243" s="178">
        <f>('Pivot Table for Data Exchange'!$O$559)*100</f>
        <v>0.50832702371859229</v>
      </c>
      <c r="H243" s="176">
        <f>('Pivot Table for Data Exchange'!$O$562)*100</f>
        <v>0</v>
      </c>
      <c r="I243" s="201"/>
      <c r="J243" s="201"/>
      <c r="K243" s="201"/>
      <c r="L243" s="201"/>
      <c r="M243" s="201"/>
      <c r="N243" s="201"/>
      <c r="O243" s="201"/>
      <c r="P243" s="202"/>
      <c r="Q243" s="168">
        <f t="shared" si="34"/>
        <v>100</v>
      </c>
      <c r="R243" s="168"/>
      <c r="Z243" s="217"/>
      <c r="AA243" s="217"/>
      <c r="AB243" s="217"/>
      <c r="AC243" s="217"/>
      <c r="AD243" s="217"/>
      <c r="AE243" s="217"/>
      <c r="AF243" s="217"/>
      <c r="AG243" s="217"/>
      <c r="AH243" s="217"/>
      <c r="AI243" s="217"/>
      <c r="AJ243" s="217"/>
      <c r="AK243" s="217"/>
      <c r="AL243" s="217"/>
      <c r="AM243" s="217"/>
      <c r="AN243" s="217"/>
      <c r="AO243" s="217"/>
    </row>
    <row r="244" spans="1:41" s="207" customFormat="1" ht="12.75" customHeight="1">
      <c r="A244" s="182" t="s">
        <v>658</v>
      </c>
      <c r="B244" s="183"/>
      <c r="C244" s="183"/>
      <c r="D244" s="184"/>
      <c r="E244" s="183"/>
      <c r="F244" s="184"/>
      <c r="G244" s="184"/>
      <c r="H244" s="183"/>
      <c r="I244" s="192"/>
      <c r="J244" s="183"/>
      <c r="K244" s="183"/>
      <c r="L244" s="184"/>
      <c r="M244" s="183"/>
      <c r="N244" s="184"/>
      <c r="O244" s="184"/>
      <c r="P244" s="183"/>
      <c r="Q244" s="168">
        <f t="shared" si="34"/>
        <v>0</v>
      </c>
      <c r="R244" s="203"/>
      <c r="S244" s="220"/>
      <c r="T244" s="220"/>
      <c r="U244" s="220"/>
      <c r="V244" s="220"/>
      <c r="W244" s="220"/>
      <c r="X244" s="220"/>
      <c r="Y244" s="220"/>
      <c r="Z244" s="220"/>
      <c r="AA244" s="220"/>
      <c r="AB244" s="220"/>
      <c r="AC244" s="220"/>
      <c r="AD244" s="220"/>
      <c r="AE244" s="220"/>
      <c r="AF244" s="220"/>
      <c r="AG244" s="220"/>
      <c r="AH244" s="220"/>
      <c r="AI244" s="220"/>
      <c r="AJ244" s="220"/>
      <c r="AK244" s="220"/>
      <c r="AL244" s="220"/>
      <c r="AM244" s="220"/>
      <c r="AN244" s="220"/>
      <c r="AO244" s="220"/>
    </row>
    <row r="245" spans="1:41" s="207" customFormat="1" ht="24.75" customHeight="1">
      <c r="A245" s="633" t="s">
        <v>673</v>
      </c>
      <c r="B245" s="634"/>
      <c r="C245" s="634"/>
      <c r="D245" s="634"/>
      <c r="E245" s="634"/>
      <c r="F245" s="634"/>
      <c r="G245" s="634"/>
      <c r="H245" s="634"/>
      <c r="I245" s="192"/>
      <c r="J245" s="181"/>
      <c r="K245" s="181"/>
      <c r="L245" s="181"/>
      <c r="M245" s="181"/>
      <c r="N245" s="181"/>
      <c r="O245" s="181"/>
      <c r="P245" s="194"/>
      <c r="Q245" s="168">
        <f t="shared" si="34"/>
        <v>0</v>
      </c>
      <c r="R245" s="204"/>
    </row>
    <row r="246" spans="1:41" ht="12" customHeight="1">
      <c r="B246" s="205"/>
      <c r="C246" s="205"/>
      <c r="D246" s="206"/>
      <c r="E246" s="205"/>
      <c r="F246" s="206"/>
      <c r="G246" s="206"/>
      <c r="H246" s="205"/>
      <c r="I246" s="134"/>
      <c r="J246" s="205"/>
      <c r="K246" s="205"/>
      <c r="L246" s="206"/>
      <c r="M246" s="205"/>
      <c r="N246" s="206"/>
      <c r="O246" s="206"/>
      <c r="P246" s="205"/>
      <c r="Q246" s="168">
        <f t="shared" si="34"/>
        <v>0</v>
      </c>
      <c r="R246" s="168"/>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row>
    <row r="247" spans="1:41" s="207" customFormat="1">
      <c r="A247" s="181"/>
      <c r="B247" s="181"/>
      <c r="C247" s="181"/>
      <c r="D247" s="181"/>
      <c r="E247" s="181"/>
      <c r="F247" s="181"/>
      <c r="G247" s="181"/>
      <c r="H247" s="187" t="s">
        <v>992</v>
      </c>
      <c r="I247" s="181"/>
      <c r="J247" s="181"/>
      <c r="K247" s="181"/>
      <c r="L247" s="181"/>
      <c r="M247" s="181"/>
      <c r="N247" s="181"/>
      <c r="O247" s="181"/>
      <c r="P247" s="181"/>
      <c r="Q247" s="168">
        <f t="shared" si="34"/>
        <v>0</v>
      </c>
    </row>
    <row r="248" spans="1:41" ht="18">
      <c r="A248" s="129" t="s">
        <v>674</v>
      </c>
      <c r="B248" s="130"/>
      <c r="C248" s="130"/>
      <c r="D248" s="130"/>
      <c r="E248" s="130"/>
      <c r="F248" s="130"/>
      <c r="G248" s="130"/>
      <c r="H248" s="130"/>
      <c r="Q248" s="168">
        <f t="shared" si="34"/>
        <v>0</v>
      </c>
    </row>
    <row r="249" spans="1:41">
      <c r="A249" s="135"/>
      <c r="B249" s="131"/>
      <c r="C249" s="131"/>
      <c r="D249" s="131"/>
      <c r="E249" s="131"/>
      <c r="F249" s="131"/>
      <c r="G249" s="131"/>
      <c r="H249" s="131"/>
      <c r="Q249" s="168">
        <f t="shared" si="34"/>
        <v>0</v>
      </c>
    </row>
    <row r="250" spans="1:41" ht="15.75">
      <c r="A250" s="137" t="s">
        <v>639</v>
      </c>
      <c r="B250" s="131"/>
      <c r="C250" s="131"/>
      <c r="D250" s="131"/>
      <c r="E250" s="131"/>
      <c r="F250" s="131"/>
      <c r="G250" s="131"/>
      <c r="H250" s="131"/>
      <c r="Q250" s="168">
        <f t="shared" si="34"/>
        <v>0</v>
      </c>
    </row>
    <row r="251" spans="1:41" ht="15.75">
      <c r="A251" s="137" t="s">
        <v>969</v>
      </c>
      <c r="B251" s="131"/>
      <c r="C251" s="131"/>
      <c r="D251" s="131"/>
      <c r="E251" s="131"/>
      <c r="F251" s="131"/>
      <c r="G251" s="131"/>
      <c r="H251" s="131"/>
      <c r="Q251" s="168">
        <f t="shared" si="34"/>
        <v>0</v>
      </c>
    </row>
    <row r="252" spans="1:41">
      <c r="A252" s="140"/>
      <c r="B252" s="141"/>
      <c r="C252" s="141"/>
      <c r="D252" s="141"/>
      <c r="E252" s="141"/>
      <c r="F252" s="141"/>
      <c r="G252" s="141"/>
      <c r="H252" s="141"/>
      <c r="Q252" s="168">
        <f t="shared" si="34"/>
        <v>0</v>
      </c>
    </row>
    <row r="253" spans="1:41">
      <c r="A253" s="145"/>
      <c r="B253" s="146" t="s">
        <v>641</v>
      </c>
      <c r="C253" s="146"/>
      <c r="D253" s="146"/>
      <c r="E253" s="146"/>
      <c r="F253" s="146"/>
      <c r="G253" s="146"/>
      <c r="H253" s="147"/>
      <c r="Q253" s="168">
        <f t="shared" si="34"/>
        <v>0</v>
      </c>
    </row>
    <row r="254" spans="1:41">
      <c r="A254" s="145"/>
      <c r="B254" s="146" t="s">
        <v>642</v>
      </c>
      <c r="C254" s="146"/>
      <c r="D254" s="639" t="s">
        <v>643</v>
      </c>
      <c r="E254" s="637"/>
      <c r="F254" s="637"/>
      <c r="G254" s="637"/>
      <c r="H254" s="153" t="s">
        <v>533</v>
      </c>
      <c r="Q254" s="168">
        <f t="shared" si="34"/>
        <v>0</v>
      </c>
    </row>
    <row r="255" spans="1:41" ht="36">
      <c r="A255" s="145"/>
      <c r="B255" s="154" t="s">
        <v>644</v>
      </c>
      <c r="C255" s="155" t="s">
        <v>645</v>
      </c>
      <c r="D255" s="156" t="s">
        <v>646</v>
      </c>
      <c r="E255" s="157" t="s">
        <v>8</v>
      </c>
      <c r="F255" s="154" t="s">
        <v>647</v>
      </c>
      <c r="G255" s="158" t="s">
        <v>656</v>
      </c>
      <c r="H255" s="159" t="s">
        <v>649</v>
      </c>
      <c r="Q255" s="168">
        <f t="shared" si="34"/>
        <v>0</v>
      </c>
    </row>
    <row r="256" spans="1:41" ht="15.75" customHeight="1">
      <c r="A256" s="189" t="s">
        <v>618</v>
      </c>
      <c r="B256" s="216">
        <f>('Pivot Table for Data Exchange'!$K$7)*100</f>
        <v>0</v>
      </c>
      <c r="C256" s="163">
        <f>('Pivot Table for Data Exchange'!$K$10)*100</f>
        <v>0</v>
      </c>
      <c r="D256" s="164">
        <f>SUM(E256:G256)</f>
        <v>0</v>
      </c>
      <c r="E256" s="163">
        <f>('Pivot Table for Data Exchange'!$K$13)*100</f>
        <v>0</v>
      </c>
      <c r="F256" s="163">
        <f>('Pivot Table for Data Exchange'!$K$16)*100</f>
        <v>0</v>
      </c>
      <c r="G256" s="167">
        <f>('Pivot Table for Data Exchange'!$K$19)*100</f>
        <v>0</v>
      </c>
      <c r="H256" s="163">
        <f>('Pivot Table for Data Exchange'!$K$22)*100</f>
        <v>0</v>
      </c>
      <c r="I256" s="134"/>
      <c r="J256" s="202"/>
      <c r="K256" s="202"/>
      <c r="L256" s="202"/>
      <c r="M256" s="202"/>
      <c r="N256" s="202"/>
      <c r="O256" s="202"/>
      <c r="P256" s="202"/>
      <c r="Q256" s="168">
        <f t="shared" si="34"/>
        <v>0</v>
      </c>
      <c r="R256" s="168"/>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row>
    <row r="257" spans="1:41" ht="15.75" customHeight="1">
      <c r="A257" s="134" t="s">
        <v>619</v>
      </c>
      <c r="B257" s="163">
        <f>('Pivot Table for Data Exchange'!$K$43)*100</f>
        <v>0</v>
      </c>
      <c r="C257" s="163">
        <f>('Pivot Table for Data Exchange'!$K$46)*100</f>
        <v>0</v>
      </c>
      <c r="D257" s="164">
        <f t="shared" ref="D257:D259" si="37">SUM(E257:G257)</f>
        <v>0</v>
      </c>
      <c r="E257" s="163">
        <f>('Pivot Table for Data Exchange'!$K$49)*100</f>
        <v>0</v>
      </c>
      <c r="F257" s="163">
        <f>('Pivot Table for Data Exchange'!$K$52)*100</f>
        <v>0</v>
      </c>
      <c r="G257" s="171">
        <f>('Pivot Table for Data Exchange'!$K$55)*100</f>
        <v>0</v>
      </c>
      <c r="H257" s="163">
        <f>('Pivot Table for Data Exchange'!$K$58)*100</f>
        <v>0</v>
      </c>
      <c r="I257" s="134"/>
      <c r="J257" s="202"/>
      <c r="K257" s="202"/>
      <c r="L257" s="202"/>
      <c r="M257" s="202"/>
      <c r="N257" s="202"/>
      <c r="O257" s="202"/>
      <c r="P257" s="202"/>
      <c r="Q257" s="168">
        <f t="shared" si="34"/>
        <v>0</v>
      </c>
      <c r="R257" s="168"/>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row>
    <row r="258" spans="1:41" ht="15.75" customHeight="1">
      <c r="A258" s="134" t="s">
        <v>620</v>
      </c>
      <c r="B258" s="163">
        <f>('Pivot Table for Data Exchange'!$K$79)*100</f>
        <v>7.6725120561157389</v>
      </c>
      <c r="C258" s="163">
        <f>('Pivot Table for Data Exchange'!$K$82)*100</f>
        <v>0</v>
      </c>
      <c r="D258" s="164">
        <f t="shared" si="37"/>
        <v>92.32748794388425</v>
      </c>
      <c r="E258" s="163">
        <f>('Pivot Table for Data Exchange'!$K$85)*100</f>
        <v>75.735642262165712</v>
      </c>
      <c r="F258" s="163">
        <f>('Pivot Table for Data Exchange'!$K$88)*100</f>
        <v>0</v>
      </c>
      <c r="G258" s="171">
        <f>('Pivot Table for Data Exchange'!$K$91)*100</f>
        <v>16.591845681718546</v>
      </c>
      <c r="H258" s="163">
        <f>('Pivot Table for Data Exchange'!$K$94)*100</f>
        <v>0</v>
      </c>
      <c r="I258" s="134"/>
      <c r="J258" s="202"/>
      <c r="K258" s="202"/>
      <c r="L258" s="202"/>
      <c r="M258" s="202"/>
      <c r="N258" s="202"/>
      <c r="O258" s="202"/>
      <c r="P258" s="202"/>
      <c r="Q258" s="168">
        <f t="shared" si="34"/>
        <v>99.999999999999986</v>
      </c>
      <c r="R258" s="168"/>
      <c r="S258" s="217"/>
      <c r="T258" s="221"/>
      <c r="U258" s="217"/>
      <c r="V258" s="217"/>
      <c r="W258" s="217"/>
      <c r="X258" s="217"/>
      <c r="Y258" s="217"/>
      <c r="Z258" s="217"/>
      <c r="AA258" s="217"/>
      <c r="AB258" s="217"/>
      <c r="AC258" s="217"/>
      <c r="AD258" s="217"/>
      <c r="AE258" s="217"/>
      <c r="AF258" s="217"/>
      <c r="AG258" s="217"/>
      <c r="AH258" s="217"/>
      <c r="AI258" s="217"/>
      <c r="AJ258" s="217"/>
      <c r="AK258" s="217"/>
      <c r="AL258" s="217"/>
      <c r="AM258" s="217"/>
      <c r="AN258" s="217"/>
      <c r="AO258" s="217"/>
    </row>
    <row r="259" spans="1:41" ht="15.75" customHeight="1">
      <c r="A259" s="134" t="s">
        <v>657</v>
      </c>
      <c r="B259" s="163">
        <f>('Pivot Table for Data Exchange'!$K$115)*100</f>
        <v>27.553205829260531</v>
      </c>
      <c r="C259" s="163">
        <f>('Pivot Table for Data Exchange'!$K$118)*100</f>
        <v>2.5115235870491142</v>
      </c>
      <c r="D259" s="164">
        <f t="shared" si="37"/>
        <v>69.878364838780954</v>
      </c>
      <c r="E259" s="163">
        <f>('Pivot Table for Data Exchange'!$K$121)*100</f>
        <v>51.703295252573952</v>
      </c>
      <c r="F259" s="163">
        <f>('Pivot Table for Data Exchange'!$K$124)*100</f>
        <v>18.174624901509286</v>
      </c>
      <c r="G259" s="171">
        <f>('Pivot Table for Data Exchange'!$K$127)*100</f>
        <v>4.4468469770473214E-4</v>
      </c>
      <c r="H259" s="175">
        <f>('Pivot Table for Data Exchange'!$K$130)*100</f>
        <v>5.6905744909402443E-2</v>
      </c>
      <c r="I259" s="134"/>
      <c r="J259" s="202"/>
      <c r="K259" s="202"/>
      <c r="L259" s="202"/>
      <c r="M259" s="202"/>
      <c r="N259" s="202"/>
      <c r="O259" s="202"/>
      <c r="P259" s="202"/>
      <c r="Q259" s="168">
        <f t="shared" si="34"/>
        <v>100</v>
      </c>
      <c r="R259" s="168"/>
      <c r="S259" s="217"/>
      <c r="U259" s="217"/>
      <c r="V259" s="217"/>
      <c r="W259" s="217"/>
      <c r="X259" s="217"/>
      <c r="Y259" s="217"/>
      <c r="Z259" s="217"/>
      <c r="AA259" s="217"/>
      <c r="AB259" s="217"/>
      <c r="AC259" s="217"/>
      <c r="AD259" s="217"/>
      <c r="AE259" s="217"/>
      <c r="AF259" s="217"/>
      <c r="AG259" s="217"/>
      <c r="AH259" s="217"/>
      <c r="AI259" s="217"/>
      <c r="AJ259" s="217"/>
      <c r="AK259" s="217"/>
      <c r="AL259" s="217"/>
      <c r="AM259" s="217"/>
      <c r="AN259" s="217"/>
      <c r="AO259" s="217"/>
    </row>
    <row r="260" spans="1:41" ht="15.75" customHeight="1">
      <c r="B260" s="163"/>
      <c r="C260" s="163"/>
      <c r="D260" s="164"/>
      <c r="E260" s="163"/>
      <c r="F260" s="163"/>
      <c r="G260" s="171"/>
      <c r="H260" s="163"/>
      <c r="I260" s="134"/>
      <c r="J260" s="202"/>
      <c r="K260" s="202"/>
      <c r="L260" s="202"/>
      <c r="M260" s="202"/>
      <c r="N260" s="202"/>
      <c r="O260" s="202"/>
      <c r="P260" s="202"/>
      <c r="Q260" s="168">
        <f t="shared" si="34"/>
        <v>0</v>
      </c>
      <c r="R260" s="168"/>
      <c r="S260" s="217"/>
      <c r="U260" s="217"/>
      <c r="V260" s="217"/>
      <c r="W260" s="217"/>
      <c r="X260" s="217"/>
      <c r="Y260" s="217"/>
      <c r="Z260" s="217"/>
      <c r="AA260" s="217"/>
      <c r="AB260" s="217"/>
      <c r="AC260" s="217"/>
      <c r="AD260" s="217"/>
      <c r="AE260" s="217"/>
      <c r="AF260" s="217"/>
      <c r="AG260" s="217"/>
      <c r="AH260" s="217"/>
      <c r="AI260" s="217"/>
      <c r="AJ260" s="217"/>
      <c r="AK260" s="217"/>
      <c r="AL260" s="217"/>
      <c r="AM260" s="217"/>
      <c r="AN260" s="217"/>
      <c r="AO260" s="217"/>
    </row>
    <row r="261" spans="1:41" ht="15.75" customHeight="1">
      <c r="A261" s="134" t="s">
        <v>622</v>
      </c>
      <c r="B261" s="163">
        <f>('Pivot Table for Data Exchange'!$K$151)*100</f>
        <v>30.567286983443264</v>
      </c>
      <c r="C261" s="163">
        <f>('Pivot Table for Data Exchange'!$K$154)*100</f>
        <v>7.5577971463184817</v>
      </c>
      <c r="D261" s="164">
        <f t="shared" ref="D261:D262" si="38">SUM(E261:G261)</f>
        <v>61.874915870238254</v>
      </c>
      <c r="E261" s="163">
        <f>('Pivot Table for Data Exchange'!$K$157)*100</f>
        <v>61.874915870238254</v>
      </c>
      <c r="F261" s="163">
        <f>('Pivot Table for Data Exchange'!$K$160)*100</f>
        <v>0</v>
      </c>
      <c r="G261" s="171">
        <f>('Pivot Table for Data Exchange'!$K$163)*100</f>
        <v>0</v>
      </c>
      <c r="H261" s="175">
        <f>('Pivot Table for Data Exchange'!$K$166)*100</f>
        <v>0</v>
      </c>
      <c r="I261" s="134"/>
      <c r="J261" s="202"/>
      <c r="K261" s="202"/>
      <c r="L261" s="202"/>
      <c r="M261" s="202"/>
      <c r="N261" s="202"/>
      <c r="O261" s="202"/>
      <c r="P261" s="202"/>
      <c r="Q261" s="168">
        <f t="shared" si="34"/>
        <v>100</v>
      </c>
      <c r="R261" s="168"/>
      <c r="S261" s="217"/>
      <c r="T261" s="217"/>
      <c r="U261" s="217"/>
      <c r="V261" s="217"/>
      <c r="W261" s="217"/>
      <c r="X261" s="217"/>
      <c r="Y261" s="217"/>
      <c r="Z261" s="217"/>
      <c r="AA261" s="217"/>
      <c r="AB261" s="217"/>
      <c r="AC261" s="217"/>
      <c r="AD261" s="217"/>
      <c r="AE261" s="217"/>
      <c r="AF261" s="217"/>
      <c r="AG261" s="217"/>
      <c r="AH261" s="217"/>
      <c r="AI261" s="217"/>
      <c r="AJ261" s="217"/>
      <c r="AK261" s="217"/>
      <c r="AL261" s="217"/>
      <c r="AM261" s="217"/>
      <c r="AN261" s="217"/>
      <c r="AO261" s="217"/>
    </row>
    <row r="262" spans="1:41" ht="15.75" customHeight="1">
      <c r="A262" s="134" t="s">
        <v>623</v>
      </c>
      <c r="B262" s="163">
        <f>('Pivot Table for Data Exchange'!$K$187)*100</f>
        <v>0</v>
      </c>
      <c r="C262" s="163">
        <f>('Pivot Table for Data Exchange'!$K$190)*100</f>
        <v>0</v>
      </c>
      <c r="D262" s="164">
        <f t="shared" si="38"/>
        <v>0</v>
      </c>
      <c r="E262" s="163">
        <f>('Pivot Table for Data Exchange'!$K$193)*100</f>
        <v>0</v>
      </c>
      <c r="F262" s="163">
        <f>('Pivot Table for Data Exchange'!$K$196)*100</f>
        <v>0</v>
      </c>
      <c r="G262" s="171">
        <f>('Pivot Table for Data Exchange'!$K$199)*100</f>
        <v>0</v>
      </c>
      <c r="H262" s="163">
        <f>('Pivot Table for Data Exchange'!$K$202)*100</f>
        <v>0</v>
      </c>
      <c r="I262" s="134"/>
      <c r="J262" s="202"/>
      <c r="K262" s="202"/>
      <c r="L262" s="202"/>
      <c r="M262" s="202"/>
      <c r="N262" s="202"/>
      <c r="O262" s="202"/>
      <c r="P262" s="202"/>
      <c r="Q262" s="168">
        <f t="shared" si="34"/>
        <v>0</v>
      </c>
      <c r="R262" s="168"/>
      <c r="S262" s="217"/>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17"/>
      <c r="AO262" s="217"/>
    </row>
    <row r="263" spans="1:41" ht="15.75" customHeight="1">
      <c r="A263" s="134" t="s">
        <v>624</v>
      </c>
      <c r="B263" s="163">
        <f>('Pivot Table for Data Exchange'!$K$223)*100</f>
        <v>0</v>
      </c>
      <c r="C263" s="163">
        <f>('Pivot Table for Data Exchange'!$K$226)*100</f>
        <v>0</v>
      </c>
      <c r="D263" s="164">
        <f>SUM(E263:G263)</f>
        <v>0</v>
      </c>
      <c r="E263" s="163">
        <f>('Pivot Table for Data Exchange'!$K$229)*100</f>
        <v>0</v>
      </c>
      <c r="F263" s="163">
        <f>('Pivot Table for Data Exchange'!$K$232)*100</f>
        <v>0</v>
      </c>
      <c r="G263" s="171">
        <f>('Pivot Table for Data Exchange'!$K$235)*100</f>
        <v>0</v>
      </c>
      <c r="H263" s="163">
        <f>('Pivot Table for Data Exchange'!$K$238)*100</f>
        <v>0</v>
      </c>
      <c r="I263" s="134"/>
      <c r="J263" s="202"/>
      <c r="K263" s="202"/>
      <c r="L263" s="202"/>
      <c r="M263" s="202"/>
      <c r="N263" s="202"/>
      <c r="O263" s="202"/>
      <c r="P263" s="202"/>
      <c r="Q263" s="168">
        <f t="shared" si="34"/>
        <v>0</v>
      </c>
      <c r="R263" s="168"/>
      <c r="S263" s="217"/>
      <c r="T263" s="221"/>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7"/>
    </row>
    <row r="264" spans="1:41" ht="15.75" customHeight="1">
      <c r="A264" s="134" t="s">
        <v>625</v>
      </c>
      <c r="B264" s="163">
        <f>('Pivot Table for Data Exchange'!$K$259)*100</f>
        <v>0</v>
      </c>
      <c r="C264" s="163">
        <f>('Pivot Table for Data Exchange'!$K$262)*100</f>
        <v>0</v>
      </c>
      <c r="D264" s="164">
        <f>SUM(E264:G264)</f>
        <v>0</v>
      </c>
      <c r="E264" s="163">
        <f>('Pivot Table for Data Exchange'!$K$265)*100</f>
        <v>0</v>
      </c>
      <c r="F264" s="163">
        <f>('Pivot Table for Data Exchange'!$K$268)*100</f>
        <v>0</v>
      </c>
      <c r="G264" s="171">
        <f>('Pivot Table for Data Exchange'!$K$271)*100</f>
        <v>0</v>
      </c>
      <c r="H264" s="163">
        <f>('Pivot Table for Data Exchange'!$K$274)*100</f>
        <v>0</v>
      </c>
      <c r="I264" s="134"/>
      <c r="J264" s="202"/>
      <c r="K264" s="202"/>
      <c r="L264" s="202"/>
      <c r="M264" s="202"/>
      <c r="N264" s="202"/>
      <c r="O264" s="202"/>
      <c r="P264" s="202"/>
      <c r="Q264" s="168">
        <f t="shared" si="34"/>
        <v>0</v>
      </c>
      <c r="R264" s="168"/>
      <c r="S264" s="217"/>
      <c r="U264" s="217"/>
      <c r="V264" s="217"/>
      <c r="W264" s="217"/>
      <c r="X264" s="217"/>
      <c r="Y264" s="217"/>
      <c r="Z264" s="217"/>
      <c r="AA264" s="217"/>
      <c r="AB264" s="217"/>
      <c r="AC264" s="217"/>
      <c r="AD264" s="217"/>
      <c r="AE264" s="217"/>
      <c r="AF264" s="217"/>
      <c r="AG264" s="217"/>
      <c r="AH264" s="217"/>
      <c r="AI264" s="217"/>
      <c r="AJ264" s="217"/>
      <c r="AK264" s="217"/>
      <c r="AL264" s="217"/>
      <c r="AM264" s="217"/>
      <c r="AN264" s="217"/>
      <c r="AO264" s="217"/>
    </row>
    <row r="265" spans="1:41" ht="15.75" customHeight="1">
      <c r="B265" s="163"/>
      <c r="C265" s="163"/>
      <c r="D265" s="164"/>
      <c r="E265" s="163"/>
      <c r="F265" s="163"/>
      <c r="G265" s="171"/>
      <c r="H265" s="163"/>
      <c r="I265" s="134"/>
      <c r="J265" s="202"/>
      <c r="K265" s="202"/>
      <c r="L265" s="202"/>
      <c r="M265" s="202"/>
      <c r="N265" s="202"/>
      <c r="O265" s="202"/>
      <c r="P265" s="202"/>
      <c r="Q265" s="168">
        <f t="shared" si="34"/>
        <v>0</v>
      </c>
      <c r="R265" s="168"/>
      <c r="S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row>
    <row r="266" spans="1:41" ht="15.75" customHeight="1">
      <c r="A266" s="134" t="s">
        <v>626</v>
      </c>
      <c r="B266" s="163">
        <f>('Pivot Table for Data Exchange'!$K$295)*100</f>
        <v>0</v>
      </c>
      <c r="C266" s="163">
        <f>('Pivot Table for Data Exchange'!$K$298)*100</f>
        <v>0</v>
      </c>
      <c r="D266" s="164">
        <f>SUM(E266:G266)</f>
        <v>0</v>
      </c>
      <c r="E266" s="163">
        <f>('Pivot Table for Data Exchange'!$K$301)*100</f>
        <v>0</v>
      </c>
      <c r="F266" s="163">
        <f>('Pivot Table for Data Exchange'!$K$304)*100</f>
        <v>0</v>
      </c>
      <c r="G266" s="171">
        <f>('Pivot Table for Data Exchange'!$K$307)*100</f>
        <v>0</v>
      </c>
      <c r="H266" s="163">
        <f>('Pivot Table for Data Exchange'!$K$310)*100</f>
        <v>0</v>
      </c>
      <c r="I266" s="134"/>
      <c r="J266" s="202"/>
      <c r="K266" s="202"/>
      <c r="L266" s="202"/>
      <c r="M266" s="202"/>
      <c r="N266" s="202"/>
      <c r="O266" s="202"/>
      <c r="P266" s="202"/>
      <c r="Q266" s="168">
        <f t="shared" si="34"/>
        <v>0</v>
      </c>
      <c r="R266" s="168"/>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row>
    <row r="267" spans="1:41" ht="15.75" customHeight="1">
      <c r="A267" s="134" t="s">
        <v>627</v>
      </c>
      <c r="B267" s="163">
        <f>('Pivot Table for Data Exchange'!$K$331)*100</f>
        <v>0</v>
      </c>
      <c r="C267" s="163">
        <f>('Pivot Table for Data Exchange'!$K$334)*100</f>
        <v>0</v>
      </c>
      <c r="D267" s="164">
        <f>SUM(E267:G267)</f>
        <v>0</v>
      </c>
      <c r="E267" s="163">
        <f>('Pivot Table for Data Exchange'!$K$337)*100</f>
        <v>0</v>
      </c>
      <c r="F267" s="163">
        <f>('Pivot Table for Data Exchange'!$K$340)*100</f>
        <v>0</v>
      </c>
      <c r="G267" s="171">
        <f>('Pivot Table for Data Exchange'!$K$343)*100</f>
        <v>0</v>
      </c>
      <c r="H267" s="163">
        <f>('Pivot Table for Data Exchange'!$K$346)*100</f>
        <v>0</v>
      </c>
      <c r="I267" s="134"/>
      <c r="J267" s="202"/>
      <c r="K267" s="202"/>
      <c r="L267" s="202"/>
      <c r="M267" s="202"/>
      <c r="N267" s="202"/>
      <c r="O267" s="202"/>
      <c r="P267" s="202"/>
      <c r="Q267" s="168">
        <f t="shared" si="34"/>
        <v>0</v>
      </c>
      <c r="R267" s="168"/>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row>
    <row r="268" spans="1:41" ht="15.75" customHeight="1">
      <c r="A268" s="134" t="s">
        <v>628</v>
      </c>
      <c r="B268" s="163">
        <f>('Pivot Table for Data Exchange'!$K$367)*100</f>
        <v>0</v>
      </c>
      <c r="C268" s="163">
        <f>('Pivot Table for Data Exchange'!$K$370)*100</f>
        <v>0</v>
      </c>
      <c r="D268" s="164">
        <f>SUM(E268:G268)</f>
        <v>0</v>
      </c>
      <c r="E268" s="163">
        <f>('Pivot Table for Data Exchange'!$K$373)*100</f>
        <v>0</v>
      </c>
      <c r="F268" s="163">
        <f>('Pivot Table for Data Exchange'!$K$376)*100</f>
        <v>0</v>
      </c>
      <c r="G268" s="171">
        <f>('Pivot Table for Data Exchange'!$K$379)*100</f>
        <v>0</v>
      </c>
      <c r="H268" s="163">
        <f>('Pivot Table for Data Exchange'!$K$382)*100</f>
        <v>0</v>
      </c>
      <c r="I268" s="134"/>
      <c r="J268" s="202"/>
      <c r="K268" s="202"/>
      <c r="L268" s="202"/>
      <c r="M268" s="202"/>
      <c r="N268" s="202"/>
      <c r="O268" s="202"/>
      <c r="P268" s="202"/>
      <c r="Q268" s="168">
        <f t="shared" si="34"/>
        <v>0</v>
      </c>
      <c r="R268" s="168"/>
      <c r="S268" s="217"/>
      <c r="T268" s="221"/>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row>
    <row r="269" spans="1:41" ht="15.75" customHeight="1">
      <c r="A269" s="134" t="s">
        <v>629</v>
      </c>
      <c r="B269" s="163">
        <f>('Pivot Table for Data Exchange'!$K$403)*100</f>
        <v>0</v>
      </c>
      <c r="C269" s="163">
        <f>('Pivot Table for Data Exchange'!$K$406)*100</f>
        <v>0</v>
      </c>
      <c r="D269" s="164">
        <f>SUM(E269:G269)</f>
        <v>0</v>
      </c>
      <c r="E269" s="163">
        <f>('Pivot Table for Data Exchange'!$K$409)*100</f>
        <v>0</v>
      </c>
      <c r="F269" s="163">
        <f>('Pivot Table for Data Exchange'!$K$412)*100</f>
        <v>0</v>
      </c>
      <c r="G269" s="171">
        <f>('Pivot Table for Data Exchange'!$K$415)*100</f>
        <v>0</v>
      </c>
      <c r="H269" s="163">
        <f>('Pivot Table for Data Exchange'!$K$418)*100</f>
        <v>0</v>
      </c>
      <c r="I269" s="134"/>
      <c r="J269" s="202"/>
      <c r="K269" s="202"/>
      <c r="L269" s="202"/>
      <c r="M269" s="202"/>
      <c r="N269" s="202"/>
      <c r="O269" s="202"/>
      <c r="P269" s="202"/>
      <c r="Q269" s="168">
        <f t="shared" si="34"/>
        <v>0</v>
      </c>
      <c r="R269" s="168"/>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row>
    <row r="270" spans="1:41" ht="15.75" customHeight="1">
      <c r="B270" s="163"/>
      <c r="C270" s="163"/>
      <c r="D270" s="164"/>
      <c r="E270" s="163"/>
      <c r="F270" s="163"/>
      <c r="G270" s="171"/>
      <c r="H270" s="163"/>
      <c r="I270" s="134"/>
      <c r="J270" s="202"/>
      <c r="K270" s="202"/>
      <c r="L270" s="202"/>
      <c r="M270" s="202"/>
      <c r="N270" s="202"/>
      <c r="O270" s="202"/>
      <c r="P270" s="202"/>
      <c r="Q270" s="168">
        <f t="shared" si="34"/>
        <v>0</v>
      </c>
      <c r="R270" s="168"/>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row>
    <row r="271" spans="1:41" ht="15.75" customHeight="1">
      <c r="A271" s="134" t="s">
        <v>630</v>
      </c>
      <c r="B271" s="163">
        <f>('Pivot Table for Data Exchange'!$K$439)*100</f>
        <v>0</v>
      </c>
      <c r="C271" s="163">
        <f>('Pivot Table for Data Exchange'!$K$442)*100</f>
        <v>0</v>
      </c>
      <c r="D271" s="164">
        <f>SUM(E271:G271)</f>
        <v>0</v>
      </c>
      <c r="E271" s="163">
        <f>('Pivot Table for Data Exchange'!$K$445)*100</f>
        <v>0</v>
      </c>
      <c r="F271" s="163">
        <f>('Pivot Table for Data Exchange'!$K$448)*100</f>
        <v>0</v>
      </c>
      <c r="G271" s="171">
        <f>('Pivot Table for Data Exchange'!$K$451)*100</f>
        <v>0</v>
      </c>
      <c r="H271" s="163">
        <f>('Pivot Table for Data Exchange'!$K$454)*100</f>
        <v>0</v>
      </c>
      <c r="I271" s="134"/>
      <c r="J271" s="202"/>
      <c r="K271" s="202"/>
      <c r="L271" s="202"/>
      <c r="M271" s="202"/>
      <c r="N271" s="202"/>
      <c r="O271" s="202"/>
      <c r="P271" s="202"/>
      <c r="Q271" s="168">
        <f t="shared" si="34"/>
        <v>0</v>
      </c>
      <c r="R271" s="168"/>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row>
    <row r="272" spans="1:41" ht="15.75" customHeight="1">
      <c r="A272" s="134" t="s">
        <v>631</v>
      </c>
      <c r="B272" s="163">
        <f>('Pivot Table for Data Exchange'!$K$475)*100</f>
        <v>24.303132542934716</v>
      </c>
      <c r="C272" s="163">
        <f>('Pivot Table for Data Exchange'!$K$478)*100</f>
        <v>1.6777998044191813</v>
      </c>
      <c r="D272" s="164">
        <f>SUM(E272:G272)</f>
        <v>74.0190676526461</v>
      </c>
      <c r="E272" s="163">
        <f>('Pivot Table for Data Exchange'!$K$481)*100</f>
        <v>73.949048537723172</v>
      </c>
      <c r="F272" s="163">
        <f>('Pivot Table for Data Exchange'!$K$484)*100</f>
        <v>7.0019114922934667E-2</v>
      </c>
      <c r="G272" s="170">
        <f>('Pivot Table for Data Exchange'!$K$487)*100</f>
        <v>0</v>
      </c>
      <c r="H272" s="163">
        <f>('Pivot Table for Data Exchange'!$K$490)*100</f>
        <v>0</v>
      </c>
      <c r="I272" s="134"/>
      <c r="J272" s="202"/>
      <c r="K272" s="202"/>
      <c r="L272" s="202"/>
      <c r="M272" s="202"/>
      <c r="N272" s="202"/>
      <c r="O272" s="202"/>
      <c r="P272" s="202"/>
      <c r="Q272" s="168">
        <f t="shared" si="34"/>
        <v>100</v>
      </c>
      <c r="R272" s="168"/>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row>
    <row r="273" spans="1:41" ht="15.75" customHeight="1">
      <c r="A273" s="134" t="s">
        <v>632</v>
      </c>
      <c r="B273" s="163">
        <f>('Pivot Table for Data Exchange'!$K$511)*100</f>
        <v>0</v>
      </c>
      <c r="C273" s="163">
        <f>('Pivot Table for Data Exchange'!$K$514)*100</f>
        <v>0</v>
      </c>
      <c r="D273" s="164">
        <f>SUM(E273:G273)</f>
        <v>0</v>
      </c>
      <c r="E273" s="163">
        <f>('Pivot Table for Data Exchange'!$K$517)*100</f>
        <v>0</v>
      </c>
      <c r="F273" s="163">
        <f>('Pivot Table for Data Exchange'!$K$520)*100</f>
        <v>0</v>
      </c>
      <c r="G273" s="171">
        <f>('Pivot Table for Data Exchange'!$K$523)*100</f>
        <v>0</v>
      </c>
      <c r="H273" s="163">
        <f>('Pivot Table for Data Exchange'!$K$526)*100</f>
        <v>0</v>
      </c>
      <c r="I273" s="134"/>
      <c r="J273" s="202"/>
      <c r="K273" s="202"/>
      <c r="L273" s="202"/>
      <c r="M273" s="202"/>
      <c r="N273" s="202"/>
      <c r="O273" s="202"/>
      <c r="P273" s="202"/>
      <c r="Q273" s="168">
        <f t="shared" si="34"/>
        <v>0</v>
      </c>
      <c r="R273" s="168"/>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row>
    <row r="274" spans="1:41" ht="15.75" customHeight="1">
      <c r="A274" s="140" t="s">
        <v>633</v>
      </c>
      <c r="B274" s="176">
        <f>('Pivot Table for Data Exchange'!$K$547)*100</f>
        <v>48.23501241351498</v>
      </c>
      <c r="C274" s="176">
        <f>('Pivot Table for Data Exchange'!$K$550)*100</f>
        <v>5.5829311018412335</v>
      </c>
      <c r="D274" s="177">
        <f>SUM(E274:G274)</f>
        <v>46.182056484643788</v>
      </c>
      <c r="E274" s="176">
        <f>('Pivot Table for Data Exchange'!$K$553)*100</f>
        <v>46.182056484643788</v>
      </c>
      <c r="F274" s="176">
        <f>('Pivot Table for Data Exchange'!$K$556)*100</f>
        <v>0</v>
      </c>
      <c r="G274" s="178">
        <f>('Pivot Table for Data Exchange'!$K$559)*100</f>
        <v>0</v>
      </c>
      <c r="H274" s="176">
        <f>('Pivot Table for Data Exchange'!$K$562)*100</f>
        <v>0</v>
      </c>
      <c r="I274" s="134"/>
      <c r="J274" s="202"/>
      <c r="K274" s="202"/>
      <c r="L274" s="202"/>
      <c r="M274" s="202"/>
      <c r="N274" s="202"/>
      <c r="O274" s="202"/>
      <c r="P274" s="202"/>
      <c r="Q274" s="168">
        <f t="shared" si="34"/>
        <v>100</v>
      </c>
      <c r="R274" s="168"/>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row>
    <row r="275" spans="1:41" s="207" customFormat="1" ht="12.75" customHeight="1">
      <c r="A275" s="182" t="s">
        <v>658</v>
      </c>
      <c r="B275" s="183"/>
      <c r="C275" s="183"/>
      <c r="D275" s="184"/>
      <c r="E275" s="183"/>
      <c r="F275" s="184"/>
      <c r="G275" s="184"/>
      <c r="H275" s="183"/>
      <c r="I275" s="192"/>
      <c r="J275" s="183"/>
      <c r="K275" s="183"/>
      <c r="L275" s="184"/>
      <c r="M275" s="183"/>
      <c r="N275" s="184"/>
      <c r="O275" s="184"/>
      <c r="P275" s="183"/>
      <c r="Q275" s="168">
        <f t="shared" si="34"/>
        <v>0</v>
      </c>
      <c r="R275" s="203"/>
      <c r="S275" s="220"/>
      <c r="T275" s="220"/>
      <c r="U275" s="220"/>
      <c r="V275" s="220"/>
      <c r="W275" s="220"/>
      <c r="X275" s="220"/>
      <c r="Y275" s="220"/>
      <c r="Z275" s="220"/>
      <c r="AA275" s="220"/>
      <c r="AB275" s="220"/>
      <c r="AC275" s="220"/>
      <c r="AD275" s="220"/>
      <c r="AE275" s="220"/>
      <c r="AF275" s="220"/>
      <c r="AG275" s="220"/>
      <c r="AH275" s="220"/>
      <c r="AI275" s="220"/>
      <c r="AJ275" s="220"/>
      <c r="AK275" s="220"/>
      <c r="AL275" s="220"/>
      <c r="AM275" s="220"/>
      <c r="AN275" s="220"/>
      <c r="AO275" s="220"/>
    </row>
    <row r="276" spans="1:41" s="207" customFormat="1" ht="27" customHeight="1">
      <c r="A276" s="633" t="s">
        <v>675</v>
      </c>
      <c r="B276" s="634"/>
      <c r="C276" s="634"/>
      <c r="D276" s="634"/>
      <c r="E276" s="634"/>
      <c r="F276" s="634"/>
      <c r="G276" s="634"/>
      <c r="H276" s="634"/>
      <c r="I276" s="192"/>
      <c r="J276" s="181"/>
      <c r="K276" s="181"/>
      <c r="L276" s="181"/>
      <c r="M276" s="181"/>
      <c r="N276" s="181"/>
      <c r="O276" s="181"/>
      <c r="P276" s="194"/>
      <c r="Q276" s="168">
        <f t="shared" si="34"/>
        <v>0</v>
      </c>
      <c r="R276" s="204"/>
    </row>
    <row r="277" spans="1:41" s="207" customFormat="1" ht="13.5" customHeight="1">
      <c r="A277" s="134"/>
      <c r="B277" s="205"/>
      <c r="C277" s="205"/>
      <c r="D277" s="206"/>
      <c r="E277" s="205"/>
      <c r="F277" s="206"/>
      <c r="G277" s="206"/>
      <c r="H277" s="205"/>
      <c r="I277" s="192"/>
      <c r="J277" s="181"/>
      <c r="K277" s="181"/>
      <c r="L277" s="181"/>
      <c r="M277" s="181"/>
      <c r="N277" s="181"/>
      <c r="O277" s="181"/>
      <c r="P277" s="181"/>
      <c r="Q277" s="168">
        <f t="shared" si="34"/>
        <v>0</v>
      </c>
      <c r="R277" s="204"/>
    </row>
    <row r="278" spans="1:41" s="207" customFormat="1">
      <c r="A278" s="181"/>
      <c r="B278" s="181"/>
      <c r="C278" s="181"/>
      <c r="D278" s="181"/>
      <c r="E278" s="181"/>
      <c r="F278" s="181"/>
      <c r="G278" s="181"/>
      <c r="H278" s="187" t="s">
        <v>992</v>
      </c>
      <c r="I278" s="208"/>
      <c r="J278" s="181"/>
      <c r="K278" s="181"/>
      <c r="L278" s="181"/>
      <c r="M278" s="181"/>
      <c r="N278" s="181"/>
      <c r="O278" s="181"/>
      <c r="P278" s="181"/>
      <c r="Q278" s="168">
        <f t="shared" si="34"/>
        <v>0</v>
      </c>
      <c r="R278" s="204"/>
    </row>
    <row r="279" spans="1:41" ht="18">
      <c r="A279" s="129" t="s">
        <v>676</v>
      </c>
      <c r="B279" s="130"/>
      <c r="C279" s="130"/>
      <c r="D279" s="130"/>
      <c r="E279" s="130"/>
      <c r="F279" s="130"/>
      <c r="G279" s="130"/>
      <c r="H279" s="130"/>
      <c r="Q279" s="168">
        <f t="shared" si="34"/>
        <v>0</v>
      </c>
    </row>
    <row r="280" spans="1:41">
      <c r="A280" s="135"/>
      <c r="B280" s="131"/>
      <c r="C280" s="131"/>
      <c r="D280" s="131"/>
      <c r="E280" s="131"/>
      <c r="F280" s="131"/>
      <c r="G280" s="131"/>
      <c r="H280" s="131"/>
      <c r="Q280" s="168">
        <f t="shared" si="34"/>
        <v>0</v>
      </c>
    </row>
    <row r="281" spans="1:41" ht="15.75">
      <c r="A281" s="137" t="s">
        <v>639</v>
      </c>
      <c r="B281" s="131"/>
      <c r="C281" s="131"/>
      <c r="D281" s="131"/>
      <c r="E281" s="131"/>
      <c r="F281" s="131"/>
      <c r="G281" s="131"/>
      <c r="H281" s="131"/>
      <c r="Q281" s="168">
        <f t="shared" si="34"/>
        <v>0</v>
      </c>
    </row>
    <row r="282" spans="1:41" ht="15.75">
      <c r="A282" s="137" t="s">
        <v>970</v>
      </c>
      <c r="B282" s="131"/>
      <c r="C282" s="131"/>
      <c r="D282" s="131"/>
      <c r="E282" s="131"/>
      <c r="F282" s="131"/>
      <c r="G282" s="131"/>
      <c r="H282" s="131"/>
      <c r="Q282" s="168">
        <f t="shared" ref="Q282:Q346" si="39">SUM(B282,C282,D282,H282)</f>
        <v>0</v>
      </c>
    </row>
    <row r="283" spans="1:41">
      <c r="A283" s="140"/>
      <c r="B283" s="141"/>
      <c r="C283" s="141"/>
      <c r="D283" s="141"/>
      <c r="E283" s="141"/>
      <c r="F283" s="141"/>
      <c r="G283" s="141"/>
      <c r="H283" s="141"/>
      <c r="Q283" s="168">
        <f t="shared" si="39"/>
        <v>0</v>
      </c>
    </row>
    <row r="284" spans="1:41">
      <c r="A284" s="145"/>
      <c r="B284" s="146" t="s">
        <v>641</v>
      </c>
      <c r="C284" s="146"/>
      <c r="D284" s="146"/>
      <c r="E284" s="146"/>
      <c r="F284" s="146"/>
      <c r="G284" s="146"/>
      <c r="H284" s="147"/>
      <c r="Q284" s="168">
        <f t="shared" si="39"/>
        <v>0</v>
      </c>
    </row>
    <row r="285" spans="1:41">
      <c r="A285" s="145"/>
      <c r="B285" s="146" t="s">
        <v>642</v>
      </c>
      <c r="C285" s="146"/>
      <c r="D285" s="639" t="s">
        <v>643</v>
      </c>
      <c r="E285" s="637"/>
      <c r="F285" s="637"/>
      <c r="G285" s="637"/>
      <c r="H285" s="153" t="s">
        <v>533</v>
      </c>
      <c r="Q285" s="168">
        <f t="shared" si="39"/>
        <v>0</v>
      </c>
    </row>
    <row r="286" spans="1:41" ht="36">
      <c r="A286" s="145"/>
      <c r="B286" s="154" t="s">
        <v>644</v>
      </c>
      <c r="C286" s="155" t="s">
        <v>645</v>
      </c>
      <c r="D286" s="156" t="s">
        <v>646</v>
      </c>
      <c r="E286" s="157" t="s">
        <v>8</v>
      </c>
      <c r="F286" s="154" t="s">
        <v>647</v>
      </c>
      <c r="G286" s="158" t="s">
        <v>656</v>
      </c>
      <c r="H286" s="159" t="s">
        <v>649</v>
      </c>
      <c r="Q286" s="168">
        <f t="shared" si="39"/>
        <v>0</v>
      </c>
    </row>
    <row r="287" spans="1:41" ht="15.75" customHeight="1">
      <c r="A287" s="189" t="s">
        <v>618</v>
      </c>
      <c r="B287" s="216">
        <f>('Pivot Table for Data Exchange'!$L$7)*100</f>
        <v>39.40674664594534</v>
      </c>
      <c r="C287" s="163">
        <f>('Pivot Table for Data Exchange'!$L$10)*100</f>
        <v>0</v>
      </c>
      <c r="D287" s="164">
        <f>SUM(E287:G287)</f>
        <v>60.593253354054667</v>
      </c>
      <c r="E287" s="163">
        <f>('Pivot Table for Data Exchange'!$L$13)*100</f>
        <v>60.593253354054667</v>
      </c>
      <c r="F287" s="163">
        <f>('Pivot Table for Data Exchange'!$L$16)*100</f>
        <v>0</v>
      </c>
      <c r="G287" s="167">
        <f>('Pivot Table for Data Exchange'!$L$19)*100</f>
        <v>0</v>
      </c>
      <c r="H287" s="163">
        <f>('Pivot Table for Data Exchange'!$L$22)*100</f>
        <v>0</v>
      </c>
      <c r="I287" s="134"/>
      <c r="J287" s="202"/>
      <c r="K287" s="202"/>
      <c r="L287" s="202"/>
      <c r="M287" s="202"/>
      <c r="N287" s="202"/>
      <c r="O287" s="202"/>
      <c r="P287" s="202"/>
      <c r="Q287" s="168">
        <f t="shared" si="39"/>
        <v>100</v>
      </c>
      <c r="R287" s="168"/>
      <c r="S287" s="217"/>
      <c r="T287" s="217"/>
      <c r="U287" s="217"/>
      <c r="V287" s="217"/>
      <c r="W287" s="217"/>
      <c r="X287" s="217"/>
      <c r="Y287" s="217"/>
      <c r="Z287" s="217"/>
      <c r="AA287" s="217"/>
      <c r="AB287" s="217"/>
      <c r="AC287" s="217"/>
      <c r="AD287" s="217"/>
      <c r="AE287" s="217"/>
      <c r="AF287" s="217"/>
      <c r="AG287" s="217"/>
      <c r="AH287" s="217"/>
      <c r="AI287" s="217"/>
      <c r="AJ287" s="217"/>
      <c r="AK287" s="217"/>
      <c r="AL287" s="217"/>
      <c r="AM287" s="217"/>
      <c r="AN287" s="217"/>
      <c r="AO287" s="217"/>
    </row>
    <row r="288" spans="1:41" ht="15.75" customHeight="1">
      <c r="A288" s="134" t="s">
        <v>619</v>
      </c>
      <c r="B288" s="163">
        <f>('Pivot Table for Data Exchange'!$L$43)*100</f>
        <v>7.4924884950367021</v>
      </c>
      <c r="C288" s="163">
        <f>('Pivot Table for Data Exchange'!$L$46)*100</f>
        <v>7.1874643441220094</v>
      </c>
      <c r="D288" s="164">
        <f t="shared" ref="D288:D290" si="40">SUM(E288:G288)</f>
        <v>85.320047160841284</v>
      </c>
      <c r="E288" s="163">
        <f>('Pivot Table for Data Exchange'!$L$49)*100</f>
        <v>52.336363290609668</v>
      </c>
      <c r="F288" s="175">
        <f>('Pivot Table for Data Exchange'!$L$52)*100</f>
        <v>32.983683870231623</v>
      </c>
      <c r="G288" s="171">
        <f>('Pivot Table for Data Exchange'!$L$55)*100</f>
        <v>0</v>
      </c>
      <c r="H288" s="163">
        <f>('Pivot Table for Data Exchange'!$L$58)*100</f>
        <v>0</v>
      </c>
      <c r="I288" s="134"/>
      <c r="J288" s="202"/>
      <c r="K288" s="202"/>
      <c r="L288" s="202"/>
      <c r="M288" s="202"/>
      <c r="N288" s="202"/>
      <c r="O288" s="202"/>
      <c r="P288" s="202"/>
      <c r="Q288" s="168">
        <f t="shared" si="39"/>
        <v>100</v>
      </c>
      <c r="R288" s="168"/>
      <c r="S288" s="217"/>
      <c r="T288" s="217"/>
      <c r="U288" s="217"/>
      <c r="V288" s="217"/>
      <c r="W288" s="217"/>
      <c r="X288" s="217"/>
      <c r="Y288" s="217"/>
      <c r="Z288" s="217"/>
      <c r="AA288" s="217"/>
      <c r="AB288" s="217"/>
      <c r="AC288" s="217"/>
      <c r="AD288" s="217"/>
      <c r="AE288" s="217"/>
      <c r="AF288" s="217"/>
      <c r="AG288" s="217"/>
      <c r="AH288" s="217"/>
      <c r="AI288" s="217"/>
      <c r="AJ288" s="217"/>
      <c r="AK288" s="217"/>
      <c r="AL288" s="217"/>
      <c r="AM288" s="217"/>
      <c r="AN288" s="217"/>
      <c r="AO288" s="217"/>
    </row>
    <row r="289" spans="1:41" ht="15.75" customHeight="1">
      <c r="A289" s="134" t="s">
        <v>620</v>
      </c>
      <c r="B289" s="163">
        <f>('Pivot Table for Data Exchange'!$L$79)*100</f>
        <v>0</v>
      </c>
      <c r="C289" s="163">
        <f>('Pivot Table for Data Exchange'!$L$82)*100</f>
        <v>0</v>
      </c>
      <c r="D289" s="164">
        <f t="shared" si="40"/>
        <v>0</v>
      </c>
      <c r="E289" s="163">
        <f>('Pivot Table for Data Exchange'!$L$85)*100</f>
        <v>0</v>
      </c>
      <c r="F289" s="163">
        <f>('Pivot Table for Data Exchange'!$L$88)*100</f>
        <v>0</v>
      </c>
      <c r="G289" s="170">
        <f>('Pivot Table for Data Exchange'!$L$91)*100</f>
        <v>0</v>
      </c>
      <c r="H289" s="163">
        <f>('Pivot Table for Data Exchange'!$L$94)*100</f>
        <v>0</v>
      </c>
      <c r="I289" s="134"/>
      <c r="J289" s="202"/>
      <c r="K289" s="202"/>
      <c r="L289" s="202"/>
      <c r="M289" s="202"/>
      <c r="N289" s="202"/>
      <c r="O289" s="202"/>
      <c r="P289" s="202"/>
      <c r="Q289" s="168">
        <f t="shared" si="39"/>
        <v>0</v>
      </c>
      <c r="R289" s="168"/>
      <c r="S289" s="217"/>
      <c r="T289" s="221"/>
      <c r="U289" s="217"/>
      <c r="V289" s="217"/>
      <c r="W289" s="217"/>
      <c r="X289" s="217"/>
      <c r="Y289" s="217"/>
      <c r="Z289" s="217"/>
      <c r="AA289" s="217"/>
      <c r="AB289" s="217"/>
      <c r="AC289" s="217"/>
      <c r="AD289" s="217"/>
      <c r="AE289" s="217"/>
      <c r="AF289" s="217"/>
      <c r="AG289" s="217"/>
      <c r="AH289" s="217"/>
      <c r="AI289" s="217"/>
      <c r="AJ289" s="217"/>
      <c r="AK289" s="217"/>
      <c r="AL289" s="217"/>
      <c r="AM289" s="217"/>
      <c r="AN289" s="217"/>
      <c r="AO289" s="217"/>
    </row>
    <row r="290" spans="1:41" ht="15.75" customHeight="1">
      <c r="A290" s="134" t="s">
        <v>657</v>
      </c>
      <c r="B290" s="163">
        <f>('Pivot Table for Data Exchange'!$L$115)*100</f>
        <v>21.629859060606982</v>
      </c>
      <c r="C290" s="163">
        <f>('Pivot Table for Data Exchange'!$L$118)*100</f>
        <v>4.7376792182886369</v>
      </c>
      <c r="D290" s="164">
        <f t="shared" si="40"/>
        <v>73.632461721104377</v>
      </c>
      <c r="E290" s="163">
        <f>('Pivot Table for Data Exchange'!$L$121)*100</f>
        <v>73.632461721104377</v>
      </c>
      <c r="F290" s="163">
        <f>('Pivot Table for Data Exchange'!$L$124)*100</f>
        <v>0</v>
      </c>
      <c r="G290" s="171">
        <f>('Pivot Table for Data Exchange'!$L$127)*100</f>
        <v>0</v>
      </c>
      <c r="H290" s="175">
        <f>('Pivot Table for Data Exchange'!$L$130)*100</f>
        <v>0</v>
      </c>
      <c r="I290" s="134"/>
      <c r="J290" s="202"/>
      <c r="K290" s="202"/>
      <c r="L290" s="202"/>
      <c r="M290" s="202"/>
      <c r="N290" s="202"/>
      <c r="O290" s="202"/>
      <c r="P290" s="202"/>
      <c r="Q290" s="168">
        <f t="shared" si="39"/>
        <v>100</v>
      </c>
      <c r="R290" s="168"/>
      <c r="S290" s="217"/>
      <c r="U290" s="217"/>
      <c r="V290" s="217"/>
      <c r="W290" s="217"/>
      <c r="X290" s="217"/>
      <c r="Y290" s="217"/>
      <c r="Z290" s="217"/>
      <c r="AA290" s="217"/>
      <c r="AB290" s="217"/>
      <c r="AC290" s="217"/>
      <c r="AD290" s="217"/>
      <c r="AE290" s="217"/>
      <c r="AF290" s="217"/>
      <c r="AG290" s="217"/>
      <c r="AH290" s="217"/>
      <c r="AI290" s="217"/>
      <c r="AJ290" s="217"/>
      <c r="AK290" s="217"/>
      <c r="AL290" s="217"/>
      <c r="AM290" s="217"/>
      <c r="AN290" s="217"/>
      <c r="AO290" s="217"/>
    </row>
    <row r="291" spans="1:41" ht="15.75" customHeight="1">
      <c r="B291" s="163"/>
      <c r="C291" s="163"/>
      <c r="D291" s="164"/>
      <c r="E291" s="163"/>
      <c r="F291" s="163"/>
      <c r="G291" s="171"/>
      <c r="H291" s="163"/>
      <c r="I291" s="134"/>
      <c r="J291" s="202"/>
      <c r="K291" s="202"/>
      <c r="L291" s="202"/>
      <c r="M291" s="202"/>
      <c r="N291" s="202"/>
      <c r="O291" s="202"/>
      <c r="P291" s="202"/>
      <c r="Q291" s="168">
        <f t="shared" si="39"/>
        <v>0</v>
      </c>
      <c r="R291" s="168"/>
      <c r="S291" s="217"/>
      <c r="U291" s="217"/>
      <c r="V291" s="217"/>
      <c r="W291" s="217"/>
      <c r="X291" s="217"/>
      <c r="Y291" s="217"/>
      <c r="Z291" s="217"/>
      <c r="AA291" s="217"/>
      <c r="AB291" s="217"/>
      <c r="AC291" s="217"/>
      <c r="AD291" s="217"/>
      <c r="AE291" s="217"/>
      <c r="AF291" s="217"/>
      <c r="AG291" s="217"/>
      <c r="AH291" s="217"/>
      <c r="AI291" s="217"/>
      <c r="AJ291" s="217"/>
      <c r="AK291" s="217"/>
      <c r="AL291" s="217"/>
      <c r="AM291" s="217"/>
      <c r="AN291" s="217"/>
      <c r="AO291" s="217"/>
    </row>
    <row r="292" spans="1:41" ht="15.75" customHeight="1">
      <c r="A292" s="134" t="s">
        <v>622</v>
      </c>
      <c r="B292" s="163">
        <f>('Pivot Table for Data Exchange'!$L$151)*100</f>
        <v>0</v>
      </c>
      <c r="C292" s="163">
        <f>('Pivot Table for Data Exchange'!$L$154)*100</f>
        <v>0</v>
      </c>
      <c r="D292" s="164">
        <f t="shared" ref="D292:D293" si="41">SUM(E292:G292)</f>
        <v>0</v>
      </c>
      <c r="E292" s="163">
        <f>('Pivot Table for Data Exchange'!$L$157)*100</f>
        <v>0</v>
      </c>
      <c r="F292" s="163">
        <f>('Pivot Table for Data Exchange'!$L$160)*100</f>
        <v>0</v>
      </c>
      <c r="G292" s="171">
        <f>('Pivot Table for Data Exchange'!$L$163)*100</f>
        <v>0</v>
      </c>
      <c r="H292" s="163">
        <f>('Pivot Table for Data Exchange'!$L$166)*100</f>
        <v>0</v>
      </c>
      <c r="I292" s="134"/>
      <c r="J292" s="202"/>
      <c r="K292" s="202"/>
      <c r="L292" s="202"/>
      <c r="M292" s="202"/>
      <c r="N292" s="202"/>
      <c r="O292" s="202"/>
      <c r="P292" s="202"/>
      <c r="Q292" s="168">
        <f t="shared" si="39"/>
        <v>0</v>
      </c>
      <c r="R292" s="168"/>
      <c r="S292" s="217"/>
      <c r="T292" s="217"/>
      <c r="U292" s="217"/>
      <c r="V292" s="217"/>
      <c r="W292" s="217"/>
      <c r="X292" s="217"/>
      <c r="Y292" s="217"/>
      <c r="Z292" s="217"/>
      <c r="AA292" s="217"/>
      <c r="AB292" s="217"/>
      <c r="AC292" s="217"/>
      <c r="AD292" s="217"/>
      <c r="AE292" s="217"/>
      <c r="AF292" s="217"/>
      <c r="AG292" s="217"/>
      <c r="AH292" s="217"/>
      <c r="AI292" s="217"/>
      <c r="AJ292" s="217"/>
      <c r="AK292" s="217"/>
      <c r="AL292" s="217"/>
      <c r="AM292" s="217"/>
      <c r="AN292" s="217"/>
      <c r="AO292" s="217"/>
    </row>
    <row r="293" spans="1:41" ht="15.75" customHeight="1">
      <c r="A293" s="134" t="s">
        <v>623</v>
      </c>
      <c r="B293" s="163">
        <f>('Pivot Table for Data Exchange'!$L$187)*100</f>
        <v>37.921779545207038</v>
      </c>
      <c r="C293" s="163">
        <f>('Pivot Table for Data Exchange'!$L$190)*100</f>
        <v>20.228204470643615</v>
      </c>
      <c r="D293" s="164">
        <f t="shared" si="41"/>
        <v>41.850015984149344</v>
      </c>
      <c r="E293" s="163">
        <f>('Pivot Table for Data Exchange'!$L$193)*100</f>
        <v>41.850015984149344</v>
      </c>
      <c r="F293" s="175">
        <f>('Pivot Table for Data Exchange'!$L$196)*100</f>
        <v>0</v>
      </c>
      <c r="G293" s="170">
        <f>('Pivot Table for Data Exchange'!$L$199)*100</f>
        <v>0</v>
      </c>
      <c r="H293" s="163">
        <f>('Pivot Table for Data Exchange'!$L$202)*100</f>
        <v>0</v>
      </c>
      <c r="I293" s="134"/>
      <c r="J293" s="202"/>
      <c r="K293" s="202"/>
      <c r="L293" s="202"/>
      <c r="M293" s="202"/>
      <c r="N293" s="202"/>
      <c r="O293" s="202"/>
      <c r="P293" s="202"/>
      <c r="Q293" s="168">
        <f t="shared" si="39"/>
        <v>100</v>
      </c>
      <c r="R293" s="168"/>
      <c r="S293" s="217"/>
      <c r="T293" s="217"/>
      <c r="U293" s="217"/>
      <c r="V293" s="217"/>
      <c r="W293" s="217"/>
      <c r="X293" s="217"/>
      <c r="Y293" s="217"/>
      <c r="Z293" s="217"/>
      <c r="AA293" s="217"/>
      <c r="AB293" s="217"/>
      <c r="AC293" s="217"/>
      <c r="AD293" s="217"/>
      <c r="AE293" s="217"/>
      <c r="AF293" s="217"/>
      <c r="AG293" s="217"/>
      <c r="AH293" s="217"/>
      <c r="AI293" s="217"/>
      <c r="AJ293" s="217"/>
      <c r="AK293" s="217"/>
      <c r="AL293" s="217"/>
      <c r="AM293" s="217"/>
      <c r="AN293" s="217"/>
      <c r="AO293" s="217"/>
    </row>
    <row r="294" spans="1:41" ht="15.75" customHeight="1">
      <c r="A294" s="134" t="s">
        <v>624</v>
      </c>
      <c r="B294" s="163">
        <f>('Pivot Table for Data Exchange'!$L$223)*100</f>
        <v>32.863909586249243</v>
      </c>
      <c r="C294" s="163">
        <f>('Pivot Table for Data Exchange'!$L$226)*100</f>
        <v>0</v>
      </c>
      <c r="D294" s="164">
        <f>SUM(E294:G294)</f>
        <v>67.13609041375075</v>
      </c>
      <c r="E294" s="163">
        <f>('Pivot Table for Data Exchange'!$L$229)*100</f>
        <v>67.13609041375075</v>
      </c>
      <c r="F294" s="163">
        <f>('Pivot Table for Data Exchange'!$L$232)*100</f>
        <v>0</v>
      </c>
      <c r="G294" s="171">
        <f>('Pivot Table for Data Exchange'!$L$235)*100</f>
        <v>0</v>
      </c>
      <c r="H294" s="163">
        <f>('Pivot Table for Data Exchange'!$L$238)*100</f>
        <v>0</v>
      </c>
      <c r="I294" s="134"/>
      <c r="J294" s="202"/>
      <c r="K294" s="202"/>
      <c r="L294" s="202"/>
      <c r="M294" s="202"/>
      <c r="N294" s="202"/>
      <c r="O294" s="202"/>
      <c r="P294" s="202"/>
      <c r="Q294" s="168">
        <f t="shared" si="39"/>
        <v>100</v>
      </c>
      <c r="R294" s="168"/>
      <c r="S294" s="217"/>
      <c r="T294" s="221"/>
      <c r="U294" s="217"/>
      <c r="V294" s="217"/>
      <c r="W294" s="217"/>
      <c r="X294" s="217"/>
      <c r="Y294" s="217"/>
      <c r="Z294" s="217"/>
      <c r="AA294" s="217"/>
      <c r="AB294" s="217"/>
      <c r="AC294" s="217"/>
      <c r="AD294" s="217"/>
      <c r="AE294" s="217"/>
      <c r="AF294" s="217"/>
      <c r="AG294" s="217"/>
      <c r="AH294" s="217"/>
      <c r="AI294" s="217"/>
      <c r="AJ294" s="217"/>
      <c r="AK294" s="217"/>
      <c r="AL294" s="217"/>
      <c r="AM294" s="217"/>
      <c r="AN294" s="217"/>
      <c r="AO294" s="217"/>
    </row>
    <row r="295" spans="1:41" ht="15.75" customHeight="1">
      <c r="A295" s="134" t="s">
        <v>625</v>
      </c>
      <c r="B295" s="163">
        <f>('Pivot Table for Data Exchange'!$L$259)*100</f>
        <v>16.108814964736009</v>
      </c>
      <c r="C295" s="163">
        <f>('Pivot Table for Data Exchange'!$L$262)*100</f>
        <v>6.40063351266509</v>
      </c>
      <c r="D295" s="164">
        <f>SUM(E295:G295)</f>
        <v>77.490551522598892</v>
      </c>
      <c r="E295" s="163">
        <f>('Pivot Table for Data Exchange'!$L$265)*100</f>
        <v>75.316240022304598</v>
      </c>
      <c r="F295" s="175">
        <f>('Pivot Table for Data Exchange'!$L$268)*100</f>
        <v>2.174311500294297</v>
      </c>
      <c r="G295" s="170">
        <f>('Pivot Table for Data Exchange'!$L$271)*100</f>
        <v>0</v>
      </c>
      <c r="H295" s="163">
        <f>('Pivot Table for Data Exchange'!$L$274)*100</f>
        <v>0</v>
      </c>
      <c r="I295" s="134"/>
      <c r="J295" s="202"/>
      <c r="K295" s="202"/>
      <c r="L295" s="202"/>
      <c r="M295" s="202"/>
      <c r="N295" s="202"/>
      <c r="O295" s="202"/>
      <c r="P295" s="202"/>
      <c r="Q295" s="168">
        <f t="shared" si="39"/>
        <v>100</v>
      </c>
      <c r="R295" s="168"/>
      <c r="S295" s="217"/>
      <c r="U295" s="217"/>
      <c r="V295" s="217"/>
      <c r="W295" s="217"/>
      <c r="X295" s="217"/>
      <c r="Y295" s="217"/>
      <c r="Z295" s="217"/>
      <c r="AA295" s="217"/>
      <c r="AB295" s="217"/>
      <c r="AC295" s="217"/>
      <c r="AD295" s="217"/>
      <c r="AE295" s="217"/>
      <c r="AF295" s="217"/>
      <c r="AG295" s="217"/>
      <c r="AH295" s="217"/>
      <c r="AI295" s="217"/>
      <c r="AJ295" s="217"/>
      <c r="AK295" s="217"/>
      <c r="AL295" s="217"/>
      <c r="AM295" s="217"/>
      <c r="AN295" s="217"/>
      <c r="AO295" s="217"/>
    </row>
    <row r="296" spans="1:41" ht="9.75" customHeight="1">
      <c r="B296" s="163"/>
      <c r="C296" s="163"/>
      <c r="D296" s="164"/>
      <c r="E296" s="163"/>
      <c r="F296" s="163"/>
      <c r="G296" s="171"/>
      <c r="H296" s="163"/>
      <c r="I296" s="134"/>
      <c r="J296" s="202"/>
      <c r="K296" s="202"/>
      <c r="L296" s="202"/>
      <c r="M296" s="202"/>
      <c r="N296" s="202"/>
      <c r="O296" s="202"/>
      <c r="P296" s="202"/>
      <c r="Q296" s="168">
        <f t="shared" si="39"/>
        <v>0</v>
      </c>
      <c r="R296" s="168"/>
      <c r="S296" s="217"/>
      <c r="U296" s="217"/>
      <c r="V296" s="217"/>
      <c r="W296" s="217"/>
      <c r="X296" s="217"/>
      <c r="Y296" s="217"/>
      <c r="Z296" s="217"/>
      <c r="AA296" s="217"/>
      <c r="AB296" s="217"/>
      <c r="AC296" s="217"/>
      <c r="AD296" s="217"/>
      <c r="AE296" s="217"/>
      <c r="AF296" s="217"/>
      <c r="AG296" s="217"/>
      <c r="AH296" s="217"/>
      <c r="AI296" s="217"/>
      <c r="AJ296" s="217"/>
      <c r="AK296" s="217"/>
      <c r="AL296" s="217"/>
      <c r="AM296" s="217"/>
      <c r="AN296" s="217"/>
      <c r="AO296" s="217"/>
    </row>
    <row r="297" spans="1:41" ht="15.75" customHeight="1">
      <c r="A297" s="134" t="s">
        <v>672</v>
      </c>
      <c r="B297" s="163">
        <f>('Pivot Table for Data Exchange'!$L$295)*100</f>
        <v>53.229677257949916</v>
      </c>
      <c r="C297" s="163">
        <f>('Pivot Table for Data Exchange'!$L$298)*100</f>
        <v>7.4048712423383094</v>
      </c>
      <c r="D297" s="164">
        <f>SUM(E297:G297)</f>
        <v>39.365451499711781</v>
      </c>
      <c r="E297" s="163">
        <f>('Pivot Table for Data Exchange'!$L$301)*100</f>
        <v>39.365451499711781</v>
      </c>
      <c r="F297" s="163">
        <f>('Pivot Table for Data Exchange'!$L$304)*100</f>
        <v>0</v>
      </c>
      <c r="G297" s="171">
        <f>('Pivot Table for Data Exchange'!$L$307)*100</f>
        <v>0</v>
      </c>
      <c r="H297" s="163">
        <f>('Pivot Table for Data Exchange'!$L$310)*100</f>
        <v>0</v>
      </c>
      <c r="I297" s="209"/>
      <c r="J297" s="202"/>
      <c r="K297" s="202"/>
      <c r="L297" s="202"/>
      <c r="M297" s="202"/>
      <c r="N297" s="202"/>
      <c r="O297" s="202"/>
      <c r="P297" s="202"/>
      <c r="Q297" s="168">
        <f t="shared" si="39"/>
        <v>100</v>
      </c>
      <c r="R297" s="168"/>
      <c r="S297" s="217"/>
      <c r="T297" s="217"/>
      <c r="U297" s="217"/>
      <c r="V297" s="217"/>
      <c r="W297" s="217"/>
      <c r="X297" s="217"/>
      <c r="Y297" s="217"/>
      <c r="Z297" s="217"/>
      <c r="AA297" s="217"/>
      <c r="AB297" s="217"/>
      <c r="AC297" s="217"/>
      <c r="AD297" s="217"/>
      <c r="AE297" s="217"/>
      <c r="AF297" s="217"/>
      <c r="AG297" s="217"/>
      <c r="AH297" s="217"/>
      <c r="AI297" s="217"/>
      <c r="AJ297" s="217"/>
      <c r="AK297" s="217"/>
      <c r="AL297" s="217"/>
      <c r="AM297" s="217"/>
      <c r="AN297" s="217"/>
      <c r="AO297" s="217"/>
    </row>
    <row r="298" spans="1:41" ht="15.75" customHeight="1">
      <c r="A298" s="134" t="s">
        <v>627</v>
      </c>
      <c r="B298" s="163">
        <f>('Pivot Table for Data Exchange'!$L$331)*100</f>
        <v>21.831055233264973</v>
      </c>
      <c r="C298" s="163">
        <f>('Pivot Table for Data Exchange'!$L$334)*100</f>
        <v>2.3562696445552835</v>
      </c>
      <c r="D298" s="164">
        <f>SUM(E298:G298)</f>
        <v>75.812675122179741</v>
      </c>
      <c r="E298" s="163">
        <f>('Pivot Table for Data Exchange'!$L$337)*100</f>
        <v>75.812675122179741</v>
      </c>
      <c r="F298" s="175">
        <f>('Pivot Table for Data Exchange'!$L$340)*100</f>
        <v>0</v>
      </c>
      <c r="G298" s="171">
        <f>('Pivot Table for Data Exchange'!$L$343)*100</f>
        <v>0</v>
      </c>
      <c r="H298" s="163">
        <f>('Pivot Table for Data Exchange'!$L$346)*100</f>
        <v>0</v>
      </c>
      <c r="I298" s="134"/>
      <c r="J298" s="202"/>
      <c r="K298" s="202"/>
      <c r="L298" s="202"/>
      <c r="M298" s="202"/>
      <c r="N298" s="202"/>
      <c r="O298" s="202"/>
      <c r="P298" s="202"/>
      <c r="Q298" s="168">
        <f t="shared" si="39"/>
        <v>100</v>
      </c>
      <c r="R298" s="168"/>
      <c r="S298" s="217"/>
      <c r="T298" s="217"/>
      <c r="U298" s="217"/>
      <c r="V298" s="217"/>
      <c r="W298" s="217"/>
      <c r="X298" s="217"/>
      <c r="Y298" s="217"/>
      <c r="Z298" s="217"/>
      <c r="AA298" s="217"/>
      <c r="AB298" s="217"/>
      <c r="AC298" s="217"/>
      <c r="AD298" s="217"/>
      <c r="AE298" s="217"/>
      <c r="AF298" s="217"/>
      <c r="AG298" s="217"/>
      <c r="AH298" s="217"/>
      <c r="AI298" s="217"/>
      <c r="AJ298" s="217"/>
      <c r="AK298" s="217"/>
      <c r="AL298" s="217"/>
      <c r="AM298" s="217"/>
      <c r="AN298" s="217"/>
      <c r="AO298" s="217"/>
    </row>
    <row r="299" spans="1:41" ht="15.75" customHeight="1">
      <c r="A299" s="134" t="s">
        <v>628</v>
      </c>
      <c r="B299" s="163">
        <f>('Pivot Table for Data Exchange'!$L$367)*100</f>
        <v>0</v>
      </c>
      <c r="C299" s="163">
        <f>('Pivot Table for Data Exchange'!$L$370)*100</f>
        <v>0</v>
      </c>
      <c r="D299" s="164">
        <f>SUM(E299:G299)</f>
        <v>0</v>
      </c>
      <c r="E299" s="163">
        <f>('Pivot Table for Data Exchange'!$L$373)*100</f>
        <v>0</v>
      </c>
      <c r="F299" s="163">
        <f>('Pivot Table for Data Exchange'!$L$376)*100</f>
        <v>0</v>
      </c>
      <c r="G299" s="171">
        <f>('Pivot Table for Data Exchange'!$L$379)*100</f>
        <v>0</v>
      </c>
      <c r="H299" s="175">
        <f>('Pivot Table for Data Exchange'!$L$382)*100</f>
        <v>0</v>
      </c>
      <c r="I299" s="134"/>
      <c r="J299" s="202"/>
      <c r="K299" s="202"/>
      <c r="L299" s="202"/>
      <c r="M299" s="202"/>
      <c r="N299" s="202"/>
      <c r="O299" s="202"/>
      <c r="P299" s="202"/>
      <c r="Q299" s="168">
        <f t="shared" si="39"/>
        <v>0</v>
      </c>
      <c r="R299" s="168"/>
      <c r="S299" s="217"/>
      <c r="T299" s="221"/>
      <c r="U299" s="217"/>
      <c r="V299" s="217"/>
      <c r="W299" s="217"/>
      <c r="X299" s="217"/>
      <c r="Y299" s="217"/>
      <c r="Z299" s="217"/>
      <c r="AA299" s="217"/>
      <c r="AB299" s="217"/>
      <c r="AC299" s="217"/>
      <c r="AD299" s="217"/>
      <c r="AE299" s="217"/>
      <c r="AF299" s="217"/>
      <c r="AG299" s="217"/>
      <c r="AH299" s="217"/>
      <c r="AI299" s="217"/>
      <c r="AJ299" s="217"/>
      <c r="AK299" s="217"/>
      <c r="AL299" s="217"/>
      <c r="AM299" s="217"/>
      <c r="AN299" s="217"/>
      <c r="AO299" s="217"/>
    </row>
    <row r="300" spans="1:41" ht="15.75" customHeight="1">
      <c r="A300" s="134" t="s">
        <v>629</v>
      </c>
      <c r="B300" s="163">
        <f>('Pivot Table for Data Exchange'!$L$403)*100</f>
        <v>19.260359127644232</v>
      </c>
      <c r="C300" s="163">
        <f>('Pivot Table for Data Exchange'!$L$406)*100</f>
        <v>5.358952883105518</v>
      </c>
      <c r="D300" s="164">
        <f>SUM(E300:G300)</f>
        <v>75.380687989250248</v>
      </c>
      <c r="E300" s="163">
        <f>('Pivot Table for Data Exchange'!$L$409)*100</f>
        <v>75.380687989250248</v>
      </c>
      <c r="F300" s="163">
        <f>('Pivot Table for Data Exchange'!$L$412)*100</f>
        <v>0</v>
      </c>
      <c r="G300" s="171">
        <f>('Pivot Table for Data Exchange'!$L$415)*100</f>
        <v>0</v>
      </c>
      <c r="H300" s="163">
        <f>('Pivot Table for Data Exchange'!$L$418)*100</f>
        <v>0</v>
      </c>
      <c r="I300" s="134"/>
      <c r="J300" s="202"/>
      <c r="K300" s="202"/>
      <c r="L300" s="202"/>
      <c r="M300" s="202"/>
      <c r="N300" s="202"/>
      <c r="O300" s="202"/>
      <c r="P300" s="202"/>
      <c r="Q300" s="168">
        <f t="shared" si="39"/>
        <v>100</v>
      </c>
      <c r="R300" s="168"/>
      <c r="S300" s="217"/>
      <c r="T300" s="217"/>
      <c r="U300" s="217"/>
      <c r="V300" s="217"/>
      <c r="W300" s="217"/>
      <c r="X300" s="217"/>
      <c r="Y300" s="217"/>
      <c r="Z300" s="217"/>
      <c r="AA300" s="217"/>
      <c r="AB300" s="217"/>
      <c r="AC300" s="217"/>
      <c r="AD300" s="217"/>
      <c r="AE300" s="217"/>
      <c r="AF300" s="217"/>
      <c r="AG300" s="217"/>
      <c r="AH300" s="217"/>
      <c r="AI300" s="217"/>
      <c r="AJ300" s="217"/>
      <c r="AK300" s="217"/>
      <c r="AL300" s="217"/>
      <c r="AM300" s="217"/>
      <c r="AN300" s="217"/>
      <c r="AO300" s="217"/>
    </row>
    <row r="301" spans="1:41" ht="11.25" customHeight="1">
      <c r="B301" s="163"/>
      <c r="C301" s="163"/>
      <c r="D301" s="164"/>
      <c r="E301" s="163"/>
      <c r="F301" s="163"/>
      <c r="G301" s="171"/>
      <c r="H301" s="163"/>
      <c r="I301" s="134"/>
      <c r="J301" s="202"/>
      <c r="K301" s="202"/>
      <c r="L301" s="202"/>
      <c r="M301" s="202"/>
      <c r="N301" s="202"/>
      <c r="O301" s="202"/>
      <c r="P301" s="202"/>
      <c r="Q301" s="168">
        <f t="shared" si="39"/>
        <v>0</v>
      </c>
      <c r="R301" s="168"/>
      <c r="S301" s="217"/>
      <c r="T301" s="217"/>
      <c r="U301" s="217"/>
      <c r="V301" s="217"/>
      <c r="W301" s="217"/>
      <c r="X301" s="217"/>
      <c r="Y301" s="217"/>
      <c r="Z301" s="217"/>
      <c r="AA301" s="217"/>
      <c r="AB301" s="217"/>
      <c r="AC301" s="217"/>
      <c r="AD301" s="217"/>
      <c r="AE301" s="217"/>
      <c r="AF301" s="217"/>
      <c r="AG301" s="217"/>
      <c r="AH301" s="217"/>
      <c r="AI301" s="217"/>
      <c r="AJ301" s="217"/>
      <c r="AK301" s="217"/>
      <c r="AL301" s="217"/>
      <c r="AM301" s="217"/>
      <c r="AN301" s="217"/>
      <c r="AO301" s="217"/>
    </row>
    <row r="302" spans="1:41" ht="15.75" customHeight="1">
      <c r="A302" s="134" t="s">
        <v>630</v>
      </c>
      <c r="B302" s="163">
        <f>('Pivot Table for Data Exchange'!$L$439)*100</f>
        <v>12.707357124099461</v>
      </c>
      <c r="C302" s="163">
        <f>('Pivot Table for Data Exchange'!$L$442)*100</f>
        <v>8.8462353786136223</v>
      </c>
      <c r="D302" s="164">
        <f>SUM(E302:G302)</f>
        <v>78.31083240260584</v>
      </c>
      <c r="E302" s="163">
        <f>('Pivot Table for Data Exchange'!$L$445)*100</f>
        <v>55.749206640490293</v>
      </c>
      <c r="F302" s="163">
        <f>('Pivot Table for Data Exchange'!$L$448)*100</f>
        <v>7.4036341086056168E-2</v>
      </c>
      <c r="G302" s="171">
        <f>('Pivot Table for Data Exchange'!$L$451)*100</f>
        <v>22.487589421029487</v>
      </c>
      <c r="H302" s="163">
        <f>('Pivot Table for Data Exchange'!$L$454)*100</f>
        <v>0.13557509468109005</v>
      </c>
      <c r="I302" s="134"/>
      <c r="J302" s="202"/>
      <c r="K302" s="202"/>
      <c r="L302" s="202"/>
      <c r="M302" s="202"/>
      <c r="N302" s="202"/>
      <c r="O302" s="202"/>
      <c r="P302" s="202"/>
      <c r="Q302" s="168">
        <f t="shared" si="39"/>
        <v>100.00000000000001</v>
      </c>
      <c r="R302" s="168"/>
      <c r="S302" s="217"/>
      <c r="T302" s="217"/>
      <c r="U302" s="217"/>
      <c r="V302" s="217"/>
      <c r="W302" s="217"/>
      <c r="X302" s="217"/>
      <c r="Y302" s="217"/>
      <c r="Z302" s="217"/>
      <c r="AA302" s="217"/>
      <c r="AB302" s="217"/>
      <c r="AC302" s="217"/>
      <c r="AD302" s="217"/>
      <c r="AE302" s="217"/>
      <c r="AF302" s="217"/>
      <c r="AG302" s="217"/>
      <c r="AH302" s="217"/>
      <c r="AI302" s="217"/>
      <c r="AJ302" s="217"/>
      <c r="AK302" s="217"/>
      <c r="AL302" s="217"/>
      <c r="AM302" s="217"/>
      <c r="AN302" s="217"/>
      <c r="AO302" s="217"/>
    </row>
    <row r="303" spans="1:41" ht="15.75" customHeight="1">
      <c r="A303" s="134" t="s">
        <v>631</v>
      </c>
      <c r="B303" s="163">
        <f>('Pivot Table for Data Exchange'!$L$475)*100</f>
        <v>16.256549300387395</v>
      </c>
      <c r="C303" s="163">
        <f>('Pivot Table for Data Exchange'!$L$478)*100</f>
        <v>6.7488864295786319</v>
      </c>
      <c r="D303" s="164">
        <f>SUM(E303:G303)</f>
        <v>76.994564270033976</v>
      </c>
      <c r="E303" s="163">
        <f>('Pivot Table for Data Exchange'!$L$481)*100</f>
        <v>73.790871720229205</v>
      </c>
      <c r="F303" s="163">
        <f>('Pivot Table for Data Exchange'!$L$484)*100</f>
        <v>0.47769861472842362</v>
      </c>
      <c r="G303" s="171">
        <f>('Pivot Table for Data Exchange'!$L$487)*100</f>
        <v>2.7259939350763429</v>
      </c>
      <c r="H303" s="163">
        <f>('Pivot Table for Data Exchange'!$L$490)*100</f>
        <v>0</v>
      </c>
      <c r="I303" s="134"/>
      <c r="J303" s="202"/>
      <c r="K303" s="202"/>
      <c r="L303" s="202"/>
      <c r="M303" s="202"/>
      <c r="N303" s="202"/>
      <c r="O303" s="202"/>
      <c r="P303" s="202"/>
      <c r="Q303" s="168">
        <f t="shared" si="39"/>
        <v>100</v>
      </c>
      <c r="R303" s="168"/>
      <c r="S303" s="217"/>
      <c r="T303" s="217"/>
      <c r="U303" s="217"/>
      <c r="V303" s="217"/>
      <c r="W303" s="217"/>
      <c r="X303" s="217"/>
      <c r="Y303" s="217"/>
      <c r="Z303" s="217"/>
      <c r="AA303" s="217"/>
      <c r="AB303" s="217"/>
      <c r="AC303" s="217"/>
      <c r="AD303" s="217"/>
      <c r="AE303" s="217"/>
      <c r="AF303" s="217"/>
      <c r="AG303" s="217"/>
      <c r="AH303" s="217"/>
      <c r="AI303" s="217"/>
      <c r="AJ303" s="217"/>
      <c r="AK303" s="217"/>
      <c r="AL303" s="217"/>
      <c r="AM303" s="217"/>
      <c r="AN303" s="217"/>
      <c r="AO303" s="217"/>
    </row>
    <row r="304" spans="1:41" ht="15.75" customHeight="1">
      <c r="A304" s="134" t="s">
        <v>632</v>
      </c>
      <c r="B304" s="163">
        <f>('Pivot Table for Data Exchange'!$L$511)*100</f>
        <v>17.623297565002062</v>
      </c>
      <c r="C304" s="163">
        <f>('Pivot Table for Data Exchange'!$L$514)*100</f>
        <v>10.787956562113083</v>
      </c>
      <c r="D304" s="164">
        <f>SUM(E304:G304)</f>
        <v>71.588745872884857</v>
      </c>
      <c r="E304" s="163">
        <f>('Pivot Table for Data Exchange'!$L$517)*100</f>
        <v>69.145235761452739</v>
      </c>
      <c r="F304" s="163">
        <f>('Pivot Table for Data Exchange'!$L$520)*100</f>
        <v>1.7407397853900122</v>
      </c>
      <c r="G304" s="171">
        <f>('Pivot Table for Data Exchange'!$L$523)*100</f>
        <v>0.70277032604209655</v>
      </c>
      <c r="H304" s="163">
        <f>('Pivot Table for Data Exchange'!$L$526)*100</f>
        <v>0</v>
      </c>
      <c r="I304" s="134"/>
      <c r="J304" s="202"/>
      <c r="K304" s="202"/>
      <c r="L304" s="202"/>
      <c r="M304" s="202"/>
      <c r="N304" s="202"/>
      <c r="O304" s="202"/>
      <c r="P304" s="202"/>
      <c r="Q304" s="168">
        <f t="shared" si="39"/>
        <v>100</v>
      </c>
      <c r="R304" s="168"/>
      <c r="S304" s="217"/>
      <c r="T304" s="217"/>
      <c r="U304" s="217"/>
      <c r="V304" s="217"/>
      <c r="W304" s="217"/>
      <c r="X304" s="217"/>
      <c r="Y304" s="217"/>
      <c r="Z304" s="217"/>
      <c r="AA304" s="217"/>
      <c r="AB304" s="217"/>
      <c r="AC304" s="217"/>
      <c r="AD304" s="217"/>
      <c r="AE304" s="217"/>
      <c r="AF304" s="217"/>
      <c r="AG304" s="217"/>
      <c r="AH304" s="217"/>
      <c r="AI304" s="217"/>
      <c r="AJ304" s="217"/>
      <c r="AK304" s="217"/>
      <c r="AL304" s="217"/>
      <c r="AM304" s="217"/>
      <c r="AN304" s="217"/>
      <c r="AO304" s="217"/>
    </row>
    <row r="305" spans="1:41" ht="15.75" customHeight="1">
      <c r="A305" s="140" t="s">
        <v>633</v>
      </c>
      <c r="B305" s="176">
        <f>('Pivot Table for Data Exchange'!$L$547)*100</f>
        <v>0</v>
      </c>
      <c r="C305" s="176">
        <f>('Pivot Table for Data Exchange'!$L$550)*100</f>
        <v>0</v>
      </c>
      <c r="D305" s="177">
        <f>SUM(E305:G305)</f>
        <v>0</v>
      </c>
      <c r="E305" s="176">
        <f>('Pivot Table for Data Exchange'!$L$553)*100</f>
        <v>0</v>
      </c>
      <c r="F305" s="176">
        <f>('Pivot Table for Data Exchange'!$L$556)*100</f>
        <v>0</v>
      </c>
      <c r="G305" s="178">
        <f>('Pivot Table for Data Exchange'!$L$559)*100</f>
        <v>0</v>
      </c>
      <c r="H305" s="176">
        <f>('Pivot Table for Data Exchange'!$L$562)*100</f>
        <v>0</v>
      </c>
      <c r="I305" s="134"/>
      <c r="J305" s="202"/>
      <c r="K305" s="202"/>
      <c r="L305" s="202"/>
      <c r="M305" s="202"/>
      <c r="N305" s="202"/>
      <c r="O305" s="202"/>
      <c r="P305" s="202"/>
      <c r="Q305" s="168">
        <f t="shared" si="39"/>
        <v>0</v>
      </c>
      <c r="R305" s="168"/>
      <c r="S305" s="217"/>
      <c r="T305" s="217"/>
      <c r="U305" s="217"/>
      <c r="V305" s="217"/>
      <c r="W305" s="217"/>
      <c r="X305" s="217"/>
      <c r="Y305" s="217"/>
      <c r="Z305" s="217"/>
      <c r="AA305" s="217"/>
      <c r="AB305" s="217"/>
      <c r="AC305" s="217"/>
      <c r="AD305" s="217"/>
      <c r="AE305" s="217"/>
      <c r="AF305" s="217"/>
      <c r="AG305" s="217"/>
      <c r="AH305" s="217"/>
      <c r="AI305" s="217"/>
      <c r="AJ305" s="217"/>
      <c r="AK305" s="217"/>
      <c r="AL305" s="217"/>
      <c r="AM305" s="217"/>
      <c r="AN305" s="217"/>
      <c r="AO305" s="217"/>
    </row>
    <row r="306" spans="1:41" s="207" customFormat="1" ht="13.5" customHeight="1">
      <c r="A306" s="182" t="s">
        <v>658</v>
      </c>
      <c r="B306" s="183"/>
      <c r="C306" s="183"/>
      <c r="D306" s="184"/>
      <c r="E306" s="183"/>
      <c r="F306" s="184"/>
      <c r="G306" s="184"/>
      <c r="H306" s="183"/>
      <c r="I306" s="192"/>
      <c r="J306" s="183"/>
      <c r="K306" s="183"/>
      <c r="L306" s="184"/>
      <c r="M306" s="183"/>
      <c r="N306" s="184"/>
      <c r="O306" s="184"/>
      <c r="P306" s="183"/>
      <c r="Q306" s="168">
        <f t="shared" si="39"/>
        <v>0</v>
      </c>
      <c r="R306" s="203"/>
      <c r="S306" s="220"/>
      <c r="T306" s="220"/>
      <c r="U306" s="220"/>
      <c r="V306" s="220"/>
      <c r="W306" s="220"/>
      <c r="X306" s="220"/>
      <c r="Y306" s="220"/>
      <c r="Z306" s="220"/>
      <c r="AA306" s="220"/>
      <c r="AB306" s="220"/>
      <c r="AC306" s="220"/>
      <c r="AD306" s="220"/>
      <c r="AE306" s="220"/>
      <c r="AF306" s="220"/>
      <c r="AG306" s="220"/>
      <c r="AH306" s="220"/>
      <c r="AI306" s="220"/>
      <c r="AJ306" s="220"/>
      <c r="AK306" s="220"/>
      <c r="AL306" s="220"/>
      <c r="AM306" s="220"/>
      <c r="AN306" s="220"/>
      <c r="AO306" s="220"/>
    </row>
    <row r="307" spans="1:41" s="207" customFormat="1" ht="24" customHeight="1">
      <c r="A307" s="633" t="s">
        <v>673</v>
      </c>
      <c r="B307" s="634"/>
      <c r="C307" s="634"/>
      <c r="D307" s="634"/>
      <c r="E307" s="634"/>
      <c r="F307" s="634"/>
      <c r="G307" s="634"/>
      <c r="H307" s="634"/>
      <c r="I307" s="192"/>
      <c r="J307" s="181"/>
      <c r="K307" s="181"/>
      <c r="L307" s="181"/>
      <c r="M307" s="181"/>
      <c r="N307" s="181"/>
      <c r="O307" s="181"/>
      <c r="P307" s="194"/>
      <c r="Q307" s="168">
        <f t="shared" si="39"/>
        <v>0</v>
      </c>
      <c r="R307" s="204"/>
    </row>
    <row r="308" spans="1:41" s="207" customFormat="1" ht="13.5" customHeight="1">
      <c r="A308" s="192"/>
      <c r="B308" s="181"/>
      <c r="C308" s="181"/>
      <c r="D308" s="181"/>
      <c r="E308" s="181"/>
      <c r="F308" s="181"/>
      <c r="G308" s="181"/>
      <c r="H308" s="181"/>
      <c r="I308" s="192"/>
      <c r="J308" s="181"/>
      <c r="K308" s="181"/>
      <c r="L308" s="181"/>
      <c r="M308" s="181"/>
      <c r="N308" s="181"/>
      <c r="O308" s="181"/>
      <c r="P308" s="181"/>
      <c r="Q308" s="168">
        <f t="shared" si="39"/>
        <v>0</v>
      </c>
      <c r="R308" s="204"/>
    </row>
    <row r="309" spans="1:41" s="207" customFormat="1">
      <c r="A309" s="181"/>
      <c r="B309" s="181"/>
      <c r="C309" s="181"/>
      <c r="D309" s="181"/>
      <c r="E309" s="181"/>
      <c r="F309" s="181"/>
      <c r="G309" s="181"/>
      <c r="H309" s="187" t="s">
        <v>992</v>
      </c>
      <c r="I309" s="208"/>
      <c r="J309" s="181"/>
      <c r="K309" s="181"/>
      <c r="L309" s="181"/>
      <c r="M309" s="181"/>
      <c r="N309" s="181"/>
      <c r="O309" s="181"/>
      <c r="P309" s="181"/>
      <c r="Q309" s="168">
        <f t="shared" si="39"/>
        <v>0</v>
      </c>
      <c r="R309" s="204"/>
    </row>
    <row r="310" spans="1:41" ht="18">
      <c r="A310" s="129" t="s">
        <v>677</v>
      </c>
      <c r="B310" s="130"/>
      <c r="C310" s="130"/>
      <c r="D310" s="130"/>
      <c r="E310" s="130"/>
      <c r="F310" s="130"/>
      <c r="G310" s="130"/>
      <c r="H310" s="130"/>
      <c r="Q310" s="168">
        <f t="shared" si="39"/>
        <v>0</v>
      </c>
    </row>
    <row r="311" spans="1:41">
      <c r="A311" s="135"/>
      <c r="B311" s="131"/>
      <c r="C311" s="131"/>
      <c r="D311" s="131"/>
      <c r="E311" s="131"/>
      <c r="F311" s="131"/>
      <c r="G311" s="131"/>
      <c r="H311" s="131"/>
      <c r="Q311" s="168">
        <f t="shared" si="39"/>
        <v>0</v>
      </c>
    </row>
    <row r="312" spans="1:41" ht="15.75">
      <c r="A312" s="137" t="s">
        <v>639</v>
      </c>
      <c r="B312" s="131"/>
      <c r="C312" s="131"/>
      <c r="D312" s="131"/>
      <c r="E312" s="131"/>
      <c r="F312" s="131"/>
      <c r="G312" s="131"/>
      <c r="H312" s="131"/>
      <c r="Q312" s="168">
        <f t="shared" si="39"/>
        <v>0</v>
      </c>
    </row>
    <row r="313" spans="1:41" ht="15.75">
      <c r="A313" s="137" t="s">
        <v>971</v>
      </c>
      <c r="B313" s="131"/>
      <c r="C313" s="131"/>
      <c r="D313" s="131"/>
      <c r="E313" s="131"/>
      <c r="F313" s="131"/>
      <c r="G313" s="131"/>
      <c r="H313" s="131"/>
      <c r="Q313" s="168">
        <f t="shared" si="39"/>
        <v>0</v>
      </c>
    </row>
    <row r="314" spans="1:41">
      <c r="A314" s="140"/>
      <c r="B314" s="141"/>
      <c r="C314" s="141"/>
      <c r="D314" s="141"/>
      <c r="E314" s="141"/>
      <c r="F314" s="141"/>
      <c r="G314" s="141"/>
      <c r="H314" s="141"/>
      <c r="Q314" s="168">
        <f t="shared" si="39"/>
        <v>0</v>
      </c>
    </row>
    <row r="315" spans="1:41">
      <c r="A315" s="145"/>
      <c r="B315" s="146" t="s">
        <v>641</v>
      </c>
      <c r="C315" s="146"/>
      <c r="D315" s="146"/>
      <c r="E315" s="146"/>
      <c r="F315" s="146"/>
      <c r="G315" s="146"/>
      <c r="H315" s="147"/>
      <c r="Q315" s="168">
        <f t="shared" si="39"/>
        <v>0</v>
      </c>
    </row>
    <row r="316" spans="1:41">
      <c r="A316" s="145"/>
      <c r="B316" s="146" t="s">
        <v>642</v>
      </c>
      <c r="C316" s="146"/>
      <c r="D316" s="639" t="s">
        <v>643</v>
      </c>
      <c r="E316" s="637"/>
      <c r="F316" s="637"/>
      <c r="G316" s="637"/>
      <c r="H316" s="153" t="s">
        <v>533</v>
      </c>
      <c r="Q316" s="168">
        <f t="shared" si="39"/>
        <v>0</v>
      </c>
    </row>
    <row r="317" spans="1:41" ht="36">
      <c r="A317" s="145"/>
      <c r="B317" s="154" t="s">
        <v>644</v>
      </c>
      <c r="C317" s="155" t="s">
        <v>645</v>
      </c>
      <c r="D317" s="156" t="s">
        <v>646</v>
      </c>
      <c r="E317" s="157" t="s">
        <v>8</v>
      </c>
      <c r="F317" s="154" t="s">
        <v>647</v>
      </c>
      <c r="G317" s="158" t="s">
        <v>656</v>
      </c>
      <c r="H317" s="159" t="s">
        <v>649</v>
      </c>
      <c r="Q317" s="168">
        <f t="shared" si="39"/>
        <v>0</v>
      </c>
    </row>
    <row r="318" spans="1:41" ht="15.75" customHeight="1">
      <c r="A318" s="189" t="s">
        <v>618</v>
      </c>
      <c r="B318" s="216">
        <f>('Pivot Table for Data Exchange'!$M$7)*100</f>
        <v>52.362557886592732</v>
      </c>
      <c r="C318" s="163">
        <f>('Pivot Table for Data Exchange'!$M$10)*100</f>
        <v>2.5945247412623482</v>
      </c>
      <c r="D318" s="164">
        <f>SUM(E318:G318)</f>
        <v>44.934152248746955</v>
      </c>
      <c r="E318" s="163">
        <f>('Pivot Table for Data Exchange'!$M$13)*100</f>
        <v>44.561603668860656</v>
      </c>
      <c r="F318" s="163">
        <f>('Pivot Table for Data Exchange'!$M$16)*100</f>
        <v>0.31844634067030714</v>
      </c>
      <c r="G318" s="167">
        <f>('Pivot Table for Data Exchange'!$M$19)*100</f>
        <v>5.4102239215994073E-2</v>
      </c>
      <c r="H318" s="163">
        <f>('Pivot Table for Data Exchange'!$M$22)*100</f>
        <v>0.10876512339795701</v>
      </c>
      <c r="I318" s="134"/>
      <c r="J318" s="202"/>
      <c r="K318" s="202"/>
      <c r="L318" s="202"/>
      <c r="M318" s="202"/>
      <c r="N318" s="202"/>
      <c r="O318" s="202"/>
      <c r="P318" s="202"/>
      <c r="Q318" s="168">
        <f t="shared" si="39"/>
        <v>99.999999999999986</v>
      </c>
      <c r="R318" s="168"/>
      <c r="S318" s="217"/>
      <c r="T318" s="217"/>
      <c r="U318" s="217"/>
      <c r="V318" s="217"/>
      <c r="W318" s="217"/>
      <c r="X318" s="217"/>
      <c r="Y318" s="217"/>
      <c r="Z318" s="217"/>
      <c r="AA318" s="217"/>
      <c r="AB318" s="217"/>
      <c r="AC318" s="217"/>
      <c r="AD318" s="217"/>
      <c r="AE318" s="217"/>
      <c r="AF318" s="217"/>
      <c r="AG318" s="217"/>
      <c r="AH318" s="217"/>
      <c r="AI318" s="217"/>
      <c r="AJ318" s="217"/>
      <c r="AK318" s="217"/>
      <c r="AL318" s="217"/>
      <c r="AM318" s="217"/>
      <c r="AN318" s="217"/>
      <c r="AO318" s="217"/>
    </row>
    <row r="319" spans="1:41" ht="15.75" customHeight="1">
      <c r="A319" s="134" t="s">
        <v>619</v>
      </c>
      <c r="B319" s="163">
        <f>('Pivot Table for Data Exchange'!$M$43)*100</f>
        <v>36.113881425336444</v>
      </c>
      <c r="C319" s="163">
        <f>('Pivot Table for Data Exchange'!$M$46)*100</f>
        <v>4.3388987316523719</v>
      </c>
      <c r="D319" s="164">
        <f t="shared" ref="D319:D321" si="42">SUM(E319:G319)</f>
        <v>59.547219843011185</v>
      </c>
      <c r="E319" s="163">
        <f>('Pivot Table for Data Exchange'!$M$49)*100</f>
        <v>59.501460770395056</v>
      </c>
      <c r="F319" s="163">
        <f>('Pivot Table for Data Exchange'!$M$52)*100</f>
        <v>4.5759072616128313E-2</v>
      </c>
      <c r="G319" s="171">
        <f>('Pivot Table for Data Exchange'!$M$55)*100</f>
        <v>0</v>
      </c>
      <c r="H319" s="163">
        <f>('Pivot Table for Data Exchange'!$M$58)*100</f>
        <v>0</v>
      </c>
      <c r="I319" s="134"/>
      <c r="J319" s="202"/>
      <c r="K319" s="202"/>
      <c r="L319" s="202"/>
      <c r="M319" s="202"/>
      <c r="N319" s="202"/>
      <c r="O319" s="202"/>
      <c r="P319" s="202"/>
      <c r="Q319" s="168">
        <f t="shared" si="39"/>
        <v>100</v>
      </c>
      <c r="R319" s="168"/>
      <c r="S319" s="217"/>
      <c r="T319" s="217"/>
      <c r="U319" s="217"/>
      <c r="V319" s="217"/>
      <c r="W319" s="217"/>
      <c r="X319" s="217"/>
      <c r="Y319" s="217"/>
      <c r="Z319" s="217"/>
      <c r="AA319" s="217"/>
      <c r="AB319" s="217"/>
      <c r="AC319" s="217"/>
      <c r="AD319" s="217"/>
      <c r="AE319" s="217"/>
      <c r="AF319" s="217"/>
      <c r="AG319" s="217"/>
      <c r="AH319" s="217"/>
      <c r="AI319" s="217"/>
      <c r="AJ319" s="217"/>
      <c r="AK319" s="217"/>
      <c r="AL319" s="217"/>
      <c r="AM319" s="217"/>
      <c r="AN319" s="217"/>
      <c r="AO319" s="217"/>
    </row>
    <row r="320" spans="1:41" ht="15.75" customHeight="1">
      <c r="A320" s="134" t="s">
        <v>620</v>
      </c>
      <c r="B320" s="163">
        <f>('Pivot Table for Data Exchange'!$M$79)*100</f>
        <v>0</v>
      </c>
      <c r="C320" s="163">
        <f>('Pivot Table for Data Exchange'!$M$82)*100</f>
        <v>0</v>
      </c>
      <c r="D320" s="164">
        <f t="shared" si="42"/>
        <v>0</v>
      </c>
      <c r="E320" s="163">
        <f>('Pivot Table for Data Exchange'!$M$85)*100</f>
        <v>0</v>
      </c>
      <c r="F320" s="163">
        <f>('Pivot Table for Data Exchange'!$M$88)*100</f>
        <v>0</v>
      </c>
      <c r="G320" s="171">
        <f>('Pivot Table for Data Exchange'!$M$91)*100</f>
        <v>0</v>
      </c>
      <c r="H320" s="163">
        <f>('Pivot Table for Data Exchange'!$M$94)*100</f>
        <v>0</v>
      </c>
      <c r="I320" s="134"/>
      <c r="J320" s="202"/>
      <c r="K320" s="202"/>
      <c r="L320" s="202"/>
      <c r="M320" s="202"/>
      <c r="N320" s="202"/>
      <c r="O320" s="202"/>
      <c r="P320" s="202"/>
      <c r="Q320" s="168">
        <f t="shared" si="39"/>
        <v>0</v>
      </c>
      <c r="R320" s="168"/>
      <c r="S320" s="217"/>
      <c r="T320" s="221"/>
      <c r="U320" s="217"/>
      <c r="V320" s="217"/>
      <c r="W320" s="217"/>
      <c r="X320" s="217"/>
      <c r="Y320" s="217"/>
      <c r="Z320" s="217"/>
      <c r="AA320" s="217"/>
      <c r="AB320" s="217"/>
      <c r="AC320" s="217"/>
      <c r="AD320" s="217"/>
      <c r="AE320" s="217"/>
      <c r="AF320" s="217"/>
      <c r="AG320" s="217"/>
      <c r="AH320" s="217"/>
      <c r="AI320" s="217"/>
      <c r="AJ320" s="217"/>
      <c r="AK320" s="217"/>
      <c r="AL320" s="217"/>
      <c r="AM320" s="217"/>
      <c r="AN320" s="217"/>
      <c r="AO320" s="217"/>
    </row>
    <row r="321" spans="1:41" ht="15.75" customHeight="1">
      <c r="A321" s="134" t="s">
        <v>657</v>
      </c>
      <c r="B321" s="163">
        <f>('Pivot Table for Data Exchange'!$M$115)*100</f>
        <v>0</v>
      </c>
      <c r="C321" s="163">
        <f>('Pivot Table for Data Exchange'!$M$118)*100</f>
        <v>0</v>
      </c>
      <c r="D321" s="164">
        <f t="shared" si="42"/>
        <v>0</v>
      </c>
      <c r="E321" s="163">
        <f>('Pivot Table for Data Exchange'!$M$121)*100</f>
        <v>0</v>
      </c>
      <c r="F321" s="163">
        <f>('Pivot Table for Data Exchange'!$M$124)*100</f>
        <v>0</v>
      </c>
      <c r="G321" s="170">
        <f>('Pivot Table for Data Exchange'!$M$127)*100</f>
        <v>0</v>
      </c>
      <c r="H321" s="163">
        <f>('Pivot Table for Data Exchange'!$M$130)*100</f>
        <v>0</v>
      </c>
      <c r="I321" s="134"/>
      <c r="J321" s="202"/>
      <c r="K321" s="202"/>
      <c r="L321" s="202"/>
      <c r="M321" s="202"/>
      <c r="N321" s="202"/>
      <c r="O321" s="202"/>
      <c r="P321" s="202"/>
      <c r="Q321" s="168">
        <f t="shared" si="39"/>
        <v>0</v>
      </c>
      <c r="R321" s="168"/>
      <c r="S321" s="217"/>
      <c r="U321" s="217"/>
      <c r="V321" s="217"/>
      <c r="W321" s="217"/>
      <c r="X321" s="217"/>
      <c r="Y321" s="217"/>
      <c r="Z321" s="217"/>
      <c r="AA321" s="217"/>
      <c r="AB321" s="217"/>
      <c r="AC321" s="217"/>
      <c r="AD321" s="217"/>
      <c r="AE321" s="217"/>
      <c r="AF321" s="217"/>
      <c r="AG321" s="217"/>
      <c r="AH321" s="217"/>
      <c r="AI321" s="217"/>
      <c r="AJ321" s="217"/>
      <c r="AK321" s="217"/>
      <c r="AL321" s="217"/>
      <c r="AM321" s="217"/>
      <c r="AN321" s="217"/>
      <c r="AO321" s="217"/>
    </row>
    <row r="322" spans="1:41" ht="15.75" customHeight="1">
      <c r="B322" s="163"/>
      <c r="C322" s="163"/>
      <c r="D322" s="164"/>
      <c r="E322" s="163"/>
      <c r="F322" s="163"/>
      <c r="G322" s="171"/>
      <c r="H322" s="163"/>
      <c r="I322" s="134"/>
      <c r="J322" s="202"/>
      <c r="K322" s="202"/>
      <c r="L322" s="202"/>
      <c r="M322" s="202"/>
      <c r="N322" s="202"/>
      <c r="O322" s="202"/>
      <c r="P322" s="202"/>
      <c r="Q322" s="168">
        <f t="shared" si="39"/>
        <v>0</v>
      </c>
      <c r="R322" s="168"/>
      <c r="S322" s="217"/>
      <c r="U322" s="217"/>
      <c r="V322" s="217"/>
      <c r="W322" s="217"/>
      <c r="X322" s="217"/>
      <c r="Y322" s="217"/>
      <c r="Z322" s="217"/>
      <c r="AA322" s="217"/>
      <c r="AB322" s="217"/>
      <c r="AC322" s="217"/>
      <c r="AD322" s="217"/>
      <c r="AE322" s="217"/>
      <c r="AF322" s="217"/>
      <c r="AG322" s="217"/>
      <c r="AH322" s="217"/>
      <c r="AI322" s="217"/>
      <c r="AJ322" s="217"/>
      <c r="AK322" s="217"/>
      <c r="AL322" s="217"/>
      <c r="AM322" s="217"/>
      <c r="AN322" s="217"/>
      <c r="AO322" s="217"/>
    </row>
    <row r="323" spans="1:41" ht="15.75" customHeight="1">
      <c r="A323" s="134" t="s">
        <v>622</v>
      </c>
      <c r="B323" s="163">
        <f>('Pivot Table for Data Exchange'!$M$151)*100</f>
        <v>0</v>
      </c>
      <c r="C323" s="163">
        <f>('Pivot Table for Data Exchange'!$M$154)*100</f>
        <v>0</v>
      </c>
      <c r="D323" s="164">
        <f t="shared" ref="D323:D324" si="43">SUM(E323:G323)</f>
        <v>0</v>
      </c>
      <c r="E323" s="163">
        <f>('Pivot Table for Data Exchange'!$M$157)*100</f>
        <v>0</v>
      </c>
      <c r="F323" s="163">
        <f>('Pivot Table for Data Exchange'!$M$160)*100</f>
        <v>0</v>
      </c>
      <c r="G323" s="171">
        <f>('Pivot Table for Data Exchange'!$M$163)*100</f>
        <v>0</v>
      </c>
      <c r="H323" s="163">
        <f>('Pivot Table for Data Exchange'!$M$166)*100</f>
        <v>0</v>
      </c>
      <c r="I323" s="134"/>
      <c r="J323" s="202"/>
      <c r="K323" s="202"/>
      <c r="L323" s="202"/>
      <c r="M323" s="202"/>
      <c r="N323" s="202"/>
      <c r="O323" s="202"/>
      <c r="P323" s="202"/>
      <c r="Q323" s="168">
        <f t="shared" si="39"/>
        <v>0</v>
      </c>
      <c r="R323" s="168"/>
      <c r="S323" s="217"/>
      <c r="T323" s="217"/>
      <c r="U323" s="217"/>
      <c r="V323" s="217"/>
      <c r="W323" s="217"/>
      <c r="X323" s="217"/>
      <c r="Y323" s="217"/>
      <c r="Z323" s="217"/>
      <c r="AA323" s="217"/>
      <c r="AB323" s="217"/>
      <c r="AC323" s="217"/>
      <c r="AD323" s="217"/>
      <c r="AE323" s="217"/>
      <c r="AF323" s="217"/>
      <c r="AG323" s="217"/>
      <c r="AH323" s="217"/>
      <c r="AI323" s="217"/>
      <c r="AJ323" s="217"/>
      <c r="AK323" s="217"/>
      <c r="AL323" s="217"/>
      <c r="AM323" s="217"/>
      <c r="AN323" s="217"/>
      <c r="AO323" s="217"/>
    </row>
    <row r="324" spans="1:41" ht="15.75" customHeight="1">
      <c r="A324" s="134" t="s">
        <v>623</v>
      </c>
      <c r="B324" s="163">
        <f>('Pivot Table for Data Exchange'!$M$187)*100</f>
        <v>45.042910656379291</v>
      </c>
      <c r="C324" s="163">
        <f>('Pivot Table for Data Exchange'!$M$190)*100</f>
        <v>11.124273174549927</v>
      </c>
      <c r="D324" s="164">
        <f t="shared" si="43"/>
        <v>43.832816169070782</v>
      </c>
      <c r="E324" s="163">
        <f>('Pivot Table for Data Exchange'!$M$193)*100</f>
        <v>43.832816169070782</v>
      </c>
      <c r="F324" s="163">
        <f>('Pivot Table for Data Exchange'!$M$196)*100</f>
        <v>0</v>
      </c>
      <c r="G324" s="171">
        <f>('Pivot Table for Data Exchange'!$M$199)*100</f>
        <v>0</v>
      </c>
      <c r="H324" s="163">
        <f>('Pivot Table for Data Exchange'!$M$202)*100</f>
        <v>0</v>
      </c>
      <c r="I324" s="134"/>
      <c r="J324" s="202"/>
      <c r="K324" s="202"/>
      <c r="L324" s="202"/>
      <c r="M324" s="202"/>
      <c r="N324" s="202"/>
      <c r="O324" s="202"/>
      <c r="P324" s="202"/>
      <c r="Q324" s="168">
        <f t="shared" si="39"/>
        <v>100</v>
      </c>
      <c r="R324" s="168"/>
      <c r="S324" s="217"/>
      <c r="T324" s="217"/>
      <c r="U324" s="217"/>
      <c r="V324" s="217"/>
      <c r="W324" s="217"/>
      <c r="X324" s="217"/>
      <c r="Y324" s="217"/>
      <c r="Z324" s="217"/>
      <c r="AA324" s="217"/>
      <c r="AB324" s="217"/>
      <c r="AC324" s="217"/>
      <c r="AD324" s="217"/>
      <c r="AE324" s="217"/>
      <c r="AF324" s="217"/>
      <c r="AG324" s="217"/>
      <c r="AH324" s="217"/>
      <c r="AI324" s="217"/>
      <c r="AJ324" s="217"/>
      <c r="AK324" s="217"/>
      <c r="AL324" s="217"/>
      <c r="AM324" s="217"/>
      <c r="AN324" s="217"/>
      <c r="AO324" s="217"/>
    </row>
    <row r="325" spans="1:41" ht="15.75" customHeight="1">
      <c r="A325" s="134" t="s">
        <v>624</v>
      </c>
      <c r="B325" s="163">
        <f>('Pivot Table for Data Exchange'!$M$223)*100</f>
        <v>46.892973782585877</v>
      </c>
      <c r="C325" s="163">
        <f>('Pivot Table for Data Exchange'!$M$226)*100</f>
        <v>0</v>
      </c>
      <c r="D325" s="164">
        <f>SUM(E325:G325)</f>
        <v>53.107026217414123</v>
      </c>
      <c r="E325" s="163">
        <f>('Pivot Table for Data Exchange'!$M$229)*100</f>
        <v>53.107026217414123</v>
      </c>
      <c r="F325" s="163">
        <f>('Pivot Table for Data Exchange'!$M$232)*100</f>
        <v>0</v>
      </c>
      <c r="G325" s="171">
        <f>('Pivot Table for Data Exchange'!$M$235)*100</f>
        <v>0</v>
      </c>
      <c r="H325" s="163">
        <f>('Pivot Table for Data Exchange'!$M$238)*100</f>
        <v>0</v>
      </c>
      <c r="I325" s="134"/>
      <c r="J325" s="202"/>
      <c r="K325" s="202"/>
      <c r="L325" s="202"/>
      <c r="M325" s="202"/>
      <c r="N325" s="202"/>
      <c r="O325" s="202"/>
      <c r="P325" s="202"/>
      <c r="Q325" s="168">
        <f t="shared" si="39"/>
        <v>100</v>
      </c>
      <c r="R325" s="168"/>
      <c r="S325" s="217"/>
      <c r="T325" s="221"/>
      <c r="U325" s="217"/>
      <c r="V325" s="217"/>
      <c r="W325" s="217"/>
      <c r="X325" s="217"/>
      <c r="Y325" s="217"/>
      <c r="Z325" s="217"/>
      <c r="AA325" s="217"/>
      <c r="AB325" s="217"/>
      <c r="AC325" s="217"/>
      <c r="AD325" s="217"/>
      <c r="AE325" s="217"/>
      <c r="AF325" s="217"/>
      <c r="AG325" s="217"/>
      <c r="AH325" s="217"/>
      <c r="AI325" s="217"/>
      <c r="AJ325" s="217"/>
      <c r="AK325" s="217"/>
      <c r="AL325" s="217"/>
      <c r="AM325" s="217"/>
      <c r="AN325" s="217"/>
      <c r="AO325" s="217"/>
    </row>
    <row r="326" spans="1:41" ht="15.75" customHeight="1">
      <c r="A326" s="134" t="s">
        <v>625</v>
      </c>
      <c r="B326" s="163">
        <f>('Pivot Table for Data Exchange'!$M$259)*100</f>
        <v>12.404662087079503</v>
      </c>
      <c r="C326" s="163">
        <f>('Pivot Table for Data Exchange'!$M$262)*100</f>
        <v>5.2589487153584535</v>
      </c>
      <c r="D326" s="164">
        <f>SUM(E326:G326)</f>
        <v>82.336389197562042</v>
      </c>
      <c r="E326" s="163">
        <f>('Pivot Table for Data Exchange'!$M$265)*100</f>
        <v>75.383877159309023</v>
      </c>
      <c r="F326" s="163">
        <f>('Pivot Table for Data Exchange'!$M$268)*100</f>
        <v>6.8434942923527631</v>
      </c>
      <c r="G326" s="171">
        <f>('Pivot Table for Data Exchange'!$M$271)*100</f>
        <v>0.10901774590025928</v>
      </c>
      <c r="H326" s="175">
        <f>('Pivot Table for Data Exchange'!$M$274)*100</f>
        <v>0</v>
      </c>
      <c r="I326" s="134"/>
      <c r="J326" s="202"/>
      <c r="K326" s="202"/>
      <c r="L326" s="202"/>
      <c r="M326" s="202"/>
      <c r="N326" s="202"/>
      <c r="O326" s="202"/>
      <c r="P326" s="202"/>
      <c r="Q326" s="168">
        <f t="shared" si="39"/>
        <v>100</v>
      </c>
      <c r="R326" s="168"/>
      <c r="S326" s="217"/>
      <c r="U326" s="217"/>
      <c r="V326" s="217"/>
      <c r="W326" s="217"/>
      <c r="X326" s="217"/>
      <c r="Y326" s="217"/>
      <c r="Z326" s="217"/>
      <c r="AA326" s="217"/>
      <c r="AB326" s="217"/>
      <c r="AC326" s="217"/>
      <c r="AD326" s="217"/>
      <c r="AE326" s="217"/>
      <c r="AF326" s="217"/>
      <c r="AG326" s="217"/>
      <c r="AH326" s="217"/>
      <c r="AI326" s="217"/>
      <c r="AJ326" s="217"/>
      <c r="AK326" s="217"/>
      <c r="AL326" s="217"/>
      <c r="AM326" s="217"/>
      <c r="AN326" s="217"/>
      <c r="AO326" s="217"/>
    </row>
    <row r="327" spans="1:41" ht="12" customHeight="1">
      <c r="B327" s="163"/>
      <c r="C327" s="163"/>
      <c r="D327" s="164"/>
      <c r="E327" s="163"/>
      <c r="F327" s="163"/>
      <c r="G327" s="171"/>
      <c r="H327" s="163"/>
      <c r="I327" s="134"/>
      <c r="J327" s="202"/>
      <c r="K327" s="202"/>
      <c r="L327" s="202"/>
      <c r="M327" s="202"/>
      <c r="N327" s="202"/>
      <c r="O327" s="202"/>
      <c r="P327" s="202"/>
      <c r="Q327" s="168">
        <f t="shared" si="39"/>
        <v>0</v>
      </c>
      <c r="R327" s="168"/>
      <c r="S327" s="217"/>
      <c r="U327" s="217"/>
      <c r="V327" s="217"/>
      <c r="W327" s="217"/>
      <c r="X327" s="217"/>
      <c r="Y327" s="217"/>
      <c r="Z327" s="217"/>
      <c r="AA327" s="217"/>
      <c r="AB327" s="217"/>
      <c r="AC327" s="217"/>
      <c r="AD327" s="217"/>
      <c r="AE327" s="217"/>
      <c r="AF327" s="217"/>
      <c r="AG327" s="217"/>
      <c r="AH327" s="217"/>
      <c r="AI327" s="217"/>
      <c r="AJ327" s="217"/>
      <c r="AK327" s="217"/>
      <c r="AL327" s="217"/>
      <c r="AM327" s="217"/>
      <c r="AN327" s="217"/>
      <c r="AO327" s="217"/>
    </row>
    <row r="328" spans="1:41" ht="15.75" customHeight="1">
      <c r="A328" s="134" t="s">
        <v>672</v>
      </c>
      <c r="B328" s="163">
        <f>('Pivot Table for Data Exchange'!$M$295)*100</f>
        <v>58.394675193130276</v>
      </c>
      <c r="C328" s="163">
        <f>('Pivot Table for Data Exchange'!$M$298)*100</f>
        <v>3.0692393809049463</v>
      </c>
      <c r="D328" s="164">
        <f>SUM(E328:G328)</f>
        <v>38.536085425964785</v>
      </c>
      <c r="E328" s="163">
        <f>('Pivot Table for Data Exchange'!$M$301)*100</f>
        <v>38.536085425964785</v>
      </c>
      <c r="F328" s="163">
        <f>('Pivot Table for Data Exchange'!$M$304)*100</f>
        <v>0</v>
      </c>
      <c r="G328" s="171">
        <f>('Pivot Table for Data Exchange'!$M$307)*100</f>
        <v>0</v>
      </c>
      <c r="H328" s="163">
        <f>('Pivot Table for Data Exchange'!$M$310)*100</f>
        <v>0</v>
      </c>
      <c r="I328" s="209"/>
      <c r="J328" s="202"/>
      <c r="K328" s="202"/>
      <c r="L328" s="202"/>
      <c r="M328" s="202"/>
      <c r="N328" s="202"/>
      <c r="O328" s="202"/>
      <c r="P328" s="202"/>
      <c r="Q328" s="168">
        <f t="shared" si="39"/>
        <v>100</v>
      </c>
      <c r="R328" s="168"/>
      <c r="S328" s="217"/>
      <c r="T328" s="217"/>
      <c r="U328" s="217"/>
      <c r="V328" s="217"/>
      <c r="W328" s="217"/>
      <c r="X328" s="217"/>
      <c r="Y328" s="217"/>
      <c r="Z328" s="217"/>
      <c r="AA328" s="217"/>
      <c r="AB328" s="217"/>
      <c r="AC328" s="217"/>
      <c r="AD328" s="217"/>
      <c r="AE328" s="217"/>
      <c r="AF328" s="217"/>
      <c r="AG328" s="217"/>
      <c r="AH328" s="217"/>
      <c r="AI328" s="217"/>
      <c r="AJ328" s="217"/>
      <c r="AK328" s="217"/>
      <c r="AL328" s="217"/>
      <c r="AM328" s="217"/>
      <c r="AN328" s="217"/>
      <c r="AO328" s="217"/>
    </row>
    <row r="329" spans="1:41" ht="15.75" customHeight="1">
      <c r="A329" s="134" t="s">
        <v>627</v>
      </c>
      <c r="B329" s="163">
        <f>('Pivot Table for Data Exchange'!$M$331)*100</f>
        <v>24.703075502840203</v>
      </c>
      <c r="C329" s="163">
        <f>('Pivot Table for Data Exchange'!$M$334)*100</f>
        <v>4.4053402289366641</v>
      </c>
      <c r="D329" s="164">
        <f>SUM(E329:G329)</f>
        <v>70.891584268223127</v>
      </c>
      <c r="E329" s="163">
        <f>('Pivot Table for Data Exchange'!$M$337)*100</f>
        <v>70.891584268223127</v>
      </c>
      <c r="F329" s="163">
        <f>('Pivot Table for Data Exchange'!$M$340)*100</f>
        <v>0</v>
      </c>
      <c r="G329" s="170">
        <f>('Pivot Table for Data Exchange'!$M$343)*100</f>
        <v>0</v>
      </c>
      <c r="H329" s="163">
        <f>('Pivot Table for Data Exchange'!$M$346)*100</f>
        <v>0</v>
      </c>
      <c r="I329" s="134"/>
      <c r="J329" s="202"/>
      <c r="K329" s="202"/>
      <c r="L329" s="202"/>
      <c r="M329" s="202"/>
      <c r="N329" s="202"/>
      <c r="O329" s="202"/>
      <c r="P329" s="202"/>
      <c r="Q329" s="168">
        <f t="shared" si="39"/>
        <v>100</v>
      </c>
      <c r="R329" s="168"/>
      <c r="S329" s="217"/>
      <c r="T329" s="217"/>
      <c r="U329" s="217"/>
      <c r="V329" s="217"/>
      <c r="W329" s="217"/>
      <c r="X329" s="217"/>
      <c r="Y329" s="217"/>
      <c r="Z329" s="217"/>
      <c r="AA329" s="217"/>
      <c r="AB329" s="217"/>
      <c r="AC329" s="217"/>
      <c r="AD329" s="217"/>
      <c r="AE329" s="217"/>
      <c r="AF329" s="217"/>
      <c r="AG329" s="217"/>
      <c r="AH329" s="217"/>
      <c r="AI329" s="217"/>
      <c r="AJ329" s="217"/>
      <c r="AK329" s="217"/>
      <c r="AL329" s="217"/>
      <c r="AM329" s="217"/>
      <c r="AN329" s="217"/>
      <c r="AO329" s="217"/>
    </row>
    <row r="330" spans="1:41" ht="15.75" customHeight="1">
      <c r="A330" s="134" t="s">
        <v>628</v>
      </c>
      <c r="B330" s="163">
        <f>('Pivot Table for Data Exchange'!$M$367)*100</f>
        <v>0</v>
      </c>
      <c r="C330" s="163">
        <f>('Pivot Table for Data Exchange'!$M$370)*100</f>
        <v>0</v>
      </c>
      <c r="D330" s="164">
        <f>SUM(E330:G330)</f>
        <v>0</v>
      </c>
      <c r="E330" s="163">
        <f>('Pivot Table for Data Exchange'!$M$373)*100</f>
        <v>0</v>
      </c>
      <c r="F330" s="163">
        <f>('Pivot Table for Data Exchange'!$M$376)*100</f>
        <v>0</v>
      </c>
      <c r="G330" s="170">
        <f>('Pivot Table for Data Exchange'!$M$379)*100</f>
        <v>0</v>
      </c>
      <c r="H330" s="163">
        <f>('Pivot Table for Data Exchange'!$M$382)*100</f>
        <v>0</v>
      </c>
      <c r="I330" s="134"/>
      <c r="J330" s="202"/>
      <c r="K330" s="202"/>
      <c r="L330" s="202"/>
      <c r="M330" s="202"/>
      <c r="N330" s="202"/>
      <c r="O330" s="202"/>
      <c r="P330" s="202"/>
      <c r="Q330" s="168">
        <f t="shared" si="39"/>
        <v>0</v>
      </c>
      <c r="R330" s="168"/>
      <c r="S330" s="217"/>
      <c r="T330" s="221"/>
      <c r="U330" s="217"/>
      <c r="V330" s="217"/>
      <c r="W330" s="217"/>
      <c r="X330" s="217"/>
      <c r="Y330" s="217"/>
      <c r="Z330" s="217"/>
      <c r="AA330" s="217"/>
      <c r="AB330" s="217"/>
      <c r="AC330" s="217"/>
      <c r="AD330" s="217"/>
      <c r="AE330" s="217"/>
      <c r="AF330" s="217"/>
      <c r="AG330" s="217"/>
      <c r="AH330" s="217"/>
      <c r="AI330" s="217"/>
      <c r="AJ330" s="217"/>
      <c r="AK330" s="217"/>
      <c r="AL330" s="217"/>
      <c r="AM330" s="217"/>
      <c r="AN330" s="217"/>
      <c r="AO330" s="217"/>
    </row>
    <row r="331" spans="1:41" ht="15.75" customHeight="1">
      <c r="A331" s="134" t="s">
        <v>629</v>
      </c>
      <c r="B331" s="163">
        <f>('Pivot Table for Data Exchange'!$M$403)*100</f>
        <v>25.394894957488184</v>
      </c>
      <c r="C331" s="163">
        <f>('Pivot Table for Data Exchange'!$M$406)*100</f>
        <v>8.3537388826760974</v>
      </c>
      <c r="D331" s="164">
        <f>SUM(E331:G331)</f>
        <v>66.251366159835712</v>
      </c>
      <c r="E331" s="163">
        <f>('Pivot Table for Data Exchange'!$M$409)*100</f>
        <v>65.610109310911696</v>
      </c>
      <c r="F331" s="163">
        <f>('Pivot Table for Data Exchange'!$M$412)*100</f>
        <v>0.64125684892401891</v>
      </c>
      <c r="G331" s="173">
        <f>('Pivot Table for Data Exchange'!$M$415)*100</f>
        <v>0</v>
      </c>
      <c r="H331" s="163">
        <f>('Pivot Table for Data Exchange'!$M$418)*100</f>
        <v>0</v>
      </c>
      <c r="I331" s="134"/>
      <c r="J331" s="202"/>
      <c r="K331" s="202"/>
      <c r="L331" s="202"/>
      <c r="M331" s="202"/>
      <c r="N331" s="202"/>
      <c r="O331" s="202"/>
      <c r="P331" s="202"/>
      <c r="Q331" s="168">
        <f t="shared" si="39"/>
        <v>100</v>
      </c>
      <c r="R331" s="168"/>
      <c r="S331" s="217"/>
      <c r="T331" s="217"/>
      <c r="U331" s="217"/>
      <c r="V331" s="217"/>
      <c r="W331" s="217"/>
      <c r="X331" s="217"/>
      <c r="Y331" s="217"/>
      <c r="Z331" s="217"/>
      <c r="AA331" s="217"/>
      <c r="AB331" s="217"/>
      <c r="AC331" s="217"/>
      <c r="AD331" s="217"/>
      <c r="AE331" s="217"/>
      <c r="AF331" s="217"/>
      <c r="AG331" s="217"/>
      <c r="AH331" s="217"/>
      <c r="AI331" s="217"/>
      <c r="AJ331" s="217"/>
      <c r="AK331" s="217"/>
      <c r="AL331" s="217"/>
      <c r="AM331" s="217"/>
      <c r="AN331" s="217"/>
      <c r="AO331" s="217"/>
    </row>
    <row r="332" spans="1:41" ht="12.75" customHeight="1">
      <c r="B332" s="163"/>
      <c r="C332" s="163"/>
      <c r="D332" s="164"/>
      <c r="E332" s="163"/>
      <c r="F332" s="163"/>
      <c r="G332" s="171"/>
      <c r="H332" s="163"/>
      <c r="I332" s="134"/>
      <c r="J332" s="202"/>
      <c r="K332" s="202"/>
      <c r="L332" s="202"/>
      <c r="M332" s="202"/>
      <c r="N332" s="202"/>
      <c r="O332" s="202"/>
      <c r="P332" s="202"/>
      <c r="Q332" s="168">
        <f t="shared" si="39"/>
        <v>0</v>
      </c>
      <c r="R332" s="168"/>
      <c r="S332" s="217"/>
      <c r="T332" s="217"/>
      <c r="U332" s="217"/>
      <c r="V332" s="217"/>
      <c r="W332" s="217"/>
      <c r="X332" s="217"/>
      <c r="Y332" s="217"/>
      <c r="Z332" s="217"/>
      <c r="AA332" s="217"/>
      <c r="AB332" s="217"/>
      <c r="AC332" s="217"/>
      <c r="AD332" s="217"/>
      <c r="AE332" s="217"/>
      <c r="AF332" s="217"/>
      <c r="AG332" s="217"/>
      <c r="AH332" s="217"/>
      <c r="AI332" s="217"/>
      <c r="AJ332" s="217"/>
      <c r="AK332" s="217"/>
      <c r="AL332" s="217"/>
      <c r="AM332" s="217"/>
      <c r="AN332" s="217"/>
      <c r="AO332" s="217"/>
    </row>
    <row r="333" spans="1:41" ht="15.75" customHeight="1">
      <c r="A333" s="134" t="s">
        <v>630</v>
      </c>
      <c r="B333" s="163">
        <f>('Pivot Table for Data Exchange'!$M$439)*100</f>
        <v>11.639403249467186</v>
      </c>
      <c r="C333" s="163">
        <f>('Pivot Table for Data Exchange'!$M$442)*100</f>
        <v>18.482105787594453</v>
      </c>
      <c r="D333" s="164">
        <f>SUM(E333:G333)</f>
        <v>69.544318045522076</v>
      </c>
      <c r="E333" s="163">
        <f>('Pivot Table for Data Exchange'!$M$445)*100</f>
        <v>53.09658907433549</v>
      </c>
      <c r="F333" s="163">
        <f>('Pivot Table for Data Exchange'!$M$448)*100</f>
        <v>0.57903623128234938</v>
      </c>
      <c r="G333" s="171">
        <f>('Pivot Table for Data Exchange'!$M$451)*100</f>
        <v>15.868692739904233</v>
      </c>
      <c r="H333" s="163">
        <f>('Pivot Table for Data Exchange'!$M$454)*100</f>
        <v>0.33417291741629529</v>
      </c>
      <c r="I333" s="134"/>
      <c r="J333" s="202"/>
      <c r="K333" s="202"/>
      <c r="L333" s="202"/>
      <c r="M333" s="202"/>
      <c r="N333" s="202"/>
      <c r="O333" s="202"/>
      <c r="P333" s="202"/>
      <c r="Q333" s="168">
        <f t="shared" si="39"/>
        <v>100.00000000000001</v>
      </c>
      <c r="R333" s="168"/>
      <c r="S333" s="217"/>
      <c r="T333" s="217"/>
      <c r="U333" s="217"/>
      <c r="V333" s="217"/>
      <c r="W333" s="217"/>
      <c r="X333" s="217"/>
      <c r="Y333" s="217"/>
      <c r="Z333" s="217"/>
      <c r="AA333" s="217"/>
      <c r="AB333" s="217"/>
      <c r="AC333" s="217"/>
      <c r="AD333" s="217"/>
      <c r="AE333" s="217"/>
      <c r="AF333" s="217"/>
      <c r="AG333" s="217"/>
      <c r="AH333" s="217"/>
      <c r="AI333" s="217"/>
      <c r="AJ333" s="217"/>
      <c r="AK333" s="217"/>
      <c r="AL333" s="217"/>
      <c r="AM333" s="217"/>
      <c r="AN333" s="217"/>
      <c r="AO333" s="217"/>
    </row>
    <row r="334" spans="1:41" ht="15.75" customHeight="1">
      <c r="A334" s="134" t="s">
        <v>631</v>
      </c>
      <c r="B334" s="163">
        <f>('Pivot Table for Data Exchange'!$M$475)*100</f>
        <v>23.109910801567462</v>
      </c>
      <c r="C334" s="163">
        <f>('Pivot Table for Data Exchange'!$M$478)*100</f>
        <v>14.899849758235414</v>
      </c>
      <c r="D334" s="164">
        <f>SUM(E334:G334)</f>
        <v>61.990239440197115</v>
      </c>
      <c r="E334" s="163">
        <f>('Pivot Table for Data Exchange'!$M$481)*100</f>
        <v>53.595914323766777</v>
      </c>
      <c r="F334" s="163">
        <f>('Pivot Table for Data Exchange'!$M$484)*100</f>
        <v>3.5870104138256163</v>
      </c>
      <c r="G334" s="171">
        <f>('Pivot Table for Data Exchange'!$M$487)*100</f>
        <v>4.8073147026047218</v>
      </c>
      <c r="H334" s="163">
        <f>('Pivot Table for Data Exchange'!$M$490)*100</f>
        <v>0</v>
      </c>
      <c r="I334" s="134"/>
      <c r="J334" s="202"/>
      <c r="K334" s="202"/>
      <c r="L334" s="202"/>
      <c r="M334" s="202"/>
      <c r="N334" s="202"/>
      <c r="O334" s="202"/>
      <c r="P334" s="202"/>
      <c r="Q334" s="168">
        <f t="shared" si="39"/>
        <v>100</v>
      </c>
      <c r="R334" s="168"/>
      <c r="S334" s="217"/>
      <c r="T334" s="217"/>
      <c r="U334" s="217"/>
      <c r="V334" s="217"/>
      <c r="W334" s="217"/>
      <c r="X334" s="217"/>
      <c r="Y334" s="217"/>
      <c r="Z334" s="217"/>
      <c r="AA334" s="217"/>
      <c r="AB334" s="217"/>
      <c r="AC334" s="217"/>
      <c r="AD334" s="217"/>
      <c r="AE334" s="217"/>
      <c r="AF334" s="217"/>
      <c r="AG334" s="217"/>
      <c r="AH334" s="217"/>
      <c r="AI334" s="217"/>
      <c r="AJ334" s="217"/>
      <c r="AK334" s="217"/>
      <c r="AL334" s="217"/>
      <c r="AM334" s="217"/>
      <c r="AN334" s="217"/>
      <c r="AO334" s="217"/>
    </row>
    <row r="335" spans="1:41" ht="15.75" customHeight="1">
      <c r="A335" s="134" t="s">
        <v>632</v>
      </c>
      <c r="B335" s="163">
        <f>('Pivot Table for Data Exchange'!$M$511)*100</f>
        <v>9.3131573414698572</v>
      </c>
      <c r="C335" s="163">
        <f>('Pivot Table for Data Exchange'!$M$514)*100</f>
        <v>15.760427167508531</v>
      </c>
      <c r="D335" s="164">
        <f>SUM(E335:G335)</f>
        <v>74.926415491021615</v>
      </c>
      <c r="E335" s="163">
        <f>('Pivot Table for Data Exchange'!$M$517)*100</f>
        <v>71.504466283200628</v>
      </c>
      <c r="F335" s="163">
        <f>('Pivot Table for Data Exchange'!$M$520)*100</f>
        <v>2.5932474757548474</v>
      </c>
      <c r="G335" s="171">
        <f>('Pivot Table for Data Exchange'!$M$523)*100</f>
        <v>0.8287017320661344</v>
      </c>
      <c r="H335" s="163">
        <f>('Pivot Table for Data Exchange'!$M$526)*100</f>
        <v>0</v>
      </c>
      <c r="I335" s="134"/>
      <c r="J335" s="202"/>
      <c r="K335" s="202"/>
      <c r="L335" s="202"/>
      <c r="M335" s="202"/>
      <c r="N335" s="202"/>
      <c r="O335" s="202"/>
      <c r="P335" s="202"/>
      <c r="Q335" s="168">
        <f t="shared" si="39"/>
        <v>100</v>
      </c>
      <c r="R335" s="168"/>
      <c r="S335" s="217"/>
      <c r="T335" s="217"/>
      <c r="U335" s="217"/>
      <c r="V335" s="217"/>
      <c r="W335" s="217"/>
      <c r="X335" s="217"/>
      <c r="Y335" s="217"/>
      <c r="Z335" s="217"/>
      <c r="AA335" s="217"/>
      <c r="AB335" s="217"/>
      <c r="AC335" s="217"/>
      <c r="AD335" s="217"/>
      <c r="AE335" s="217"/>
      <c r="AF335" s="217"/>
      <c r="AG335" s="217"/>
      <c r="AH335" s="217"/>
      <c r="AI335" s="217"/>
      <c r="AJ335" s="217"/>
      <c r="AK335" s="217"/>
      <c r="AL335" s="217"/>
      <c r="AM335" s="217"/>
      <c r="AN335" s="217"/>
      <c r="AO335" s="217"/>
    </row>
    <row r="336" spans="1:41" ht="15.75" customHeight="1">
      <c r="A336" s="140" t="s">
        <v>633</v>
      </c>
      <c r="B336" s="176">
        <f>('Pivot Table for Data Exchange'!$M$547)*100</f>
        <v>12.481788495352927</v>
      </c>
      <c r="C336" s="176">
        <f>('Pivot Table for Data Exchange'!$M$550)*100</f>
        <v>6.6842501883948762</v>
      </c>
      <c r="D336" s="177">
        <f>SUM(E336:G336)</f>
        <v>80.8339613162522</v>
      </c>
      <c r="E336" s="176">
        <f>('Pivot Table for Data Exchange'!$M$553)*100</f>
        <v>80.8339613162522</v>
      </c>
      <c r="F336" s="176">
        <f>('Pivot Table for Data Exchange'!$M$556)*100</f>
        <v>0</v>
      </c>
      <c r="G336" s="199">
        <f>('Pivot Table for Data Exchange'!$M$559)*100</f>
        <v>0</v>
      </c>
      <c r="H336" s="176">
        <f>('Pivot Table for Data Exchange'!$M$562)*100</f>
        <v>0</v>
      </c>
      <c r="I336" s="134"/>
      <c r="J336" s="202"/>
      <c r="K336" s="202"/>
      <c r="L336" s="202"/>
      <c r="M336" s="202"/>
      <c r="N336" s="202"/>
      <c r="O336" s="202"/>
      <c r="P336" s="202"/>
      <c r="Q336" s="168">
        <f t="shared" si="39"/>
        <v>100</v>
      </c>
      <c r="R336" s="168"/>
      <c r="S336" s="217"/>
      <c r="T336" s="217"/>
      <c r="U336" s="217"/>
      <c r="V336" s="217"/>
      <c r="W336" s="217"/>
      <c r="X336" s="217"/>
      <c r="Y336" s="217"/>
      <c r="Z336" s="217"/>
      <c r="AA336" s="217"/>
      <c r="AB336" s="217"/>
      <c r="AC336" s="217"/>
      <c r="AD336" s="217"/>
      <c r="AE336" s="217"/>
      <c r="AF336" s="217"/>
      <c r="AG336" s="217"/>
      <c r="AH336" s="217"/>
      <c r="AI336" s="217"/>
      <c r="AJ336" s="217"/>
      <c r="AK336" s="217"/>
      <c r="AL336" s="217"/>
      <c r="AM336" s="217"/>
      <c r="AN336" s="217"/>
      <c r="AO336" s="217"/>
    </row>
    <row r="337" spans="1:41" s="207" customFormat="1" ht="12" customHeight="1">
      <c r="A337" s="182" t="s">
        <v>658</v>
      </c>
      <c r="B337" s="183"/>
      <c r="C337" s="183"/>
      <c r="D337" s="184"/>
      <c r="E337" s="183"/>
      <c r="F337" s="184"/>
      <c r="G337" s="184"/>
      <c r="H337" s="183"/>
      <c r="I337" s="192"/>
      <c r="J337" s="183"/>
      <c r="K337" s="183"/>
      <c r="L337" s="184"/>
      <c r="M337" s="183"/>
      <c r="N337" s="184"/>
      <c r="O337" s="184"/>
      <c r="P337" s="183"/>
      <c r="Q337" s="168">
        <f t="shared" si="39"/>
        <v>0</v>
      </c>
      <c r="R337" s="203"/>
      <c r="S337" s="220"/>
      <c r="T337" s="220"/>
      <c r="U337" s="220"/>
      <c r="V337" s="220"/>
      <c r="W337" s="220"/>
      <c r="X337" s="220"/>
      <c r="Y337" s="220"/>
      <c r="Z337" s="220"/>
      <c r="AA337" s="220"/>
      <c r="AB337" s="220"/>
      <c r="AC337" s="220"/>
      <c r="AD337" s="220"/>
      <c r="AE337" s="220"/>
      <c r="AF337" s="220"/>
      <c r="AG337" s="220"/>
      <c r="AH337" s="220"/>
      <c r="AI337" s="220"/>
      <c r="AJ337" s="220"/>
      <c r="AK337" s="220"/>
      <c r="AL337" s="220"/>
      <c r="AM337" s="220"/>
      <c r="AN337" s="220"/>
      <c r="AO337" s="220"/>
    </row>
    <row r="338" spans="1:41" s="207" customFormat="1" ht="24" customHeight="1">
      <c r="A338" s="633" t="s">
        <v>673</v>
      </c>
      <c r="B338" s="634"/>
      <c r="C338" s="634"/>
      <c r="D338" s="634"/>
      <c r="E338" s="634"/>
      <c r="F338" s="634"/>
      <c r="G338" s="634"/>
      <c r="H338" s="634"/>
      <c r="I338" s="192"/>
      <c r="J338" s="181"/>
      <c r="K338" s="181"/>
      <c r="L338" s="181"/>
      <c r="M338" s="181"/>
      <c r="N338" s="181"/>
      <c r="O338" s="181"/>
      <c r="P338" s="194"/>
      <c r="Q338" s="168">
        <f t="shared" si="39"/>
        <v>0</v>
      </c>
      <c r="R338" s="204"/>
    </row>
    <row r="339" spans="1:41" s="207" customFormat="1" ht="11.25" customHeight="1">
      <c r="A339" s="180"/>
      <c r="B339" s="222"/>
      <c r="C339" s="222"/>
      <c r="D339" s="222"/>
      <c r="E339" s="222"/>
      <c r="F339" s="222"/>
      <c r="G339" s="222"/>
      <c r="H339" s="222"/>
      <c r="I339" s="192"/>
      <c r="J339" s="181"/>
      <c r="K339" s="181"/>
      <c r="L339" s="181"/>
      <c r="M339" s="181"/>
      <c r="N339" s="181"/>
      <c r="O339" s="181"/>
      <c r="P339" s="194"/>
      <c r="Q339" s="168"/>
      <c r="R339" s="204"/>
    </row>
    <row r="340" spans="1:41" s="207" customFormat="1">
      <c r="A340" s="181"/>
      <c r="B340" s="181"/>
      <c r="C340" s="181"/>
      <c r="D340" s="181"/>
      <c r="E340" s="181"/>
      <c r="F340" s="181"/>
      <c r="G340" s="181"/>
      <c r="H340" s="187" t="s">
        <v>992</v>
      </c>
      <c r="I340" s="181"/>
      <c r="J340" s="181"/>
      <c r="K340" s="181"/>
      <c r="L340" s="181"/>
      <c r="M340" s="181"/>
      <c r="N340" s="181"/>
      <c r="O340" s="181"/>
      <c r="P340" s="181"/>
      <c r="Q340" s="168">
        <f t="shared" si="39"/>
        <v>0</v>
      </c>
    </row>
    <row r="341" spans="1:41" ht="18">
      <c r="A341" s="129" t="s">
        <v>678</v>
      </c>
      <c r="B341" s="130"/>
      <c r="C341" s="130"/>
      <c r="D341" s="130"/>
      <c r="E341" s="130"/>
      <c r="F341" s="130"/>
      <c r="G341" s="130"/>
      <c r="H341" s="130"/>
      <c r="L341" s="130"/>
      <c r="Q341" s="168">
        <f t="shared" si="39"/>
        <v>0</v>
      </c>
    </row>
    <row r="342" spans="1:41">
      <c r="A342" s="135"/>
      <c r="B342" s="131"/>
      <c r="C342" s="131"/>
      <c r="D342" s="131"/>
      <c r="E342" s="131"/>
      <c r="F342" s="131"/>
      <c r="G342" s="131"/>
      <c r="H342" s="131"/>
      <c r="Q342" s="168">
        <f t="shared" si="39"/>
        <v>0</v>
      </c>
    </row>
    <row r="343" spans="1:41" ht="15.75">
      <c r="A343" s="137" t="s">
        <v>639</v>
      </c>
      <c r="B343" s="131"/>
      <c r="C343" s="131"/>
      <c r="D343" s="131"/>
      <c r="E343" s="131"/>
      <c r="F343" s="131"/>
      <c r="G343" s="131"/>
      <c r="H343" s="131"/>
      <c r="L343" s="131"/>
      <c r="Q343" s="168">
        <f t="shared" si="39"/>
        <v>0</v>
      </c>
    </row>
    <row r="344" spans="1:41" ht="15.75">
      <c r="A344" s="137" t="s">
        <v>972</v>
      </c>
      <c r="B344" s="131"/>
      <c r="C344" s="131"/>
      <c r="D344" s="131"/>
      <c r="E344" s="131"/>
      <c r="F344" s="131"/>
      <c r="G344" s="131"/>
      <c r="H344" s="131"/>
      <c r="Q344" s="168">
        <f t="shared" si="39"/>
        <v>0</v>
      </c>
    </row>
    <row r="345" spans="1:41">
      <c r="A345" s="140"/>
      <c r="B345" s="141"/>
      <c r="C345" s="141"/>
      <c r="D345" s="141"/>
      <c r="E345" s="141"/>
      <c r="F345" s="141"/>
      <c r="G345" s="141"/>
      <c r="H345" s="141"/>
      <c r="Q345" s="168">
        <f t="shared" si="39"/>
        <v>0</v>
      </c>
    </row>
    <row r="346" spans="1:41">
      <c r="A346" s="145"/>
      <c r="B346" s="146" t="s">
        <v>641</v>
      </c>
      <c r="C346" s="146"/>
      <c r="D346" s="146"/>
      <c r="E346" s="146"/>
      <c r="F346" s="146"/>
      <c r="G346" s="146"/>
      <c r="H346" s="147"/>
      <c r="Q346" s="168">
        <f t="shared" si="39"/>
        <v>0</v>
      </c>
    </row>
    <row r="347" spans="1:41">
      <c r="A347" s="145"/>
      <c r="B347" s="146" t="s">
        <v>642</v>
      </c>
      <c r="C347" s="146"/>
      <c r="D347" s="639" t="s">
        <v>643</v>
      </c>
      <c r="E347" s="637"/>
      <c r="F347" s="637"/>
      <c r="G347" s="637"/>
      <c r="H347" s="153" t="s">
        <v>533</v>
      </c>
      <c r="Q347" s="168">
        <f t="shared" ref="Q347:Q410" si="44">SUM(B347,C347,D347,H347)</f>
        <v>0</v>
      </c>
    </row>
    <row r="348" spans="1:41" ht="36">
      <c r="A348" s="145"/>
      <c r="B348" s="154" t="s">
        <v>644</v>
      </c>
      <c r="C348" s="155" t="s">
        <v>645</v>
      </c>
      <c r="D348" s="156" t="s">
        <v>646</v>
      </c>
      <c r="E348" s="157" t="s">
        <v>8</v>
      </c>
      <c r="F348" s="154" t="s">
        <v>647</v>
      </c>
      <c r="G348" s="158" t="s">
        <v>656</v>
      </c>
      <c r="H348" s="159" t="s">
        <v>649</v>
      </c>
      <c r="Q348" s="168">
        <f t="shared" si="44"/>
        <v>0</v>
      </c>
    </row>
    <row r="349" spans="1:41" ht="15.75" customHeight="1">
      <c r="A349" s="189" t="s">
        <v>618</v>
      </c>
      <c r="B349" s="216">
        <f>('Pivot Table for Data Exchange'!$N$7)*100</f>
        <v>42.975483711081715</v>
      </c>
      <c r="C349" s="163">
        <f>('Pivot Table for Data Exchange'!$N$10)*100</f>
        <v>2.239156817510906</v>
      </c>
      <c r="D349" s="164">
        <f>SUM(E349:G349)</f>
        <v>54.760212690741973</v>
      </c>
      <c r="E349" s="163">
        <f>('Pivot Table for Data Exchange'!$N$13)*100</f>
        <v>54.736523694462967</v>
      </c>
      <c r="F349" s="163">
        <f>('Pivot Table for Data Exchange'!$N$16)*100</f>
        <v>0</v>
      </c>
      <c r="G349" s="167">
        <f>('Pivot Table for Data Exchange'!$N$19)*100</f>
        <v>2.3688996279005354E-2</v>
      </c>
      <c r="H349" s="163">
        <f>('Pivot Table for Data Exchange'!$N$22)*100</f>
        <v>2.5146780665405682E-2</v>
      </c>
      <c r="I349" s="134"/>
      <c r="J349" s="202"/>
      <c r="K349" s="202"/>
      <c r="L349" s="202"/>
      <c r="M349" s="202"/>
      <c r="N349" s="202"/>
      <c r="O349" s="202"/>
      <c r="P349" s="202"/>
      <c r="Q349" s="168">
        <f t="shared" si="44"/>
        <v>100</v>
      </c>
      <c r="R349" s="168"/>
      <c r="S349" s="217"/>
      <c r="T349" s="217"/>
      <c r="U349" s="217"/>
      <c r="V349" s="217"/>
      <c r="W349" s="217"/>
      <c r="X349" s="217"/>
      <c r="Y349" s="217"/>
      <c r="Z349" s="217"/>
      <c r="AA349" s="217"/>
      <c r="AB349" s="217"/>
      <c r="AC349" s="217"/>
      <c r="AD349" s="217"/>
      <c r="AE349" s="217"/>
      <c r="AF349" s="217"/>
      <c r="AG349" s="217"/>
      <c r="AH349" s="217"/>
      <c r="AI349" s="217"/>
      <c r="AJ349" s="217"/>
      <c r="AK349" s="217"/>
      <c r="AL349" s="217"/>
      <c r="AM349" s="217"/>
      <c r="AN349" s="217"/>
      <c r="AO349" s="217"/>
    </row>
    <row r="350" spans="1:41" ht="15.75" customHeight="1">
      <c r="A350" s="134" t="s">
        <v>619</v>
      </c>
      <c r="B350" s="163">
        <f>('Pivot Table for Data Exchange'!$N$43)*100</f>
        <v>43.608891317381179</v>
      </c>
      <c r="C350" s="163">
        <f>('Pivot Table for Data Exchange'!$N$46)*100</f>
        <v>7.389067231291123</v>
      </c>
      <c r="D350" s="164">
        <f t="shared" ref="D350:D352" si="45">SUM(E350:G350)</f>
        <v>49.002041451327699</v>
      </c>
      <c r="E350" s="163">
        <f>('Pivot Table for Data Exchange'!$N$49)*100</f>
        <v>45.633836486578787</v>
      </c>
      <c r="F350" s="163">
        <f>('Pivot Table for Data Exchange'!$N$52)*100</f>
        <v>3.3219118305519504</v>
      </c>
      <c r="G350" s="170">
        <f>('Pivot Table for Data Exchange'!$N$55)*100</f>
        <v>4.6293134196965902E-2</v>
      </c>
      <c r="H350" s="172">
        <f>('Pivot Table for Data Exchange'!$N$58)*100</f>
        <v>0</v>
      </c>
      <c r="I350" s="134"/>
      <c r="J350" s="202"/>
      <c r="K350" s="202"/>
      <c r="L350" s="202"/>
      <c r="M350" s="202"/>
      <c r="N350" s="202"/>
      <c r="O350" s="202"/>
      <c r="P350" s="202"/>
      <c r="Q350" s="168">
        <f t="shared" si="44"/>
        <v>100</v>
      </c>
      <c r="R350" s="168"/>
      <c r="S350" s="217"/>
      <c r="T350" s="217"/>
      <c r="U350" s="217"/>
      <c r="V350" s="217"/>
      <c r="W350" s="217"/>
      <c r="X350" s="217"/>
      <c r="Y350" s="217"/>
      <c r="Z350" s="217"/>
      <c r="AA350" s="217"/>
      <c r="AB350" s="217"/>
      <c r="AC350" s="217"/>
      <c r="AD350" s="217"/>
      <c r="AE350" s="217"/>
      <c r="AF350" s="217"/>
      <c r="AG350" s="217"/>
      <c r="AH350" s="217"/>
      <c r="AI350" s="217"/>
      <c r="AJ350" s="217"/>
      <c r="AK350" s="217"/>
      <c r="AL350" s="217"/>
      <c r="AM350" s="217"/>
      <c r="AN350" s="217"/>
      <c r="AO350" s="217"/>
    </row>
    <row r="351" spans="1:41" ht="15.75" customHeight="1">
      <c r="A351" s="134" t="s">
        <v>620</v>
      </c>
      <c r="B351" s="163">
        <f>('Pivot Table for Data Exchange'!$N$79)*100</f>
        <v>0</v>
      </c>
      <c r="C351" s="163">
        <f>('Pivot Table for Data Exchange'!$N$82)*100</f>
        <v>0</v>
      </c>
      <c r="D351" s="164">
        <f t="shared" si="45"/>
        <v>0</v>
      </c>
      <c r="E351" s="163">
        <f>('Pivot Table for Data Exchange'!$N$85)*100</f>
        <v>0</v>
      </c>
      <c r="F351" s="163">
        <f>('Pivot Table for Data Exchange'!$N$88)*100</f>
        <v>0</v>
      </c>
      <c r="G351" s="171">
        <f>('Pivot Table for Data Exchange'!$N$91)*100</f>
        <v>0</v>
      </c>
      <c r="H351" s="163">
        <f>('Pivot Table for Data Exchange'!$N$94)*100</f>
        <v>0</v>
      </c>
      <c r="I351" s="134"/>
      <c r="J351" s="202"/>
      <c r="K351" s="202"/>
      <c r="L351" s="202"/>
      <c r="M351" s="202"/>
      <c r="N351" s="202"/>
      <c r="O351" s="202"/>
      <c r="P351" s="202"/>
      <c r="Q351" s="168">
        <f t="shared" si="44"/>
        <v>0</v>
      </c>
      <c r="R351" s="168"/>
      <c r="S351" s="217"/>
      <c r="T351" s="221"/>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row>
    <row r="352" spans="1:41" ht="15.75" customHeight="1">
      <c r="A352" s="134" t="s">
        <v>657</v>
      </c>
      <c r="B352" s="163">
        <f>('Pivot Table for Data Exchange'!$N$115)*100</f>
        <v>35.296135376171968</v>
      </c>
      <c r="C352" s="163">
        <f>('Pivot Table for Data Exchange'!$N$118)*100</f>
        <v>5.609421449805625</v>
      </c>
      <c r="D352" s="164">
        <f t="shared" si="45"/>
        <v>59.094443174022409</v>
      </c>
      <c r="E352" s="163">
        <f>('Pivot Table for Data Exchange'!$N$121)*100</f>
        <v>58.330665447061513</v>
      </c>
      <c r="F352" s="163">
        <f>('Pivot Table for Data Exchange'!$N$124)*100</f>
        <v>0.76377772696089641</v>
      </c>
      <c r="G352" s="171">
        <f>('Pivot Table for Data Exchange'!$N$127)*100</f>
        <v>0</v>
      </c>
      <c r="H352" s="163">
        <f>('Pivot Table for Data Exchange'!$N$130)*100</f>
        <v>0</v>
      </c>
      <c r="I352" s="134"/>
      <c r="J352" s="202"/>
      <c r="K352" s="202"/>
      <c r="L352" s="202"/>
      <c r="M352" s="202"/>
      <c r="N352" s="202"/>
      <c r="O352" s="202"/>
      <c r="P352" s="202"/>
      <c r="Q352" s="168">
        <f t="shared" si="44"/>
        <v>100</v>
      </c>
      <c r="R352" s="168"/>
      <c r="S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row>
    <row r="353" spans="1:41" ht="15.75" customHeight="1">
      <c r="B353" s="163"/>
      <c r="C353" s="163"/>
      <c r="D353" s="164"/>
      <c r="E353" s="163"/>
      <c r="F353" s="163"/>
      <c r="G353" s="171"/>
      <c r="H353" s="163"/>
      <c r="I353" s="134"/>
      <c r="J353" s="202"/>
      <c r="K353" s="202"/>
      <c r="L353" s="202"/>
      <c r="M353" s="202"/>
      <c r="N353" s="202"/>
      <c r="O353" s="202"/>
      <c r="P353" s="202"/>
      <c r="Q353" s="168">
        <f t="shared" si="44"/>
        <v>0</v>
      </c>
      <c r="R353" s="168"/>
      <c r="S353" s="217"/>
      <c r="U353" s="217"/>
      <c r="V353" s="217"/>
      <c r="W353" s="217"/>
      <c r="X353" s="217"/>
      <c r="Y353" s="217"/>
      <c r="Z353" s="217"/>
      <c r="AA353" s="217"/>
      <c r="AB353" s="217"/>
      <c r="AC353" s="217"/>
      <c r="AD353" s="217"/>
      <c r="AE353" s="217"/>
      <c r="AF353" s="217"/>
      <c r="AG353" s="217"/>
      <c r="AH353" s="217"/>
      <c r="AI353" s="217"/>
      <c r="AJ353" s="217"/>
      <c r="AK353" s="217"/>
      <c r="AL353" s="217"/>
      <c r="AM353" s="217"/>
      <c r="AN353" s="217"/>
      <c r="AO353" s="217"/>
    </row>
    <row r="354" spans="1:41" ht="15.75" customHeight="1">
      <c r="A354" s="134" t="s">
        <v>622</v>
      </c>
      <c r="B354" s="163">
        <f>('Pivot Table for Data Exchange'!$N$151)*100</f>
        <v>0</v>
      </c>
      <c r="C354" s="163">
        <f>('Pivot Table for Data Exchange'!$N$154)*100</f>
        <v>0</v>
      </c>
      <c r="D354" s="164">
        <f t="shared" ref="D354:D355" si="46">SUM(E354:G354)</f>
        <v>0</v>
      </c>
      <c r="E354" s="163">
        <f>('Pivot Table for Data Exchange'!$N$157)*100</f>
        <v>0</v>
      </c>
      <c r="F354" s="163">
        <f>('Pivot Table for Data Exchange'!$N$160)*100</f>
        <v>0</v>
      </c>
      <c r="G354" s="171">
        <f>('Pivot Table for Data Exchange'!$N$163)*100</f>
        <v>0</v>
      </c>
      <c r="H354" s="163">
        <f>('Pivot Table for Data Exchange'!$N$166)*100</f>
        <v>0</v>
      </c>
      <c r="I354" s="134"/>
      <c r="J354" s="202"/>
      <c r="K354" s="202"/>
      <c r="L354" s="202"/>
      <c r="M354" s="202"/>
      <c r="N354" s="202"/>
      <c r="O354" s="202"/>
      <c r="P354" s="202"/>
      <c r="Q354" s="168">
        <f t="shared" si="44"/>
        <v>0</v>
      </c>
      <c r="R354" s="168"/>
      <c r="S354" s="217"/>
      <c r="T354" s="217"/>
      <c r="U354" s="217"/>
      <c r="V354" s="217"/>
      <c r="W354" s="217"/>
      <c r="X354" s="217"/>
      <c r="Y354" s="217"/>
      <c r="Z354" s="217"/>
      <c r="AA354" s="217"/>
      <c r="AB354" s="217"/>
      <c r="AC354" s="217"/>
      <c r="AD354" s="217"/>
      <c r="AE354" s="217"/>
      <c r="AF354" s="217"/>
      <c r="AG354" s="217"/>
      <c r="AH354" s="217"/>
      <c r="AI354" s="217"/>
      <c r="AJ354" s="217"/>
      <c r="AK354" s="217"/>
      <c r="AL354" s="217"/>
      <c r="AM354" s="217"/>
      <c r="AN354" s="217"/>
      <c r="AO354" s="217"/>
    </row>
    <row r="355" spans="1:41" ht="15.75" customHeight="1">
      <c r="A355" s="134" t="s">
        <v>623</v>
      </c>
      <c r="B355" s="163">
        <f>('Pivot Table for Data Exchange'!$N$187)*100</f>
        <v>43.08763151141904</v>
      </c>
      <c r="C355" s="163">
        <f>('Pivot Table for Data Exchange'!$N$190)*100</f>
        <v>9.4495765973826007</v>
      </c>
      <c r="D355" s="164">
        <f t="shared" si="46"/>
        <v>47.462791891198357</v>
      </c>
      <c r="E355" s="163">
        <f>('Pivot Table for Data Exchange'!$N$193)*100</f>
        <v>47.462791891198357</v>
      </c>
      <c r="F355" s="163">
        <f>('Pivot Table for Data Exchange'!$N$196)*100</f>
        <v>0</v>
      </c>
      <c r="G355" s="171">
        <f>('Pivot Table for Data Exchange'!$N$199)*100</f>
        <v>0</v>
      </c>
      <c r="H355" s="163">
        <f>('Pivot Table for Data Exchange'!$N$202)*100</f>
        <v>0</v>
      </c>
      <c r="I355" s="134"/>
      <c r="J355" s="202"/>
      <c r="K355" s="202"/>
      <c r="L355" s="202"/>
      <c r="M355" s="202"/>
      <c r="N355" s="202"/>
      <c r="O355" s="202"/>
      <c r="P355" s="202"/>
      <c r="Q355" s="168">
        <f t="shared" si="44"/>
        <v>100</v>
      </c>
      <c r="R355" s="168"/>
      <c r="S355" s="217"/>
      <c r="T355" s="217"/>
      <c r="U355" s="217"/>
      <c r="V355" s="217"/>
      <c r="W355" s="217"/>
      <c r="X355" s="217"/>
      <c r="Y355" s="217"/>
      <c r="Z355" s="217"/>
      <c r="AA355" s="217"/>
      <c r="AB355" s="217"/>
      <c r="AC355" s="217"/>
      <c r="AD355" s="217"/>
      <c r="AE355" s="217"/>
      <c r="AF355" s="217"/>
      <c r="AG355" s="217"/>
      <c r="AH355" s="217"/>
      <c r="AI355" s="217"/>
      <c r="AJ355" s="217"/>
      <c r="AK355" s="217"/>
      <c r="AL355" s="217"/>
      <c r="AM355" s="217"/>
      <c r="AN355" s="217"/>
      <c r="AO355" s="217"/>
    </row>
    <row r="356" spans="1:41" ht="15.75" customHeight="1">
      <c r="A356" s="134" t="s">
        <v>624</v>
      </c>
      <c r="B356" s="163">
        <f>('Pivot Table for Data Exchange'!$N$223)*100</f>
        <v>51.642704597823865</v>
      </c>
      <c r="C356" s="163">
        <f>('Pivot Table for Data Exchange'!$N$226)*100</f>
        <v>0</v>
      </c>
      <c r="D356" s="164">
        <f>SUM(E356:G356)</f>
        <v>48.357295402176135</v>
      </c>
      <c r="E356" s="163">
        <f>('Pivot Table for Data Exchange'!$N$229)*100</f>
        <v>48.357295402176135</v>
      </c>
      <c r="F356" s="163">
        <f>('Pivot Table for Data Exchange'!$N$232)*100</f>
        <v>0</v>
      </c>
      <c r="G356" s="171">
        <f>('Pivot Table for Data Exchange'!$N$235)*100</f>
        <v>0</v>
      </c>
      <c r="H356" s="163">
        <f>('Pivot Table for Data Exchange'!$N$238)*100</f>
        <v>0</v>
      </c>
      <c r="I356" s="134"/>
      <c r="J356" s="202"/>
      <c r="K356" s="202"/>
      <c r="L356" s="202"/>
      <c r="M356" s="202"/>
      <c r="N356" s="202"/>
      <c r="O356" s="202"/>
      <c r="P356" s="202"/>
      <c r="Q356" s="168">
        <f t="shared" si="44"/>
        <v>100</v>
      </c>
      <c r="R356" s="168"/>
      <c r="S356" s="217"/>
      <c r="T356" s="221"/>
      <c r="U356" s="217"/>
      <c r="V356" s="217"/>
      <c r="W356" s="217"/>
      <c r="X356" s="217"/>
      <c r="Y356" s="217"/>
      <c r="Z356" s="217"/>
      <c r="AA356" s="217"/>
      <c r="AB356" s="217"/>
      <c r="AC356" s="217"/>
      <c r="AD356" s="217"/>
      <c r="AE356" s="217"/>
      <c r="AF356" s="217"/>
      <c r="AG356" s="217"/>
      <c r="AH356" s="217"/>
      <c r="AI356" s="217"/>
      <c r="AJ356" s="217"/>
      <c r="AK356" s="217"/>
      <c r="AL356" s="217"/>
      <c r="AM356" s="217"/>
      <c r="AN356" s="217"/>
      <c r="AO356" s="217"/>
    </row>
    <row r="357" spans="1:41" ht="15.75" customHeight="1">
      <c r="A357" s="134" t="s">
        <v>625</v>
      </c>
      <c r="B357" s="163">
        <f>('Pivot Table for Data Exchange'!$N$259)*100</f>
        <v>27.591917853593905</v>
      </c>
      <c r="C357" s="163">
        <f>('Pivot Table for Data Exchange'!$N$262)*100</f>
        <v>6.7291767523632373</v>
      </c>
      <c r="D357" s="164">
        <f>SUM(E357:G357)</f>
        <v>65.678905394042857</v>
      </c>
      <c r="E357" s="163">
        <f>('Pivot Table for Data Exchange'!$N$265)*100</f>
        <v>65.678905394042857</v>
      </c>
      <c r="F357" s="163">
        <f>('Pivot Table for Data Exchange'!$N$268)*100</f>
        <v>0</v>
      </c>
      <c r="G357" s="171">
        <f>('Pivot Table for Data Exchange'!$N$271)*100</f>
        <v>0</v>
      </c>
      <c r="H357" s="163">
        <f>('Pivot Table for Data Exchange'!$N$274)*100</f>
        <v>0</v>
      </c>
      <c r="I357" s="134"/>
      <c r="J357" s="202"/>
      <c r="K357" s="202"/>
      <c r="L357" s="202"/>
      <c r="M357" s="202"/>
      <c r="N357" s="202"/>
      <c r="O357" s="202"/>
      <c r="P357" s="202"/>
      <c r="Q357" s="168">
        <f t="shared" si="44"/>
        <v>100</v>
      </c>
      <c r="R357" s="168"/>
      <c r="S357" s="217"/>
      <c r="U357" s="217"/>
      <c r="V357" s="217"/>
      <c r="W357" s="217"/>
      <c r="X357" s="217"/>
      <c r="Y357" s="217"/>
      <c r="Z357" s="217"/>
      <c r="AA357" s="217"/>
      <c r="AB357" s="217"/>
      <c r="AC357" s="217"/>
      <c r="AD357" s="217"/>
      <c r="AE357" s="217"/>
      <c r="AF357" s="217"/>
      <c r="AG357" s="217"/>
      <c r="AH357" s="217"/>
      <c r="AI357" s="217"/>
      <c r="AJ357" s="217"/>
      <c r="AK357" s="217"/>
      <c r="AL357" s="217"/>
      <c r="AM357" s="217"/>
      <c r="AN357" s="217"/>
      <c r="AO357" s="217"/>
    </row>
    <row r="358" spans="1:41" ht="12.75" customHeight="1">
      <c r="B358" s="163"/>
      <c r="C358" s="163"/>
      <c r="D358" s="164"/>
      <c r="E358" s="163"/>
      <c r="F358" s="163"/>
      <c r="G358" s="171"/>
      <c r="H358" s="163"/>
      <c r="I358" s="134"/>
      <c r="J358" s="202"/>
      <c r="K358" s="202"/>
      <c r="L358" s="202"/>
      <c r="M358" s="202"/>
      <c r="N358" s="202"/>
      <c r="O358" s="202"/>
      <c r="P358" s="202"/>
      <c r="Q358" s="168">
        <f t="shared" si="44"/>
        <v>0</v>
      </c>
      <c r="R358" s="168"/>
      <c r="S358" s="217"/>
      <c r="U358" s="217"/>
      <c r="V358" s="217"/>
      <c r="W358" s="217"/>
      <c r="X358" s="217"/>
      <c r="Y358" s="217"/>
      <c r="Z358" s="217"/>
      <c r="AA358" s="217"/>
      <c r="AB358" s="217"/>
      <c r="AC358" s="217"/>
      <c r="AD358" s="217"/>
      <c r="AE358" s="217"/>
      <c r="AF358" s="217"/>
      <c r="AG358" s="217"/>
      <c r="AH358" s="217"/>
      <c r="AI358" s="217"/>
      <c r="AJ358" s="217"/>
      <c r="AK358" s="217"/>
      <c r="AL358" s="217"/>
      <c r="AM358" s="217"/>
      <c r="AN358" s="217"/>
      <c r="AO358" s="217"/>
    </row>
    <row r="359" spans="1:41" ht="15.75" customHeight="1">
      <c r="A359" s="134" t="s">
        <v>672</v>
      </c>
      <c r="B359" s="163">
        <f>('Pivot Table for Data Exchange'!$N$295)*100</f>
        <v>57.594759475947598</v>
      </c>
      <c r="C359" s="163">
        <f>('Pivot Table for Data Exchange'!$N$298)*100</f>
        <v>0.14801480148014801</v>
      </c>
      <c r="D359" s="164">
        <f>SUM(E359:G359)</f>
        <v>42.257225722572258</v>
      </c>
      <c r="E359" s="163">
        <f>('Pivot Table for Data Exchange'!$N$301)*100</f>
        <v>42.257225722572258</v>
      </c>
      <c r="F359" s="163">
        <f>('Pivot Table for Data Exchange'!$N$304)*100</f>
        <v>0</v>
      </c>
      <c r="G359" s="171">
        <f>('Pivot Table for Data Exchange'!$N$307)*100</f>
        <v>0</v>
      </c>
      <c r="H359" s="163">
        <f>('Pivot Table for Data Exchange'!$N$310)*100</f>
        <v>0</v>
      </c>
      <c r="I359" s="209"/>
      <c r="J359" s="202"/>
      <c r="K359" s="202"/>
      <c r="L359" s="202"/>
      <c r="M359" s="202"/>
      <c r="N359" s="202"/>
      <c r="O359" s="202"/>
      <c r="P359" s="202"/>
      <c r="Q359" s="168">
        <f t="shared" si="44"/>
        <v>100</v>
      </c>
      <c r="R359" s="168"/>
      <c r="S359" s="217"/>
      <c r="T359" s="217"/>
      <c r="U359" s="217"/>
      <c r="V359" s="217"/>
      <c r="W359" s="217"/>
      <c r="X359" s="217"/>
      <c r="Y359" s="217"/>
      <c r="Z359" s="217"/>
      <c r="AA359" s="217"/>
      <c r="AB359" s="217"/>
      <c r="AC359" s="217"/>
      <c r="AD359" s="217"/>
      <c r="AE359" s="217"/>
      <c r="AF359" s="217"/>
      <c r="AG359" s="217"/>
      <c r="AH359" s="217"/>
      <c r="AI359" s="217"/>
      <c r="AJ359" s="217"/>
      <c r="AK359" s="217"/>
      <c r="AL359" s="217"/>
      <c r="AM359" s="217"/>
      <c r="AN359" s="217"/>
      <c r="AO359" s="217"/>
    </row>
    <row r="360" spans="1:41" ht="15.75" customHeight="1">
      <c r="A360" s="134" t="s">
        <v>627</v>
      </c>
      <c r="B360" s="163">
        <f>('Pivot Table for Data Exchange'!$N$331)*100</f>
        <v>27.158941122198815</v>
      </c>
      <c r="C360" s="163">
        <f>('Pivot Table for Data Exchange'!$N$334)*100</f>
        <v>3.8308207491487249</v>
      </c>
      <c r="D360" s="164">
        <f>SUM(E360:G360)</f>
        <v>69.01023812865246</v>
      </c>
      <c r="E360" s="163">
        <f>('Pivot Table for Data Exchange'!$N$337)*100</f>
        <v>69.01023812865246</v>
      </c>
      <c r="F360" s="163">
        <f>('Pivot Table for Data Exchange'!$N$340)*100</f>
        <v>0</v>
      </c>
      <c r="G360" s="171">
        <f>('Pivot Table for Data Exchange'!$N$343)*100</f>
        <v>0</v>
      </c>
      <c r="H360" s="163">
        <f>('Pivot Table for Data Exchange'!$N$346)*100</f>
        <v>0</v>
      </c>
      <c r="I360" s="134"/>
      <c r="J360" s="202"/>
      <c r="K360" s="202"/>
      <c r="L360" s="202"/>
      <c r="M360" s="202"/>
      <c r="N360" s="202"/>
      <c r="O360" s="202"/>
      <c r="P360" s="202"/>
      <c r="Q360" s="168">
        <f t="shared" si="44"/>
        <v>100</v>
      </c>
      <c r="R360" s="168"/>
      <c r="S360" s="217"/>
      <c r="T360" s="217"/>
      <c r="U360" s="217"/>
      <c r="V360" s="217"/>
      <c r="W360" s="217"/>
      <c r="X360" s="217"/>
      <c r="Y360" s="217"/>
      <c r="Z360" s="217"/>
      <c r="AA360" s="217"/>
      <c r="AB360" s="217"/>
      <c r="AC360" s="217"/>
      <c r="AD360" s="217"/>
      <c r="AE360" s="217"/>
      <c r="AF360" s="217"/>
      <c r="AG360" s="217"/>
      <c r="AH360" s="217"/>
      <c r="AI360" s="217"/>
      <c r="AJ360" s="217"/>
      <c r="AK360" s="217"/>
      <c r="AL360" s="217"/>
      <c r="AM360" s="217"/>
      <c r="AN360" s="217"/>
      <c r="AO360" s="217"/>
    </row>
    <row r="361" spans="1:41" ht="15.75" customHeight="1">
      <c r="A361" s="134" t="s">
        <v>628</v>
      </c>
      <c r="B361" s="163">
        <f>('Pivot Table for Data Exchange'!$N$367)*100</f>
        <v>0</v>
      </c>
      <c r="C361" s="163">
        <f>('Pivot Table for Data Exchange'!$N$370)*100</f>
        <v>0</v>
      </c>
      <c r="D361" s="164">
        <f>SUM(E361:G361)</f>
        <v>0</v>
      </c>
      <c r="E361" s="163">
        <f>('Pivot Table for Data Exchange'!$N$373)*100</f>
        <v>0</v>
      </c>
      <c r="F361" s="163">
        <f>('Pivot Table for Data Exchange'!$N$376)*100</f>
        <v>0</v>
      </c>
      <c r="G361" s="170">
        <f>('Pivot Table for Data Exchange'!$N$379)*100</f>
        <v>0</v>
      </c>
      <c r="H361" s="163">
        <f>('Pivot Table for Data Exchange'!$N$382)*100</f>
        <v>0</v>
      </c>
      <c r="I361" s="134"/>
      <c r="J361" s="202"/>
      <c r="K361" s="202"/>
      <c r="L361" s="202"/>
      <c r="M361" s="202"/>
      <c r="N361" s="202"/>
      <c r="O361" s="202"/>
      <c r="P361" s="202"/>
      <c r="Q361" s="168">
        <f t="shared" si="44"/>
        <v>0</v>
      </c>
      <c r="R361" s="168"/>
      <c r="S361" s="217"/>
      <c r="T361" s="221"/>
      <c r="U361" s="217"/>
      <c r="V361" s="217"/>
      <c r="W361" s="217"/>
      <c r="X361" s="217"/>
      <c r="Y361" s="217"/>
      <c r="Z361" s="217"/>
      <c r="AA361" s="217"/>
      <c r="AB361" s="217"/>
      <c r="AC361" s="217"/>
      <c r="AD361" s="217"/>
      <c r="AE361" s="217"/>
      <c r="AF361" s="217"/>
      <c r="AG361" s="217"/>
      <c r="AH361" s="217"/>
      <c r="AI361" s="217"/>
      <c r="AJ361" s="217"/>
      <c r="AK361" s="217"/>
      <c r="AL361" s="217"/>
      <c r="AM361" s="217"/>
      <c r="AN361" s="217"/>
      <c r="AO361" s="217"/>
    </row>
    <row r="362" spans="1:41" ht="15.75" customHeight="1">
      <c r="A362" s="134" t="s">
        <v>629</v>
      </c>
      <c r="B362" s="163">
        <f>('Pivot Table for Data Exchange'!$N$403)*100</f>
        <v>22.344979630277042</v>
      </c>
      <c r="C362" s="163">
        <f>('Pivot Table for Data Exchange'!$N$406)*100</f>
        <v>13.343060381423955</v>
      </c>
      <c r="D362" s="164">
        <f>SUM(E362:G362)</f>
        <v>64.311959988299009</v>
      </c>
      <c r="E362" s="163">
        <f>('Pivot Table for Data Exchange'!$N$409)*100</f>
        <v>64.240255709586975</v>
      </c>
      <c r="F362" s="163">
        <f>('Pivot Table for Data Exchange'!$N$412)*100</f>
        <v>7.1704278712034192E-2</v>
      </c>
      <c r="G362" s="171">
        <f>('Pivot Table for Data Exchange'!$N$415)*100</f>
        <v>0</v>
      </c>
      <c r="H362" s="163">
        <f>('Pivot Table for Data Exchange'!$N$418)*100</f>
        <v>0</v>
      </c>
      <c r="I362" s="134"/>
      <c r="J362" s="202"/>
      <c r="K362" s="202"/>
      <c r="L362" s="202"/>
      <c r="M362" s="202"/>
      <c r="N362" s="202"/>
      <c r="O362" s="202"/>
      <c r="P362" s="202"/>
      <c r="Q362" s="168">
        <f t="shared" si="44"/>
        <v>100</v>
      </c>
      <c r="R362" s="168"/>
      <c r="S362" s="217"/>
      <c r="T362" s="217"/>
      <c r="U362" s="217"/>
      <c r="V362" s="217"/>
      <c r="W362" s="217"/>
      <c r="X362" s="217"/>
      <c r="Y362" s="217"/>
      <c r="Z362" s="217"/>
      <c r="AA362" s="217"/>
      <c r="AB362" s="217"/>
      <c r="AC362" s="217"/>
      <c r="AD362" s="217"/>
      <c r="AE362" s="217"/>
      <c r="AF362" s="217"/>
      <c r="AG362" s="217"/>
      <c r="AH362" s="217"/>
      <c r="AI362" s="217"/>
      <c r="AJ362" s="217"/>
      <c r="AK362" s="217"/>
      <c r="AL362" s="217"/>
      <c r="AM362" s="217"/>
      <c r="AN362" s="217"/>
      <c r="AO362" s="217"/>
    </row>
    <row r="363" spans="1:41" ht="12" customHeight="1">
      <c r="B363" s="163"/>
      <c r="C363" s="163"/>
      <c r="D363" s="164"/>
      <c r="E363" s="163"/>
      <c r="F363" s="163"/>
      <c r="G363" s="171"/>
      <c r="H363" s="163"/>
      <c r="I363" s="134"/>
      <c r="J363" s="202"/>
      <c r="K363" s="202"/>
      <c r="L363" s="202"/>
      <c r="M363" s="202"/>
      <c r="N363" s="202"/>
      <c r="O363" s="202"/>
      <c r="P363" s="202"/>
      <c r="Q363" s="168">
        <f t="shared" si="44"/>
        <v>0</v>
      </c>
      <c r="R363" s="168"/>
      <c r="S363" s="217"/>
      <c r="T363" s="217"/>
      <c r="U363" s="217"/>
      <c r="V363" s="217"/>
      <c r="W363" s="217"/>
      <c r="X363" s="217"/>
      <c r="Y363" s="217"/>
      <c r="Z363" s="217"/>
      <c r="AA363" s="217"/>
      <c r="AB363" s="217"/>
      <c r="AC363" s="217"/>
      <c r="AD363" s="217"/>
      <c r="AE363" s="217"/>
      <c r="AF363" s="217"/>
      <c r="AG363" s="217"/>
      <c r="AH363" s="217"/>
      <c r="AI363" s="217"/>
      <c r="AJ363" s="217"/>
      <c r="AK363" s="217"/>
      <c r="AL363" s="217"/>
      <c r="AM363" s="217"/>
      <c r="AN363" s="217"/>
      <c r="AO363" s="217"/>
    </row>
    <row r="364" spans="1:41" ht="15.75" customHeight="1">
      <c r="A364" s="134" t="s">
        <v>630</v>
      </c>
      <c r="B364" s="163">
        <f>('Pivot Table for Data Exchange'!$N$439)*100</f>
        <v>22.347424755732312</v>
      </c>
      <c r="C364" s="163">
        <f>('Pivot Table for Data Exchange'!$N$442)*100</f>
        <v>27.399715225610056</v>
      </c>
      <c r="D364" s="164">
        <f>SUM(E364:G364)</f>
        <v>49.798693965728873</v>
      </c>
      <c r="E364" s="163">
        <f>('Pivot Table for Data Exchange'!$N$445)*100</f>
        <v>47.444395345411692</v>
      </c>
      <c r="F364" s="163">
        <f>('Pivot Table for Data Exchange'!$N$448)*100</f>
        <v>0</v>
      </c>
      <c r="G364" s="171">
        <f>('Pivot Table for Data Exchange'!$N$451)*100</f>
        <v>2.3542986203171798</v>
      </c>
      <c r="H364" s="163">
        <f>('Pivot Table for Data Exchange'!$N$454)*100</f>
        <v>0.45416605292875734</v>
      </c>
      <c r="I364" s="134"/>
      <c r="J364" s="202"/>
      <c r="K364" s="202"/>
      <c r="L364" s="202"/>
      <c r="M364" s="202"/>
      <c r="N364" s="202"/>
      <c r="O364" s="202"/>
      <c r="P364" s="202"/>
      <c r="Q364" s="168">
        <f t="shared" si="44"/>
        <v>100</v>
      </c>
      <c r="R364" s="168"/>
      <c r="S364" s="217"/>
      <c r="T364" s="217"/>
      <c r="U364" s="217"/>
      <c r="V364" s="217"/>
      <c r="W364" s="217"/>
      <c r="X364" s="217"/>
      <c r="Y364" s="217"/>
      <c r="Z364" s="217"/>
      <c r="AA364" s="217"/>
      <c r="AB364" s="217"/>
      <c r="AC364" s="217"/>
      <c r="AD364" s="217"/>
      <c r="AE364" s="217"/>
      <c r="AF364" s="217"/>
      <c r="AG364" s="217"/>
      <c r="AH364" s="217"/>
      <c r="AI364" s="217"/>
      <c r="AJ364" s="217"/>
      <c r="AK364" s="217"/>
      <c r="AL364" s="217"/>
      <c r="AM364" s="217"/>
      <c r="AN364" s="217"/>
      <c r="AO364" s="217"/>
    </row>
    <row r="365" spans="1:41" ht="15.75" customHeight="1">
      <c r="A365" s="134" t="s">
        <v>631</v>
      </c>
      <c r="B365" s="163">
        <f>('Pivot Table for Data Exchange'!$N$475)*100</f>
        <v>24.491657318416557</v>
      </c>
      <c r="C365" s="163">
        <f>('Pivot Table for Data Exchange'!$N$478)*100</f>
        <v>11.748476487887698</v>
      </c>
      <c r="D365" s="164">
        <f>SUM(E365:G365)</f>
        <v>63.759866193695743</v>
      </c>
      <c r="E365" s="163">
        <f>('Pivot Table for Data Exchange'!$N$481)*100</f>
        <v>53.617267481227707</v>
      </c>
      <c r="F365" s="163">
        <f>('Pivot Table for Data Exchange'!$N$484)*100</f>
        <v>0.66827355506371966</v>
      </c>
      <c r="G365" s="171">
        <f>('Pivot Table for Data Exchange'!$N$487)*100</f>
        <v>9.4743251574043192</v>
      </c>
      <c r="H365" s="163">
        <f>('Pivot Table for Data Exchange'!$N$490)*100</f>
        <v>0</v>
      </c>
      <c r="I365" s="134"/>
      <c r="J365" s="202"/>
      <c r="K365" s="202"/>
      <c r="L365" s="202"/>
      <c r="M365" s="202"/>
      <c r="N365" s="202"/>
      <c r="O365" s="202"/>
      <c r="P365" s="202"/>
      <c r="Q365" s="168">
        <f t="shared" si="44"/>
        <v>100</v>
      </c>
      <c r="R365" s="168"/>
      <c r="S365" s="217"/>
      <c r="T365" s="217"/>
      <c r="U365" s="217"/>
      <c r="V365" s="217"/>
      <c r="W365" s="217"/>
      <c r="X365" s="217"/>
      <c r="Y365" s="217"/>
      <c r="Z365" s="217"/>
      <c r="AA365" s="217"/>
      <c r="AB365" s="217"/>
      <c r="AC365" s="217"/>
      <c r="AD365" s="217"/>
      <c r="AE365" s="217"/>
      <c r="AF365" s="217"/>
      <c r="AG365" s="217"/>
      <c r="AH365" s="217"/>
      <c r="AI365" s="217"/>
      <c r="AJ365" s="217"/>
      <c r="AK365" s="217"/>
      <c r="AL365" s="217"/>
      <c r="AM365" s="217"/>
      <c r="AN365" s="217"/>
      <c r="AO365" s="217"/>
    </row>
    <row r="366" spans="1:41" ht="15.75" customHeight="1">
      <c r="A366" s="134" t="s">
        <v>632</v>
      </c>
      <c r="B366" s="163">
        <f>('Pivot Table for Data Exchange'!$N$511)*100</f>
        <v>16.496313719245514</v>
      </c>
      <c r="C366" s="163">
        <f>('Pivot Table for Data Exchange'!$N$514)*100</f>
        <v>16.688949119704876</v>
      </c>
      <c r="D366" s="164">
        <f>SUM(E366:G366)</f>
        <v>66.814737161049607</v>
      </c>
      <c r="E366" s="163">
        <f>('Pivot Table for Data Exchange'!$N$517)*100</f>
        <v>58.527876288705393</v>
      </c>
      <c r="F366" s="163">
        <f>('Pivot Table for Data Exchange'!$N$520)*100</f>
        <v>5.440678359701824</v>
      </c>
      <c r="G366" s="171">
        <f>('Pivot Table for Data Exchange'!$N$523)*100</f>
        <v>2.8461825126423892</v>
      </c>
      <c r="H366" s="163">
        <f>('Pivot Table for Data Exchange'!$N$526)*100</f>
        <v>0</v>
      </c>
      <c r="I366" s="134"/>
      <c r="J366" s="202"/>
      <c r="K366" s="202"/>
      <c r="L366" s="202"/>
      <c r="M366" s="202"/>
      <c r="N366" s="202"/>
      <c r="O366" s="202"/>
      <c r="P366" s="202"/>
      <c r="Q366" s="168">
        <f t="shared" si="44"/>
        <v>100</v>
      </c>
      <c r="R366" s="168"/>
      <c r="S366" s="217"/>
      <c r="T366" s="217"/>
      <c r="U366" s="217"/>
      <c r="V366" s="217"/>
      <c r="W366" s="217"/>
      <c r="X366" s="217"/>
      <c r="Y366" s="217"/>
      <c r="Z366" s="217"/>
      <c r="AA366" s="217"/>
      <c r="AB366" s="217"/>
      <c r="AC366" s="217"/>
      <c r="AD366" s="217"/>
      <c r="AE366" s="217"/>
      <c r="AF366" s="217"/>
      <c r="AG366" s="217"/>
      <c r="AH366" s="217"/>
      <c r="AI366" s="217"/>
      <c r="AJ366" s="217"/>
      <c r="AK366" s="217"/>
      <c r="AL366" s="217"/>
      <c r="AM366" s="217"/>
      <c r="AN366" s="217"/>
      <c r="AO366" s="217"/>
    </row>
    <row r="367" spans="1:41" ht="15.75" customHeight="1">
      <c r="A367" s="140" t="s">
        <v>633</v>
      </c>
      <c r="B367" s="176">
        <f>('Pivot Table for Data Exchange'!$N$547)*100</f>
        <v>34.734954165005973</v>
      </c>
      <c r="C367" s="176">
        <f>('Pivot Table for Data Exchange'!$N$550)*100</f>
        <v>6.5680217882290419</v>
      </c>
      <c r="D367" s="177">
        <f>SUM(E367:G367)</f>
        <v>58.697024046764973</v>
      </c>
      <c r="E367" s="176">
        <f>('Pivot Table for Data Exchange'!$N$553)*100</f>
        <v>57.564434701740396</v>
      </c>
      <c r="F367" s="176">
        <f>('Pivot Table for Data Exchange'!$N$556)*100</f>
        <v>0.28895974491829413</v>
      </c>
      <c r="G367" s="178">
        <f>('Pivot Table for Data Exchange'!$N$559)*100</f>
        <v>0.84362960010628396</v>
      </c>
      <c r="H367" s="176">
        <f>('Pivot Table for Data Exchange'!$N$562)*100</f>
        <v>0</v>
      </c>
      <c r="I367" s="134"/>
      <c r="J367" s="202"/>
      <c r="K367" s="202"/>
      <c r="L367" s="202"/>
      <c r="M367" s="202"/>
      <c r="N367" s="202"/>
      <c r="O367" s="202"/>
      <c r="P367" s="202"/>
      <c r="Q367" s="168">
        <f t="shared" si="44"/>
        <v>99.999999999999986</v>
      </c>
      <c r="R367" s="168"/>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row>
    <row r="368" spans="1:41" s="207" customFormat="1" ht="12" customHeight="1">
      <c r="A368" s="182" t="s">
        <v>658</v>
      </c>
      <c r="B368" s="183"/>
      <c r="C368" s="183"/>
      <c r="D368" s="184"/>
      <c r="E368" s="183"/>
      <c r="F368" s="184"/>
      <c r="G368" s="184"/>
      <c r="H368" s="183"/>
      <c r="I368" s="192"/>
      <c r="J368" s="183"/>
      <c r="K368" s="183"/>
      <c r="L368" s="184"/>
      <c r="M368" s="183"/>
      <c r="N368" s="184"/>
      <c r="O368" s="184"/>
      <c r="P368" s="183"/>
      <c r="Q368" s="168">
        <f t="shared" si="44"/>
        <v>0</v>
      </c>
      <c r="R368" s="203"/>
      <c r="S368" s="220"/>
      <c r="T368" s="220"/>
      <c r="U368" s="220"/>
      <c r="V368" s="220"/>
      <c r="W368" s="220"/>
      <c r="X368" s="220"/>
      <c r="Y368" s="220"/>
      <c r="Z368" s="220"/>
      <c r="AA368" s="220"/>
      <c r="AB368" s="220"/>
      <c r="AC368" s="220"/>
      <c r="AD368" s="220"/>
      <c r="AE368" s="220"/>
      <c r="AF368" s="220"/>
      <c r="AG368" s="220"/>
      <c r="AH368" s="220"/>
      <c r="AI368" s="220"/>
      <c r="AJ368" s="220"/>
      <c r="AK368" s="220"/>
      <c r="AL368" s="220"/>
      <c r="AM368" s="220"/>
      <c r="AN368" s="220"/>
      <c r="AO368" s="220"/>
    </row>
    <row r="369" spans="1:41" s="207" customFormat="1" ht="22.5" customHeight="1">
      <c r="A369" s="633" t="s">
        <v>673</v>
      </c>
      <c r="B369" s="634"/>
      <c r="C369" s="634"/>
      <c r="D369" s="634"/>
      <c r="E369" s="634"/>
      <c r="F369" s="634"/>
      <c r="G369" s="634"/>
      <c r="H369" s="634"/>
      <c r="I369" s="192"/>
      <c r="J369" s="181"/>
      <c r="K369" s="181"/>
      <c r="L369" s="181"/>
      <c r="M369" s="181"/>
      <c r="N369" s="181"/>
      <c r="O369" s="181"/>
      <c r="P369" s="194"/>
      <c r="Q369" s="168">
        <f t="shared" si="44"/>
        <v>0</v>
      </c>
      <c r="R369" s="204"/>
    </row>
    <row r="370" spans="1:41" s="207" customFormat="1" ht="13.5" customHeight="1">
      <c r="A370" s="192"/>
      <c r="B370" s="181"/>
      <c r="C370" s="181"/>
      <c r="D370" s="181"/>
      <c r="E370" s="181"/>
      <c r="F370" s="181"/>
      <c r="G370" s="181"/>
      <c r="H370" s="181"/>
      <c r="I370" s="192"/>
      <c r="J370" s="181"/>
      <c r="K370" s="181"/>
      <c r="L370" s="181"/>
      <c r="M370" s="181"/>
      <c r="N370" s="181"/>
      <c r="O370" s="181"/>
      <c r="P370" s="181"/>
      <c r="Q370" s="168">
        <f t="shared" si="44"/>
        <v>0</v>
      </c>
      <c r="R370" s="204"/>
    </row>
    <row r="371" spans="1:41" s="207" customFormat="1">
      <c r="A371" s="181"/>
      <c r="B371" s="183"/>
      <c r="C371" s="183"/>
      <c r="D371" s="184"/>
      <c r="E371" s="183"/>
      <c r="F371" s="184"/>
      <c r="G371" s="184"/>
      <c r="H371" s="187" t="s">
        <v>992</v>
      </c>
      <c r="I371" s="208"/>
      <c r="J371" s="181"/>
      <c r="K371" s="181"/>
      <c r="L371" s="181"/>
      <c r="M371" s="181"/>
      <c r="N371" s="181"/>
      <c r="O371" s="181"/>
      <c r="P371" s="181"/>
      <c r="Q371" s="168">
        <f t="shared" si="44"/>
        <v>0</v>
      </c>
      <c r="R371" s="203"/>
      <c r="S371" s="220"/>
      <c r="T371" s="220"/>
      <c r="U371" s="220"/>
      <c r="V371" s="220"/>
      <c r="W371" s="220"/>
      <c r="X371" s="220"/>
      <c r="Y371" s="220"/>
      <c r="Z371" s="220"/>
      <c r="AA371" s="220"/>
      <c r="AB371" s="220"/>
      <c r="AC371" s="220"/>
      <c r="AD371" s="220"/>
      <c r="AE371" s="220"/>
      <c r="AF371" s="220"/>
      <c r="AG371" s="220"/>
      <c r="AH371" s="220"/>
      <c r="AI371" s="220"/>
      <c r="AJ371" s="220"/>
      <c r="AK371" s="220"/>
      <c r="AL371" s="220"/>
      <c r="AM371" s="220"/>
      <c r="AN371" s="220"/>
      <c r="AO371" s="220"/>
    </row>
    <row r="372" spans="1:41" ht="18">
      <c r="A372" s="129" t="s">
        <v>679</v>
      </c>
      <c r="B372" s="130"/>
      <c r="C372" s="130"/>
      <c r="D372" s="130"/>
      <c r="E372" s="130"/>
      <c r="F372" s="130"/>
      <c r="G372" s="130"/>
      <c r="H372" s="130"/>
      <c r="Q372" s="168">
        <f t="shared" si="44"/>
        <v>0</v>
      </c>
    </row>
    <row r="373" spans="1:41">
      <c r="A373" s="135"/>
      <c r="B373" s="131"/>
      <c r="C373" s="131"/>
      <c r="D373" s="131"/>
      <c r="E373" s="131"/>
      <c r="F373" s="131"/>
      <c r="G373" s="131"/>
      <c r="H373" s="131"/>
      <c r="Q373" s="168">
        <f t="shared" si="44"/>
        <v>0</v>
      </c>
    </row>
    <row r="374" spans="1:41" ht="15.75">
      <c r="A374" s="137" t="s">
        <v>639</v>
      </c>
      <c r="B374" s="131"/>
      <c r="C374" s="131"/>
      <c r="D374" s="131"/>
      <c r="E374" s="131"/>
      <c r="F374" s="131"/>
      <c r="G374" s="131"/>
      <c r="H374" s="131"/>
      <c r="Q374" s="168">
        <f t="shared" si="44"/>
        <v>0</v>
      </c>
    </row>
    <row r="375" spans="1:41" ht="15.75">
      <c r="A375" s="137" t="s">
        <v>973</v>
      </c>
      <c r="B375" s="131"/>
      <c r="C375" s="131"/>
      <c r="D375" s="131"/>
      <c r="E375" s="131"/>
      <c r="F375" s="131"/>
      <c r="G375" s="131"/>
      <c r="H375" s="131"/>
      <c r="Q375" s="168">
        <f t="shared" si="44"/>
        <v>0</v>
      </c>
    </row>
    <row r="376" spans="1:41">
      <c r="A376" s="140"/>
      <c r="B376" s="141"/>
      <c r="C376" s="141"/>
      <c r="D376" s="141"/>
      <c r="E376" s="141"/>
      <c r="F376" s="141"/>
      <c r="G376" s="141"/>
      <c r="H376" s="141"/>
      <c r="Q376" s="168">
        <f t="shared" si="44"/>
        <v>0</v>
      </c>
    </row>
    <row r="377" spans="1:41">
      <c r="A377" s="145"/>
      <c r="B377" s="146" t="s">
        <v>641</v>
      </c>
      <c r="C377" s="146"/>
      <c r="D377" s="146"/>
      <c r="E377" s="146"/>
      <c r="F377" s="146"/>
      <c r="G377" s="146"/>
      <c r="H377" s="147"/>
      <c r="Q377" s="168">
        <f t="shared" si="44"/>
        <v>0</v>
      </c>
    </row>
    <row r="378" spans="1:41">
      <c r="A378" s="145"/>
      <c r="B378" s="146" t="s">
        <v>642</v>
      </c>
      <c r="C378" s="146"/>
      <c r="D378" s="639" t="s">
        <v>643</v>
      </c>
      <c r="E378" s="637"/>
      <c r="F378" s="637"/>
      <c r="G378" s="637"/>
      <c r="H378" s="153" t="s">
        <v>533</v>
      </c>
      <c r="Q378" s="168">
        <f t="shared" si="44"/>
        <v>0</v>
      </c>
    </row>
    <row r="379" spans="1:41" ht="36">
      <c r="A379" s="145"/>
      <c r="B379" s="154" t="s">
        <v>644</v>
      </c>
      <c r="C379" s="155" t="s">
        <v>645</v>
      </c>
      <c r="D379" s="156" t="s">
        <v>646</v>
      </c>
      <c r="E379" s="157" t="s">
        <v>8</v>
      </c>
      <c r="F379" s="154" t="s">
        <v>647</v>
      </c>
      <c r="G379" s="158" t="s">
        <v>656</v>
      </c>
      <c r="H379" s="159" t="s">
        <v>649</v>
      </c>
      <c r="Q379" s="168">
        <f t="shared" si="44"/>
        <v>0</v>
      </c>
    </row>
    <row r="380" spans="1:41" ht="15.75" customHeight="1">
      <c r="A380" s="189" t="s">
        <v>618</v>
      </c>
      <c r="B380" s="216">
        <f>('Pivot Table for Data Exchange'!$R$7)*100</f>
        <v>43.246123035842658</v>
      </c>
      <c r="C380" s="163">
        <f>('Pivot Table for Data Exchange'!$R$10)*100</f>
        <v>18.031734620519668</v>
      </c>
      <c r="D380" s="164">
        <f>SUM(E380:G380)</f>
        <v>38.722142343637671</v>
      </c>
      <c r="E380" s="163">
        <f>('Pivot Table for Data Exchange'!$R$13)*100</f>
        <v>38.722142343637671</v>
      </c>
      <c r="F380" s="163">
        <f>('Pivot Table for Data Exchange'!$R$16)*100</f>
        <v>0</v>
      </c>
      <c r="G380" s="167">
        <f>('Pivot Table for Data Exchange'!$R$19)*100</f>
        <v>0</v>
      </c>
      <c r="H380" s="163">
        <f>('Pivot Table for Data Exchange'!$R$22)*100</f>
        <v>0</v>
      </c>
      <c r="I380" s="134"/>
      <c r="J380" s="202"/>
      <c r="K380" s="202"/>
      <c r="L380" s="202"/>
      <c r="M380" s="202"/>
      <c r="N380" s="202"/>
      <c r="O380" s="202"/>
      <c r="P380" s="202"/>
      <c r="Q380" s="168">
        <f t="shared" si="44"/>
        <v>100</v>
      </c>
      <c r="R380" s="168"/>
      <c r="S380" s="217"/>
      <c r="T380" s="217"/>
      <c r="U380" s="217"/>
      <c r="V380" s="217"/>
      <c r="W380" s="217"/>
      <c r="X380" s="217"/>
      <c r="Y380" s="217"/>
      <c r="Z380" s="217"/>
      <c r="AA380" s="217"/>
      <c r="AB380" s="217"/>
      <c r="AC380" s="217"/>
      <c r="AD380" s="217"/>
      <c r="AE380" s="217"/>
      <c r="AF380" s="217"/>
      <c r="AG380" s="217"/>
      <c r="AH380" s="217"/>
      <c r="AI380" s="217"/>
      <c r="AJ380" s="217"/>
      <c r="AK380" s="217"/>
      <c r="AL380" s="217"/>
      <c r="AM380" s="217"/>
      <c r="AN380" s="217"/>
      <c r="AO380" s="217"/>
    </row>
    <row r="381" spans="1:41" ht="15.75" customHeight="1">
      <c r="A381" s="134" t="s">
        <v>619</v>
      </c>
      <c r="B381" s="163">
        <f>('Pivot Table for Data Exchange'!$R$43)*100</f>
        <v>0</v>
      </c>
      <c r="C381" s="163">
        <f>('Pivot Table for Data Exchange'!$R$46)*100</f>
        <v>0</v>
      </c>
      <c r="D381" s="164">
        <f t="shared" ref="D381:D383" si="47">SUM(E381:G381)</f>
        <v>0</v>
      </c>
      <c r="E381" s="163">
        <f>('Pivot Table for Data Exchange'!$R$49)*100</f>
        <v>0</v>
      </c>
      <c r="F381" s="163">
        <f>('Pivot Table for Data Exchange'!$R$52)*100</f>
        <v>0</v>
      </c>
      <c r="G381" s="171">
        <f>('Pivot Table for Data Exchange'!$R$55)*100</f>
        <v>0</v>
      </c>
      <c r="H381" s="163">
        <f>('Pivot Table for Data Exchange'!$R$58)*100</f>
        <v>0</v>
      </c>
      <c r="I381" s="134"/>
      <c r="J381" s="202"/>
      <c r="K381" s="202"/>
      <c r="L381" s="202"/>
      <c r="M381" s="202"/>
      <c r="N381" s="202"/>
      <c r="O381" s="202"/>
      <c r="P381" s="202"/>
      <c r="Q381" s="168">
        <f t="shared" si="44"/>
        <v>0</v>
      </c>
      <c r="R381" s="168"/>
      <c r="S381" s="217"/>
      <c r="T381" s="217"/>
      <c r="U381" s="217"/>
      <c r="V381" s="217"/>
      <c r="W381" s="217"/>
      <c r="X381" s="217"/>
      <c r="Y381" s="217"/>
      <c r="Z381" s="217"/>
      <c r="AA381" s="217"/>
      <c r="AB381" s="217"/>
      <c r="AC381" s="217"/>
      <c r="AD381" s="217"/>
      <c r="AE381" s="217"/>
      <c r="AF381" s="217"/>
      <c r="AG381" s="217"/>
      <c r="AH381" s="217"/>
      <c r="AI381" s="217"/>
      <c r="AJ381" s="217"/>
      <c r="AK381" s="217"/>
      <c r="AL381" s="217"/>
      <c r="AM381" s="217"/>
      <c r="AN381" s="217"/>
      <c r="AO381" s="217"/>
    </row>
    <row r="382" spans="1:41" ht="15.75" customHeight="1">
      <c r="A382" s="134" t="s">
        <v>620</v>
      </c>
      <c r="B382" s="163">
        <f>('Pivot Table for Data Exchange'!$R$79)*100</f>
        <v>0</v>
      </c>
      <c r="C382" s="163">
        <f>('Pivot Table for Data Exchange'!$R$82)*100</f>
        <v>0</v>
      </c>
      <c r="D382" s="164">
        <f t="shared" si="47"/>
        <v>0</v>
      </c>
      <c r="E382" s="163">
        <f>('Pivot Table for Data Exchange'!$R$85)*100</f>
        <v>0</v>
      </c>
      <c r="F382" s="163">
        <f>('Pivot Table for Data Exchange'!$R$88)*100</f>
        <v>0</v>
      </c>
      <c r="G382" s="171">
        <f>('Pivot Table for Data Exchange'!$R$91)*100</f>
        <v>0</v>
      </c>
      <c r="H382" s="163">
        <f>('Pivot Table for Data Exchange'!$R$94)*100</f>
        <v>0</v>
      </c>
      <c r="I382" s="134"/>
      <c r="J382" s="202"/>
      <c r="K382" s="202"/>
      <c r="L382" s="202"/>
      <c r="M382" s="202"/>
      <c r="N382" s="202"/>
      <c r="O382" s="202"/>
      <c r="P382" s="202"/>
      <c r="Q382" s="168">
        <f t="shared" si="44"/>
        <v>0</v>
      </c>
      <c r="R382" s="168"/>
      <c r="S382" s="217"/>
      <c r="T382" s="221"/>
      <c r="U382" s="217"/>
      <c r="V382" s="217"/>
      <c r="W382" s="217"/>
      <c r="X382" s="217"/>
      <c r="Y382" s="217"/>
      <c r="Z382" s="217"/>
      <c r="AA382" s="217"/>
      <c r="AB382" s="217"/>
      <c r="AC382" s="217"/>
      <c r="AD382" s="217"/>
      <c r="AE382" s="217"/>
      <c r="AF382" s="217"/>
      <c r="AG382" s="217"/>
      <c r="AH382" s="217"/>
      <c r="AI382" s="217"/>
      <c r="AJ382" s="217"/>
      <c r="AK382" s="217"/>
      <c r="AL382" s="217"/>
      <c r="AM382" s="217"/>
      <c r="AN382" s="217"/>
      <c r="AO382" s="217"/>
    </row>
    <row r="383" spans="1:41" ht="15.75" customHeight="1">
      <c r="A383" s="134" t="s">
        <v>621</v>
      </c>
      <c r="B383" s="163">
        <f>('Pivot Table for Data Exchange'!$R$115)*100</f>
        <v>0</v>
      </c>
      <c r="C383" s="163">
        <f>('Pivot Table for Data Exchange'!$R$118)*100</f>
        <v>0</v>
      </c>
      <c r="D383" s="164">
        <f t="shared" si="47"/>
        <v>0</v>
      </c>
      <c r="E383" s="163">
        <f>('Pivot Table for Data Exchange'!$R$121)*100</f>
        <v>0</v>
      </c>
      <c r="F383" s="163">
        <f>('Pivot Table for Data Exchange'!$R$124)*100</f>
        <v>0</v>
      </c>
      <c r="G383" s="171">
        <f>('Pivot Table for Data Exchange'!$R$127)*100</f>
        <v>0</v>
      </c>
      <c r="H383" s="163">
        <f>('Pivot Table for Data Exchange'!$R$130)*100</f>
        <v>0</v>
      </c>
      <c r="I383" s="134"/>
      <c r="J383" s="202"/>
      <c r="K383" s="202"/>
      <c r="L383" s="202"/>
      <c r="M383" s="202"/>
      <c r="N383" s="202"/>
      <c r="O383" s="202"/>
      <c r="P383" s="202"/>
      <c r="Q383" s="168">
        <f t="shared" si="44"/>
        <v>0</v>
      </c>
      <c r="R383" s="168"/>
      <c r="S383" s="217"/>
      <c r="U383" s="217"/>
      <c r="V383" s="217"/>
      <c r="W383" s="217"/>
      <c r="X383" s="217"/>
      <c r="Y383" s="217"/>
      <c r="Z383" s="217"/>
      <c r="AA383" s="217"/>
      <c r="AB383" s="217"/>
      <c r="AC383" s="217"/>
      <c r="AD383" s="217"/>
      <c r="AE383" s="217"/>
      <c r="AF383" s="217"/>
      <c r="AG383" s="217"/>
      <c r="AH383" s="217"/>
      <c r="AI383" s="217"/>
      <c r="AJ383" s="217"/>
      <c r="AK383" s="217"/>
      <c r="AL383" s="217"/>
      <c r="AM383" s="217"/>
      <c r="AN383" s="217"/>
      <c r="AO383" s="217"/>
    </row>
    <row r="384" spans="1:41" ht="15.75" customHeight="1">
      <c r="B384" s="163"/>
      <c r="C384" s="163"/>
      <c r="D384" s="164"/>
      <c r="E384" s="163"/>
      <c r="F384" s="163"/>
      <c r="G384" s="171"/>
      <c r="H384" s="163"/>
      <c r="I384" s="134"/>
      <c r="J384" s="202"/>
      <c r="K384" s="202"/>
      <c r="L384" s="202"/>
      <c r="M384" s="202"/>
      <c r="N384" s="202"/>
      <c r="O384" s="202"/>
      <c r="P384" s="202"/>
      <c r="Q384" s="168">
        <f t="shared" si="44"/>
        <v>0</v>
      </c>
      <c r="R384" s="168"/>
      <c r="S384" s="217"/>
      <c r="U384" s="217"/>
      <c r="V384" s="217"/>
      <c r="W384" s="217"/>
      <c r="X384" s="217"/>
      <c r="Y384" s="217"/>
      <c r="Z384" s="217"/>
      <c r="AA384" s="217"/>
      <c r="AB384" s="217"/>
      <c r="AC384" s="217"/>
      <c r="AD384" s="217"/>
      <c r="AE384" s="217"/>
      <c r="AF384" s="217"/>
      <c r="AG384" s="217"/>
      <c r="AH384" s="217"/>
      <c r="AI384" s="217"/>
      <c r="AJ384" s="217"/>
      <c r="AK384" s="217"/>
      <c r="AL384" s="217"/>
      <c r="AM384" s="217"/>
      <c r="AN384" s="217"/>
      <c r="AO384" s="217"/>
    </row>
    <row r="385" spans="1:41" ht="15.75" customHeight="1">
      <c r="A385" s="134" t="s">
        <v>622</v>
      </c>
      <c r="B385" s="163">
        <f>('Pivot Table for Data Exchange'!$R$151)*100</f>
        <v>40.160972336726466</v>
      </c>
      <c r="C385" s="163">
        <f>('Pivot Table for Data Exchange'!$R$154)*100</f>
        <v>0</v>
      </c>
      <c r="D385" s="164">
        <f t="shared" ref="D385:D386" si="48">SUM(E385:G385)</f>
        <v>59.839027663273534</v>
      </c>
      <c r="E385" s="163">
        <f>('Pivot Table for Data Exchange'!$R$157)*100</f>
        <v>58.198336400222239</v>
      </c>
      <c r="F385" s="163">
        <f>('Pivot Table for Data Exchange'!$R$160)*100</f>
        <v>1.6406912630512982</v>
      </c>
      <c r="G385" s="171">
        <f>('Pivot Table for Data Exchange'!$R$163)*100</f>
        <v>0</v>
      </c>
      <c r="H385" s="163">
        <f>('Pivot Table for Data Exchange'!$R$166)*100</f>
        <v>0</v>
      </c>
      <c r="I385" s="134"/>
      <c r="J385" s="202"/>
      <c r="K385" s="202"/>
      <c r="L385" s="202"/>
      <c r="M385" s="202"/>
      <c r="N385" s="202"/>
      <c r="O385" s="202"/>
      <c r="P385" s="202"/>
      <c r="Q385" s="168">
        <f t="shared" si="44"/>
        <v>100</v>
      </c>
      <c r="R385" s="168"/>
      <c r="S385" s="217"/>
      <c r="T385" s="217"/>
      <c r="U385" s="217"/>
      <c r="V385" s="217"/>
      <c r="W385" s="217"/>
      <c r="X385" s="217"/>
      <c r="Y385" s="217"/>
      <c r="Z385" s="217"/>
      <c r="AA385" s="217"/>
      <c r="AB385" s="217"/>
      <c r="AC385" s="217"/>
      <c r="AD385" s="217"/>
      <c r="AE385" s="217"/>
      <c r="AF385" s="217"/>
      <c r="AG385" s="217"/>
      <c r="AH385" s="217"/>
      <c r="AI385" s="217"/>
      <c r="AJ385" s="217"/>
      <c r="AK385" s="217"/>
      <c r="AL385" s="217"/>
      <c r="AM385" s="217"/>
      <c r="AN385" s="217"/>
      <c r="AO385" s="217"/>
    </row>
    <row r="386" spans="1:41" ht="15.75" customHeight="1">
      <c r="A386" s="134" t="s">
        <v>623</v>
      </c>
      <c r="B386" s="163">
        <f>('Pivot Table for Data Exchange'!$R$187)*100</f>
        <v>45.05050038135299</v>
      </c>
      <c r="C386" s="163">
        <f>('Pivot Table for Data Exchange'!$R$190)*100</f>
        <v>9.1563239112179406</v>
      </c>
      <c r="D386" s="164">
        <f t="shared" si="48"/>
        <v>45.793175707429064</v>
      </c>
      <c r="E386" s="163">
        <f>('Pivot Table for Data Exchange'!$R$193)*100</f>
        <v>45.793175707429064</v>
      </c>
      <c r="F386" s="163">
        <f>('Pivot Table for Data Exchange'!$R$196)*100</f>
        <v>0</v>
      </c>
      <c r="G386" s="171">
        <f>('Pivot Table for Data Exchange'!$R$199)*100</f>
        <v>0</v>
      </c>
      <c r="H386" s="163">
        <f>('Pivot Table for Data Exchange'!$R$202)*100</f>
        <v>0</v>
      </c>
      <c r="I386" s="134"/>
      <c r="J386" s="202"/>
      <c r="K386" s="202"/>
      <c r="L386" s="202"/>
      <c r="M386" s="202"/>
      <c r="N386" s="202"/>
      <c r="O386" s="202"/>
      <c r="P386" s="202"/>
      <c r="Q386" s="168">
        <f t="shared" si="44"/>
        <v>100</v>
      </c>
      <c r="R386" s="168"/>
      <c r="S386" s="217"/>
      <c r="T386" s="217"/>
      <c r="U386" s="217"/>
      <c r="V386" s="217"/>
      <c r="W386" s="217"/>
      <c r="X386" s="217"/>
      <c r="Y386" s="217"/>
      <c r="Z386" s="217"/>
      <c r="AA386" s="217"/>
      <c r="AB386" s="217"/>
      <c r="AC386" s="217"/>
      <c r="AD386" s="217"/>
      <c r="AE386" s="217"/>
      <c r="AF386" s="217"/>
      <c r="AG386" s="217"/>
      <c r="AH386" s="217"/>
      <c r="AI386" s="217"/>
      <c r="AJ386" s="217"/>
      <c r="AK386" s="217"/>
      <c r="AL386" s="217"/>
      <c r="AM386" s="217"/>
      <c r="AN386" s="217"/>
      <c r="AO386" s="217"/>
    </row>
    <row r="387" spans="1:41" ht="15.75" customHeight="1">
      <c r="A387" s="134" t="s">
        <v>624</v>
      </c>
      <c r="B387" s="163">
        <f>('Pivot Table for Data Exchange'!$R$223)*100</f>
        <v>66.783726944115102</v>
      </c>
      <c r="C387" s="163">
        <f>('Pivot Table for Data Exchange'!$R$226)*100</f>
        <v>0</v>
      </c>
      <c r="D387" s="164">
        <f>SUM(E387:G387)</f>
        <v>33.216273055884912</v>
      </c>
      <c r="E387" s="163">
        <f>('Pivot Table for Data Exchange'!$R$229)*100</f>
        <v>33.216273055884912</v>
      </c>
      <c r="F387" s="163">
        <f>('Pivot Table for Data Exchange'!$R$232)*100</f>
        <v>0</v>
      </c>
      <c r="G387" s="171">
        <f>('Pivot Table for Data Exchange'!$R$235)*100</f>
        <v>0</v>
      </c>
      <c r="H387" s="163">
        <f>('Pivot Table for Data Exchange'!$R$238)*100</f>
        <v>0</v>
      </c>
      <c r="I387" s="209"/>
      <c r="J387" s="202"/>
      <c r="K387" s="202"/>
      <c r="L387" s="202"/>
      <c r="M387" s="202"/>
      <c r="N387" s="202"/>
      <c r="O387" s="202"/>
      <c r="P387" s="202"/>
      <c r="Q387" s="168">
        <f t="shared" si="44"/>
        <v>100.00000000000001</v>
      </c>
      <c r="R387" s="168"/>
      <c r="S387" s="217"/>
      <c r="T387" s="221"/>
      <c r="U387" s="217"/>
      <c r="V387" s="217"/>
      <c r="W387" s="217"/>
      <c r="X387" s="217"/>
      <c r="Y387" s="217"/>
      <c r="Z387" s="217"/>
      <c r="AA387" s="217"/>
      <c r="AB387" s="217"/>
      <c r="AC387" s="217"/>
      <c r="AD387" s="217"/>
      <c r="AE387" s="217"/>
      <c r="AF387" s="217"/>
      <c r="AG387" s="217"/>
      <c r="AH387" s="217"/>
      <c r="AI387" s="217"/>
      <c r="AJ387" s="217"/>
      <c r="AK387" s="217"/>
      <c r="AL387" s="217"/>
      <c r="AM387" s="217"/>
      <c r="AN387" s="217"/>
      <c r="AO387" s="217"/>
    </row>
    <row r="388" spans="1:41" ht="15.75" customHeight="1">
      <c r="A388" s="134" t="s">
        <v>625</v>
      </c>
      <c r="B388" s="163">
        <f>('Pivot Table for Data Exchange'!$R$259)*100</f>
        <v>0</v>
      </c>
      <c r="C388" s="163">
        <f>('Pivot Table for Data Exchange'!$R$262)*100</f>
        <v>0</v>
      </c>
      <c r="D388" s="164">
        <f>SUM(E388:G388)</f>
        <v>0</v>
      </c>
      <c r="E388" s="163">
        <f>('Pivot Table for Data Exchange'!$R$265)*100</f>
        <v>0</v>
      </c>
      <c r="F388" s="163">
        <f>('Pivot Table for Data Exchange'!$R$268)*100</f>
        <v>0</v>
      </c>
      <c r="G388" s="171">
        <f>('Pivot Table for Data Exchange'!$R$271)*100</f>
        <v>0</v>
      </c>
      <c r="H388" s="163">
        <f>('Pivot Table for Data Exchange'!$R$274)*100</f>
        <v>0</v>
      </c>
      <c r="I388" s="134"/>
      <c r="J388" s="202"/>
      <c r="K388" s="202"/>
      <c r="L388" s="202"/>
      <c r="M388" s="202"/>
      <c r="N388" s="202"/>
      <c r="O388" s="202"/>
      <c r="P388" s="202"/>
      <c r="Q388" s="168">
        <f t="shared" si="44"/>
        <v>0</v>
      </c>
      <c r="R388" s="168"/>
      <c r="S388" s="217"/>
      <c r="U388" s="217"/>
      <c r="V388" s="217"/>
      <c r="W388" s="217"/>
      <c r="X388" s="217"/>
      <c r="Y388" s="217"/>
      <c r="Z388" s="217"/>
      <c r="AA388" s="217"/>
      <c r="AB388" s="217"/>
      <c r="AC388" s="217"/>
      <c r="AD388" s="217"/>
      <c r="AE388" s="217"/>
      <c r="AF388" s="217"/>
      <c r="AG388" s="217"/>
      <c r="AH388" s="217"/>
      <c r="AI388" s="217"/>
      <c r="AJ388" s="217"/>
      <c r="AK388" s="217"/>
      <c r="AL388" s="217"/>
      <c r="AM388" s="217"/>
      <c r="AN388" s="217"/>
      <c r="AO388" s="217"/>
    </row>
    <row r="389" spans="1:41" ht="15.75" customHeight="1">
      <c r="B389" s="163"/>
      <c r="C389" s="163"/>
      <c r="D389" s="164"/>
      <c r="E389" s="163"/>
      <c r="F389" s="163"/>
      <c r="G389" s="171"/>
      <c r="H389" s="163"/>
      <c r="I389" s="134"/>
      <c r="J389" s="202"/>
      <c r="K389" s="202"/>
      <c r="L389" s="202"/>
      <c r="M389" s="202"/>
      <c r="N389" s="202"/>
      <c r="O389" s="202"/>
      <c r="P389" s="202"/>
      <c r="Q389" s="168">
        <f t="shared" si="44"/>
        <v>0</v>
      </c>
      <c r="R389" s="168"/>
      <c r="S389" s="217"/>
      <c r="U389" s="217"/>
      <c r="V389" s="217"/>
      <c r="W389" s="217"/>
      <c r="X389" s="217"/>
      <c r="Y389" s="217"/>
      <c r="Z389" s="217"/>
      <c r="AA389" s="217"/>
      <c r="AB389" s="217"/>
      <c r="AC389" s="217"/>
      <c r="AD389" s="217"/>
      <c r="AE389" s="217"/>
      <c r="AF389" s="217"/>
      <c r="AG389" s="217"/>
      <c r="AH389" s="217"/>
      <c r="AI389" s="217"/>
      <c r="AJ389" s="217"/>
      <c r="AK389" s="217"/>
      <c r="AL389" s="217"/>
      <c r="AM389" s="217"/>
      <c r="AN389" s="217"/>
      <c r="AO389" s="217"/>
    </row>
    <row r="390" spans="1:41" ht="15.75" customHeight="1">
      <c r="A390" s="134" t="s">
        <v>626</v>
      </c>
      <c r="B390" s="163">
        <f>('Pivot Table for Data Exchange'!$R$295)*100</f>
        <v>0</v>
      </c>
      <c r="C390" s="163">
        <f>('Pivot Table for Data Exchange'!$R$298)*100</f>
        <v>0</v>
      </c>
      <c r="D390" s="164">
        <f>SUM(E390:G390)</f>
        <v>0</v>
      </c>
      <c r="E390" s="163">
        <f>('Pivot Table for Data Exchange'!$R$301)*100</f>
        <v>0</v>
      </c>
      <c r="F390" s="163">
        <f>('Pivot Table for Data Exchange'!$R$304)*100</f>
        <v>0</v>
      </c>
      <c r="G390" s="171">
        <f>('Pivot Table for Data Exchange'!$R$307)*100</f>
        <v>0</v>
      </c>
      <c r="H390" s="163">
        <f>('Pivot Table for Data Exchange'!$R$310)*100</f>
        <v>0</v>
      </c>
      <c r="I390" s="134"/>
      <c r="J390" s="202"/>
      <c r="K390" s="202"/>
      <c r="L390" s="202"/>
      <c r="M390" s="202"/>
      <c r="N390" s="202"/>
      <c r="O390" s="202"/>
      <c r="P390" s="202"/>
      <c r="Q390" s="168">
        <f t="shared" si="44"/>
        <v>0</v>
      </c>
      <c r="R390" s="168"/>
      <c r="S390" s="217"/>
      <c r="T390" s="217"/>
      <c r="U390" s="217"/>
      <c r="V390" s="217"/>
      <c r="W390" s="217"/>
      <c r="X390" s="217"/>
      <c r="Y390" s="217"/>
      <c r="Z390" s="217"/>
      <c r="AA390" s="217"/>
      <c r="AB390" s="217"/>
      <c r="AC390" s="217"/>
      <c r="AD390" s="217"/>
      <c r="AE390" s="217"/>
      <c r="AF390" s="217"/>
      <c r="AG390" s="217"/>
      <c r="AH390" s="217"/>
      <c r="AI390" s="217"/>
      <c r="AJ390" s="217"/>
      <c r="AK390" s="217"/>
      <c r="AL390" s="217"/>
      <c r="AM390" s="217"/>
      <c r="AN390" s="217"/>
      <c r="AO390" s="217"/>
    </row>
    <row r="391" spans="1:41" ht="15.75" customHeight="1">
      <c r="A391" s="134" t="s">
        <v>627</v>
      </c>
      <c r="B391" s="163">
        <f>('Pivot Table for Data Exchange'!$R$331)*100</f>
        <v>0</v>
      </c>
      <c r="C391" s="163">
        <f>('Pivot Table for Data Exchange'!$R$334)*100</f>
        <v>0</v>
      </c>
      <c r="D391" s="164">
        <f>SUM(E391:G391)</f>
        <v>0</v>
      </c>
      <c r="E391" s="163">
        <f>('Pivot Table for Data Exchange'!$R$337)*100</f>
        <v>0</v>
      </c>
      <c r="F391" s="163">
        <f>('Pivot Table for Data Exchange'!$R$340)*100</f>
        <v>0</v>
      </c>
      <c r="G391" s="171">
        <f>('Pivot Table for Data Exchange'!$R$343)*100</f>
        <v>0</v>
      </c>
      <c r="H391" s="163">
        <f>('Pivot Table for Data Exchange'!$R$346)*100</f>
        <v>0</v>
      </c>
      <c r="I391" s="134"/>
      <c r="J391" s="202"/>
      <c r="K391" s="202"/>
      <c r="L391" s="202"/>
      <c r="M391" s="202"/>
      <c r="N391" s="202"/>
      <c r="O391" s="202"/>
      <c r="P391" s="202"/>
      <c r="Q391" s="168">
        <f t="shared" si="44"/>
        <v>0</v>
      </c>
      <c r="R391" s="168"/>
      <c r="S391" s="217"/>
      <c r="T391" s="217"/>
      <c r="U391" s="217"/>
      <c r="V391" s="217"/>
      <c r="W391" s="217"/>
      <c r="X391" s="217"/>
      <c r="Y391" s="217"/>
      <c r="Z391" s="217"/>
      <c r="AA391" s="217"/>
      <c r="AB391" s="217"/>
      <c r="AC391" s="217"/>
      <c r="AD391" s="217"/>
      <c r="AE391" s="217"/>
      <c r="AF391" s="217"/>
      <c r="AG391" s="217"/>
      <c r="AH391" s="217"/>
      <c r="AI391" s="217"/>
      <c r="AJ391" s="217"/>
      <c r="AK391" s="217"/>
      <c r="AL391" s="217"/>
      <c r="AM391" s="217"/>
      <c r="AN391" s="217"/>
      <c r="AO391" s="217"/>
    </row>
    <row r="392" spans="1:41" ht="15.75" customHeight="1">
      <c r="A392" s="134" t="s">
        <v>628</v>
      </c>
      <c r="B392" s="163">
        <f>('Pivot Table for Data Exchange'!$R$367)*100</f>
        <v>0</v>
      </c>
      <c r="C392" s="163">
        <f>('Pivot Table for Data Exchange'!$R$370)*100</f>
        <v>0</v>
      </c>
      <c r="D392" s="164">
        <f>SUM(E392:G392)</f>
        <v>0</v>
      </c>
      <c r="E392" s="163">
        <f>('Pivot Table for Data Exchange'!$R$373)*100</f>
        <v>0</v>
      </c>
      <c r="F392" s="163">
        <f>('Pivot Table for Data Exchange'!$R$376)*100</f>
        <v>0</v>
      </c>
      <c r="G392" s="171">
        <f>('Pivot Table for Data Exchange'!$R$379)*100</f>
        <v>0</v>
      </c>
      <c r="H392" s="163">
        <f>('Pivot Table for Data Exchange'!$R$382)*100</f>
        <v>0</v>
      </c>
      <c r="I392" s="134"/>
      <c r="J392" s="202"/>
      <c r="K392" s="202"/>
      <c r="L392" s="202"/>
      <c r="M392" s="202"/>
      <c r="N392" s="202"/>
      <c r="O392" s="202"/>
      <c r="P392" s="202"/>
      <c r="Q392" s="168">
        <f t="shared" si="44"/>
        <v>0</v>
      </c>
      <c r="R392" s="168"/>
      <c r="S392" s="217"/>
      <c r="T392" s="221"/>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row>
    <row r="393" spans="1:41" ht="15.75" customHeight="1">
      <c r="A393" s="134" t="s">
        <v>629</v>
      </c>
      <c r="B393" s="163">
        <f>('Pivot Table for Data Exchange'!$R$403)*100</f>
        <v>0</v>
      </c>
      <c r="C393" s="163">
        <f>('Pivot Table for Data Exchange'!$R$406)*100</f>
        <v>0</v>
      </c>
      <c r="D393" s="164">
        <f>SUM(E393:G393)</f>
        <v>0</v>
      </c>
      <c r="E393" s="163">
        <f>('Pivot Table for Data Exchange'!$R$409)*100</f>
        <v>0</v>
      </c>
      <c r="F393" s="163">
        <f>('Pivot Table for Data Exchange'!$R$412)*100</f>
        <v>0</v>
      </c>
      <c r="G393" s="171">
        <f>('Pivot Table for Data Exchange'!$R$415)*100</f>
        <v>0</v>
      </c>
      <c r="H393" s="163">
        <f>('Pivot Table for Data Exchange'!$R$418)*100</f>
        <v>0</v>
      </c>
      <c r="I393" s="134"/>
      <c r="J393" s="202"/>
      <c r="K393" s="202"/>
      <c r="L393" s="202"/>
      <c r="M393" s="202"/>
      <c r="N393" s="202"/>
      <c r="O393" s="202"/>
      <c r="P393" s="202"/>
      <c r="Q393" s="168">
        <f t="shared" si="44"/>
        <v>0</v>
      </c>
      <c r="R393" s="168"/>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row>
    <row r="394" spans="1:41" ht="15.75" customHeight="1">
      <c r="B394" s="163"/>
      <c r="C394" s="163"/>
      <c r="D394" s="164"/>
      <c r="E394" s="163"/>
      <c r="F394" s="163"/>
      <c r="G394" s="171"/>
      <c r="H394" s="163"/>
      <c r="I394" s="134"/>
      <c r="J394" s="202"/>
      <c r="K394" s="202"/>
      <c r="L394" s="202"/>
      <c r="M394" s="202"/>
      <c r="N394" s="202"/>
      <c r="O394" s="202"/>
      <c r="P394" s="202"/>
      <c r="Q394" s="168">
        <f t="shared" si="44"/>
        <v>0</v>
      </c>
      <c r="R394" s="168"/>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row>
    <row r="395" spans="1:41" ht="15.75" customHeight="1">
      <c r="A395" s="134" t="s">
        <v>630</v>
      </c>
      <c r="B395" s="163">
        <f>('Pivot Table for Data Exchange'!$R$439)*100</f>
        <v>0</v>
      </c>
      <c r="C395" s="163">
        <f>('Pivot Table for Data Exchange'!$R$442)*100</f>
        <v>0</v>
      </c>
      <c r="D395" s="164">
        <f>SUM(E395:G395)</f>
        <v>0</v>
      </c>
      <c r="E395" s="163">
        <f>('Pivot Table for Data Exchange'!$R$445)*100</f>
        <v>0</v>
      </c>
      <c r="F395" s="163">
        <f>('Pivot Table for Data Exchange'!$R$448)*100</f>
        <v>0</v>
      </c>
      <c r="G395" s="171">
        <f>('Pivot Table for Data Exchange'!$R$451)*100</f>
        <v>0</v>
      </c>
      <c r="H395" s="163">
        <f>('Pivot Table for Data Exchange'!$R$454)*100</f>
        <v>0</v>
      </c>
      <c r="I395" s="134"/>
      <c r="J395" s="202"/>
      <c r="K395" s="202"/>
      <c r="L395" s="202"/>
      <c r="M395" s="202"/>
      <c r="N395" s="202"/>
      <c r="O395" s="202"/>
      <c r="P395" s="202"/>
      <c r="Q395" s="168">
        <f t="shared" si="44"/>
        <v>0</v>
      </c>
      <c r="R395" s="168"/>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row>
    <row r="396" spans="1:41" ht="15.75" customHeight="1">
      <c r="A396" s="134" t="s">
        <v>631</v>
      </c>
      <c r="B396" s="163">
        <f>('Pivot Table for Data Exchange'!$R$475)*100</f>
        <v>0</v>
      </c>
      <c r="C396" s="163">
        <f>('Pivot Table for Data Exchange'!$R$478)*100</f>
        <v>0</v>
      </c>
      <c r="D396" s="164">
        <f>SUM(E396:G396)</f>
        <v>0</v>
      </c>
      <c r="E396" s="163">
        <f>('Pivot Table for Data Exchange'!$R$481)*100</f>
        <v>0</v>
      </c>
      <c r="F396" s="163">
        <f>('Pivot Table for Data Exchange'!$R$484)*100</f>
        <v>0</v>
      </c>
      <c r="G396" s="171">
        <f>('Pivot Table for Data Exchange'!$R$487)*100</f>
        <v>0</v>
      </c>
      <c r="H396" s="163">
        <f>('Pivot Table for Data Exchange'!$R$490)*100</f>
        <v>0</v>
      </c>
      <c r="I396" s="134"/>
      <c r="J396" s="202"/>
      <c r="K396" s="202"/>
      <c r="L396" s="202"/>
      <c r="M396" s="202"/>
      <c r="N396" s="202"/>
      <c r="O396" s="202"/>
      <c r="P396" s="202"/>
      <c r="Q396" s="168">
        <f t="shared" si="44"/>
        <v>0</v>
      </c>
      <c r="R396" s="168"/>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row>
    <row r="397" spans="1:41" ht="15.75" customHeight="1">
      <c r="A397" s="134" t="s">
        <v>632</v>
      </c>
      <c r="B397" s="163">
        <f>('Pivot Table for Data Exchange'!$R$511)*100</f>
        <v>0</v>
      </c>
      <c r="C397" s="163">
        <f>('Pivot Table for Data Exchange'!$R$514)*100</f>
        <v>0</v>
      </c>
      <c r="D397" s="164">
        <f>SUM(E397:G397)</f>
        <v>0</v>
      </c>
      <c r="E397" s="163">
        <f>('Pivot Table for Data Exchange'!$R$517)*100</f>
        <v>0</v>
      </c>
      <c r="F397" s="163">
        <f>('Pivot Table for Data Exchange'!$R$520)*100</f>
        <v>0</v>
      </c>
      <c r="G397" s="171">
        <f>('Pivot Table for Data Exchange'!$R$523)*100</f>
        <v>0</v>
      </c>
      <c r="H397" s="163">
        <f>('Pivot Table for Data Exchange'!$R$526)*100</f>
        <v>0</v>
      </c>
      <c r="I397" s="134"/>
      <c r="J397" s="202"/>
      <c r="K397" s="202"/>
      <c r="L397" s="202"/>
      <c r="M397" s="202"/>
      <c r="N397" s="202"/>
      <c r="O397" s="202"/>
      <c r="P397" s="202"/>
      <c r="Q397" s="168">
        <f t="shared" si="44"/>
        <v>0</v>
      </c>
      <c r="R397" s="168"/>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row>
    <row r="398" spans="1:41" ht="15.75" customHeight="1">
      <c r="A398" s="140" t="s">
        <v>633</v>
      </c>
      <c r="B398" s="176">
        <f>('Pivot Table for Data Exchange'!$R$547)*100</f>
        <v>0</v>
      </c>
      <c r="C398" s="176">
        <f>('Pivot Table for Data Exchange'!$R$550)*100</f>
        <v>0</v>
      </c>
      <c r="D398" s="177">
        <f>SUM(E398:G398)</f>
        <v>0</v>
      </c>
      <c r="E398" s="176">
        <f>('Pivot Table for Data Exchange'!$R$553)*100</f>
        <v>0</v>
      </c>
      <c r="F398" s="176">
        <f>('Pivot Table for Data Exchange'!$R$556)*100</f>
        <v>0</v>
      </c>
      <c r="G398" s="178">
        <f>('Pivot Table for Data Exchange'!$R$559)*100</f>
        <v>0</v>
      </c>
      <c r="H398" s="176">
        <f>('Pivot Table for Data Exchange'!$R$562)*100</f>
        <v>0</v>
      </c>
      <c r="I398" s="134"/>
      <c r="J398" s="202"/>
      <c r="K398" s="202"/>
      <c r="L398" s="202"/>
      <c r="M398" s="202"/>
      <c r="N398" s="202"/>
      <c r="O398" s="202"/>
      <c r="P398" s="202"/>
      <c r="Q398" s="168">
        <f t="shared" si="44"/>
        <v>0</v>
      </c>
      <c r="R398" s="168"/>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row>
    <row r="399" spans="1:41" s="207" customFormat="1" ht="14.25" customHeight="1">
      <c r="A399" s="182" t="s">
        <v>658</v>
      </c>
      <c r="B399" s="183"/>
      <c r="C399" s="183"/>
      <c r="D399" s="184"/>
      <c r="E399" s="183"/>
      <c r="F399" s="184"/>
      <c r="G399" s="184"/>
      <c r="H399" s="183"/>
      <c r="I399" s="192"/>
      <c r="J399" s="183"/>
      <c r="K399" s="183"/>
      <c r="L399" s="184"/>
      <c r="M399" s="183"/>
      <c r="N399" s="184"/>
      <c r="O399" s="184"/>
      <c r="P399" s="183"/>
      <c r="Q399" s="168">
        <f t="shared" si="44"/>
        <v>0</v>
      </c>
      <c r="R399" s="203"/>
      <c r="S399" s="220"/>
      <c r="T399" s="220"/>
      <c r="U399" s="220"/>
      <c r="V399" s="220"/>
      <c r="W399" s="220"/>
      <c r="X399" s="220"/>
      <c r="Y399" s="220"/>
      <c r="Z399" s="220"/>
      <c r="AA399" s="220"/>
      <c r="AB399" s="220"/>
      <c r="AC399" s="220"/>
      <c r="AD399" s="220"/>
      <c r="AE399" s="220"/>
      <c r="AF399" s="220"/>
      <c r="AG399" s="220"/>
      <c r="AH399" s="220"/>
      <c r="AI399" s="220"/>
      <c r="AJ399" s="220"/>
      <c r="AK399" s="220"/>
      <c r="AL399" s="220"/>
      <c r="AM399" s="220"/>
      <c r="AN399" s="220"/>
      <c r="AO399" s="220"/>
    </row>
    <row r="400" spans="1:41" s="207" customFormat="1" ht="18" customHeight="1">
      <c r="A400" s="192"/>
      <c r="B400" s="183"/>
      <c r="C400" s="183"/>
      <c r="D400" s="184"/>
      <c r="E400" s="183"/>
      <c r="F400" s="184"/>
      <c r="G400" s="184"/>
      <c r="H400" s="183"/>
      <c r="I400" s="192"/>
      <c r="J400" s="183"/>
      <c r="K400" s="183"/>
      <c r="L400" s="184"/>
      <c r="M400" s="183"/>
      <c r="N400" s="184"/>
      <c r="O400" s="184"/>
      <c r="P400" s="183"/>
      <c r="Q400" s="168">
        <f t="shared" si="44"/>
        <v>0</v>
      </c>
      <c r="R400" s="203"/>
      <c r="S400" s="220"/>
      <c r="T400" s="220"/>
      <c r="U400" s="220"/>
      <c r="V400" s="220"/>
      <c r="W400" s="220"/>
      <c r="X400" s="220"/>
      <c r="Y400" s="220"/>
      <c r="Z400" s="220"/>
      <c r="AA400" s="220"/>
      <c r="AB400" s="220"/>
      <c r="AC400" s="220"/>
      <c r="AD400" s="220"/>
      <c r="AE400" s="220"/>
      <c r="AF400" s="220"/>
      <c r="AG400" s="220"/>
      <c r="AH400" s="220"/>
      <c r="AI400" s="220"/>
      <c r="AJ400" s="220"/>
      <c r="AK400" s="220"/>
      <c r="AL400" s="220"/>
      <c r="AM400" s="220"/>
      <c r="AN400" s="220"/>
      <c r="AO400" s="220"/>
    </row>
    <row r="401" spans="1:41" ht="15.75" customHeight="1">
      <c r="B401" s="205"/>
      <c r="C401" s="205"/>
      <c r="D401" s="205"/>
      <c r="E401" s="205"/>
      <c r="F401" s="205"/>
      <c r="G401" s="205"/>
      <c r="H401" s="187" t="s">
        <v>992</v>
      </c>
      <c r="I401" s="134"/>
      <c r="J401" s="202"/>
      <c r="K401" s="202"/>
      <c r="L401" s="202"/>
      <c r="M401" s="202"/>
      <c r="N401" s="202"/>
      <c r="O401" s="202"/>
      <c r="P401" s="202"/>
      <c r="Q401" s="168">
        <f t="shared" si="44"/>
        <v>0</v>
      </c>
      <c r="R401" s="168"/>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row>
    <row r="402" spans="1:41" ht="18">
      <c r="A402" s="129" t="s">
        <v>680</v>
      </c>
      <c r="B402" s="130"/>
      <c r="C402" s="130"/>
      <c r="D402" s="130"/>
      <c r="E402" s="130"/>
      <c r="F402" s="130"/>
      <c r="G402" s="130"/>
      <c r="H402" s="130"/>
      <c r="Q402" s="168">
        <f t="shared" si="44"/>
        <v>0</v>
      </c>
    </row>
    <row r="403" spans="1:41">
      <c r="A403" s="135"/>
      <c r="B403" s="131"/>
      <c r="C403" s="131"/>
      <c r="D403" s="131"/>
      <c r="E403" s="131"/>
      <c r="F403" s="131"/>
      <c r="G403" s="131"/>
      <c r="H403" s="131"/>
      <c r="Q403" s="168">
        <f t="shared" si="44"/>
        <v>0</v>
      </c>
    </row>
    <row r="404" spans="1:41" ht="15.75">
      <c r="A404" s="137" t="s">
        <v>639</v>
      </c>
      <c r="B404" s="131"/>
      <c r="C404" s="131"/>
      <c r="D404" s="131"/>
      <c r="E404" s="131"/>
      <c r="F404" s="131"/>
      <c r="G404" s="131"/>
      <c r="H404" s="131"/>
      <c r="Q404" s="168">
        <f t="shared" si="44"/>
        <v>0</v>
      </c>
    </row>
    <row r="405" spans="1:41" ht="15.75">
      <c r="A405" s="137" t="s">
        <v>974</v>
      </c>
      <c r="B405" s="131"/>
      <c r="C405" s="131"/>
      <c r="D405" s="131"/>
      <c r="E405" s="131"/>
      <c r="F405" s="131"/>
      <c r="G405" s="131"/>
      <c r="H405" s="131"/>
      <c r="Q405" s="168">
        <f t="shared" si="44"/>
        <v>0</v>
      </c>
    </row>
    <row r="406" spans="1:41">
      <c r="A406" s="140"/>
      <c r="B406" s="141"/>
      <c r="C406" s="141"/>
      <c r="D406" s="141"/>
      <c r="E406" s="141"/>
      <c r="F406" s="141"/>
      <c r="G406" s="141"/>
      <c r="H406" s="141"/>
      <c r="Q406" s="168">
        <f t="shared" si="44"/>
        <v>0</v>
      </c>
    </row>
    <row r="407" spans="1:41">
      <c r="A407" s="145"/>
      <c r="B407" s="146" t="s">
        <v>641</v>
      </c>
      <c r="C407" s="146"/>
      <c r="D407" s="146"/>
      <c r="E407" s="146"/>
      <c r="F407" s="146"/>
      <c r="G407" s="146"/>
      <c r="H407" s="147"/>
      <c r="Q407" s="168">
        <f t="shared" si="44"/>
        <v>0</v>
      </c>
    </row>
    <row r="408" spans="1:41">
      <c r="A408" s="145"/>
      <c r="B408" s="146" t="s">
        <v>642</v>
      </c>
      <c r="C408" s="146"/>
      <c r="D408" s="639" t="s">
        <v>643</v>
      </c>
      <c r="E408" s="637"/>
      <c r="F408" s="637"/>
      <c r="G408" s="637"/>
      <c r="H408" s="153" t="s">
        <v>533</v>
      </c>
      <c r="Q408" s="168">
        <f t="shared" si="44"/>
        <v>0</v>
      </c>
    </row>
    <row r="409" spans="1:41" ht="36">
      <c r="A409" s="145"/>
      <c r="B409" s="154" t="s">
        <v>644</v>
      </c>
      <c r="C409" s="155" t="s">
        <v>645</v>
      </c>
      <c r="D409" s="156" t="s">
        <v>646</v>
      </c>
      <c r="E409" s="157" t="s">
        <v>8</v>
      </c>
      <c r="F409" s="154" t="s">
        <v>647</v>
      </c>
      <c r="G409" s="158" t="s">
        <v>656</v>
      </c>
      <c r="H409" s="159" t="s">
        <v>649</v>
      </c>
      <c r="Q409" s="168">
        <f t="shared" si="44"/>
        <v>0</v>
      </c>
    </row>
    <row r="410" spans="1:41" ht="15.75" customHeight="1">
      <c r="A410" s="189" t="s">
        <v>618</v>
      </c>
      <c r="B410" s="216">
        <f>('Pivot Table for Data Exchange'!$P$7)*100</f>
        <v>41.93662149226661</v>
      </c>
      <c r="C410" s="163">
        <f>('Pivot Table for Data Exchange'!$P$10)*100</f>
        <v>3.4661695803315031</v>
      </c>
      <c r="D410" s="164">
        <f>SUM(E410:G410)</f>
        <v>54.597208927401887</v>
      </c>
      <c r="E410" s="163">
        <f>('Pivot Table for Data Exchange'!$P$13)*100</f>
        <v>54.597208927401887</v>
      </c>
      <c r="F410" s="163">
        <f>('Pivot Table for Data Exchange'!$P$16)*100</f>
        <v>0</v>
      </c>
      <c r="G410" s="167">
        <f>('Pivot Table for Data Exchange'!$P$19)*100</f>
        <v>0</v>
      </c>
      <c r="H410" s="163">
        <f>('Pivot Table for Data Exchange'!$P$22)*100</f>
        <v>0</v>
      </c>
      <c r="I410" s="134"/>
      <c r="J410" s="202"/>
      <c r="K410" s="202"/>
      <c r="L410" s="202"/>
      <c r="M410" s="202"/>
      <c r="N410" s="202"/>
      <c r="O410" s="202"/>
      <c r="P410" s="202"/>
      <c r="Q410" s="168">
        <f t="shared" si="44"/>
        <v>100</v>
      </c>
      <c r="R410" s="168"/>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row>
    <row r="411" spans="1:41" ht="15.75" customHeight="1">
      <c r="A411" s="134" t="s">
        <v>619</v>
      </c>
      <c r="B411" s="163">
        <f>('Pivot Table for Data Exchange'!$P$43)*100</f>
        <v>0</v>
      </c>
      <c r="C411" s="163">
        <f>('Pivot Table for Data Exchange'!$P$46)*100</f>
        <v>0</v>
      </c>
      <c r="D411" s="164">
        <f t="shared" ref="D411:D413" si="49">SUM(E411:G411)</f>
        <v>0</v>
      </c>
      <c r="E411" s="163">
        <f>('Pivot Table for Data Exchange'!$P$49)*100</f>
        <v>0</v>
      </c>
      <c r="F411" s="163">
        <f>('Pivot Table for Data Exchange'!$P$52)*100</f>
        <v>0</v>
      </c>
      <c r="G411" s="171">
        <f>('Pivot Table for Data Exchange'!$P$55)*100</f>
        <v>0</v>
      </c>
      <c r="H411" s="163">
        <f>('Pivot Table for Data Exchange'!$P$58)*100</f>
        <v>0</v>
      </c>
      <c r="I411" s="134"/>
      <c r="J411" s="202"/>
      <c r="K411" s="202"/>
      <c r="L411" s="202"/>
      <c r="M411" s="202"/>
      <c r="N411" s="202"/>
      <c r="O411" s="202"/>
      <c r="P411" s="202"/>
      <c r="Q411" s="168">
        <f t="shared" ref="Q411:Q458" si="50">SUM(B411,C411,D411,H411)</f>
        <v>0</v>
      </c>
      <c r="R411" s="168"/>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row>
    <row r="412" spans="1:41" ht="15.75" customHeight="1">
      <c r="A412" s="134" t="s">
        <v>620</v>
      </c>
      <c r="B412" s="163">
        <f>('Pivot Table for Data Exchange'!$P$79)*100</f>
        <v>0</v>
      </c>
      <c r="C412" s="163">
        <f>('Pivot Table for Data Exchange'!$P$82)*100</f>
        <v>0</v>
      </c>
      <c r="D412" s="164">
        <f t="shared" si="49"/>
        <v>0</v>
      </c>
      <c r="E412" s="163">
        <f>('Pivot Table for Data Exchange'!$P$85)*100</f>
        <v>0</v>
      </c>
      <c r="F412" s="163">
        <f>('Pivot Table for Data Exchange'!$P$88)*100</f>
        <v>0</v>
      </c>
      <c r="G412" s="171">
        <f>('Pivot Table for Data Exchange'!$P$91)*100</f>
        <v>0</v>
      </c>
      <c r="H412" s="163">
        <f>('Pivot Table for Data Exchange'!$P$94)*100</f>
        <v>0</v>
      </c>
      <c r="I412" s="134"/>
      <c r="J412" s="202"/>
      <c r="K412" s="202"/>
      <c r="L412" s="202"/>
      <c r="M412" s="202"/>
      <c r="N412" s="202"/>
      <c r="O412" s="202"/>
      <c r="P412" s="202"/>
      <c r="Q412" s="168">
        <f t="shared" si="50"/>
        <v>0</v>
      </c>
      <c r="R412" s="168"/>
      <c r="S412" s="217"/>
      <c r="T412" s="221"/>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row>
    <row r="413" spans="1:41" ht="15.75" customHeight="1">
      <c r="A413" s="134" t="s">
        <v>621</v>
      </c>
      <c r="B413" s="163">
        <f>('Pivot Table for Data Exchange'!$P$115)*100</f>
        <v>0</v>
      </c>
      <c r="C413" s="163">
        <f>('Pivot Table for Data Exchange'!$P$118)*100</f>
        <v>0</v>
      </c>
      <c r="D413" s="164">
        <f t="shared" si="49"/>
        <v>0</v>
      </c>
      <c r="E413" s="163">
        <f>('Pivot Table for Data Exchange'!$P$121)*100</f>
        <v>0</v>
      </c>
      <c r="F413" s="163">
        <f>('Pivot Table for Data Exchange'!$P$124)*100</f>
        <v>0</v>
      </c>
      <c r="G413" s="171">
        <f>('Pivot Table for Data Exchange'!$P$127)*100</f>
        <v>0</v>
      </c>
      <c r="H413" s="163">
        <f>('Pivot Table for Data Exchange'!$P$130)*100</f>
        <v>0</v>
      </c>
      <c r="I413" s="134"/>
      <c r="J413" s="202"/>
      <c r="K413" s="202"/>
      <c r="L413" s="202"/>
      <c r="M413" s="202"/>
      <c r="N413" s="202"/>
      <c r="O413" s="202"/>
      <c r="P413" s="202"/>
      <c r="Q413" s="168">
        <f t="shared" si="50"/>
        <v>0</v>
      </c>
      <c r="R413" s="168"/>
      <c r="S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row>
    <row r="414" spans="1:41" ht="15.75" customHeight="1">
      <c r="B414" s="163"/>
      <c r="C414" s="163"/>
      <c r="D414" s="164"/>
      <c r="E414" s="163"/>
      <c r="F414" s="163"/>
      <c r="G414" s="171"/>
      <c r="H414" s="163"/>
      <c r="I414" s="134"/>
      <c r="J414" s="202"/>
      <c r="K414" s="202"/>
      <c r="L414" s="202"/>
      <c r="M414" s="202"/>
      <c r="N414" s="202"/>
      <c r="O414" s="202"/>
      <c r="P414" s="202"/>
      <c r="Q414" s="168">
        <f t="shared" si="50"/>
        <v>0</v>
      </c>
      <c r="R414" s="168"/>
      <c r="S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row>
    <row r="415" spans="1:41" ht="15.75" customHeight="1">
      <c r="A415" s="134" t="s">
        <v>622</v>
      </c>
      <c r="B415" s="163">
        <f>('Pivot Table for Data Exchange'!$P$151)*100</f>
        <v>40.160972336726466</v>
      </c>
      <c r="C415" s="163">
        <f>('Pivot Table for Data Exchange'!$P$154)*100</f>
        <v>0</v>
      </c>
      <c r="D415" s="164">
        <f t="shared" ref="D415:D416" si="51">SUM(E415:G415)</f>
        <v>59.839027663273534</v>
      </c>
      <c r="E415" s="163">
        <f>('Pivot Table for Data Exchange'!$P$157)*100</f>
        <v>58.198336400222239</v>
      </c>
      <c r="F415" s="163">
        <f>('Pivot Table for Data Exchange'!$P$160)*100</f>
        <v>1.6406912630512982</v>
      </c>
      <c r="G415" s="171">
        <f>('Pivot Table for Data Exchange'!$P$163)*100</f>
        <v>0</v>
      </c>
      <c r="H415" s="163">
        <f>('Pivot Table for Data Exchange'!$P$166)*100</f>
        <v>0</v>
      </c>
      <c r="I415" s="134"/>
      <c r="J415" s="202"/>
      <c r="K415" s="202"/>
      <c r="L415" s="202"/>
      <c r="M415" s="202"/>
      <c r="N415" s="202"/>
      <c r="O415" s="202"/>
      <c r="P415" s="202"/>
      <c r="Q415" s="168">
        <f t="shared" si="50"/>
        <v>100</v>
      </c>
      <c r="R415" s="168"/>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row>
    <row r="416" spans="1:41" ht="15.75" customHeight="1">
      <c r="A416" s="134" t="s">
        <v>623</v>
      </c>
      <c r="B416" s="163">
        <f>('Pivot Table for Data Exchange'!$P$187)*100</f>
        <v>45.05050038135299</v>
      </c>
      <c r="C416" s="163">
        <f>('Pivot Table for Data Exchange'!$P$190)*100</f>
        <v>9.1563239112179406</v>
      </c>
      <c r="D416" s="164">
        <f t="shared" si="51"/>
        <v>45.793175707429064</v>
      </c>
      <c r="E416" s="163">
        <f>('Pivot Table for Data Exchange'!$P$193)*100</f>
        <v>45.793175707429064</v>
      </c>
      <c r="F416" s="163">
        <f>('Pivot Table for Data Exchange'!$P$196)*100</f>
        <v>0</v>
      </c>
      <c r="G416" s="171">
        <f>('Pivot Table for Data Exchange'!$P$199)*100</f>
        <v>0</v>
      </c>
      <c r="H416" s="163">
        <f>('Pivot Table for Data Exchange'!$P$202)*100</f>
        <v>0</v>
      </c>
      <c r="I416" s="134"/>
      <c r="J416" s="202"/>
      <c r="K416" s="202"/>
      <c r="L416" s="202"/>
      <c r="M416" s="202"/>
      <c r="N416" s="202"/>
      <c r="O416" s="202"/>
      <c r="P416" s="202"/>
      <c r="Q416" s="168">
        <f t="shared" si="50"/>
        <v>100</v>
      </c>
      <c r="R416" s="168"/>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row>
    <row r="417" spans="1:41" ht="15.75" customHeight="1">
      <c r="A417" s="134" t="s">
        <v>624</v>
      </c>
      <c r="B417" s="163">
        <f>('Pivot Table for Data Exchange'!$P$223)*100</f>
        <v>63.89618250443776</v>
      </c>
      <c r="C417" s="163">
        <f>('Pivot Table for Data Exchange'!$P$226)*100</f>
        <v>0</v>
      </c>
      <c r="D417" s="164">
        <f>SUM(E417:G417)</f>
        <v>36.103817495562232</v>
      </c>
      <c r="E417" s="163">
        <f>('Pivot Table for Data Exchange'!$P$229)*100</f>
        <v>36.103817495562232</v>
      </c>
      <c r="F417" s="163">
        <f>('Pivot Table for Data Exchange'!$P$232)*100</f>
        <v>0</v>
      </c>
      <c r="G417" s="171">
        <f>('Pivot Table for Data Exchange'!$P$235)*100</f>
        <v>0</v>
      </c>
      <c r="H417" s="163">
        <f>('Pivot Table for Data Exchange'!$P$238)*100</f>
        <v>0</v>
      </c>
      <c r="I417" s="209"/>
      <c r="J417" s="202"/>
      <c r="K417" s="202"/>
      <c r="L417" s="202"/>
      <c r="M417" s="202"/>
      <c r="N417" s="202"/>
      <c r="O417" s="202"/>
      <c r="P417" s="202"/>
      <c r="Q417" s="168">
        <f t="shared" si="50"/>
        <v>100</v>
      </c>
      <c r="R417" s="168"/>
      <c r="S417" s="217"/>
      <c r="T417" s="221"/>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row>
    <row r="418" spans="1:41" ht="15.75" customHeight="1">
      <c r="A418" s="134" t="s">
        <v>625</v>
      </c>
      <c r="B418" s="163">
        <f>('Pivot Table for Data Exchange'!$P$259)*100</f>
        <v>0</v>
      </c>
      <c r="C418" s="163">
        <f>('Pivot Table for Data Exchange'!$P$262)*100</f>
        <v>0</v>
      </c>
      <c r="D418" s="164">
        <f>SUM(E418:G418)</f>
        <v>0</v>
      </c>
      <c r="E418" s="163">
        <f>('Pivot Table for Data Exchange'!$P$265)*100</f>
        <v>0</v>
      </c>
      <c r="F418" s="163">
        <f>('Pivot Table for Data Exchange'!$P$268)*100</f>
        <v>0</v>
      </c>
      <c r="G418" s="171">
        <f>('Pivot Table for Data Exchange'!$P$271)*100</f>
        <v>0</v>
      </c>
      <c r="H418" s="163">
        <f>('Pivot Table for Data Exchange'!$P$274)*100</f>
        <v>0</v>
      </c>
      <c r="I418" s="134"/>
      <c r="J418" s="202"/>
      <c r="K418" s="202"/>
      <c r="L418" s="202"/>
      <c r="M418" s="202"/>
      <c r="N418" s="202"/>
      <c r="O418" s="202"/>
      <c r="P418" s="202"/>
      <c r="Q418" s="168">
        <f t="shared" si="50"/>
        <v>0</v>
      </c>
      <c r="R418" s="168"/>
      <c r="S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row>
    <row r="419" spans="1:41" ht="15.75" customHeight="1">
      <c r="B419" s="163"/>
      <c r="C419" s="163"/>
      <c r="D419" s="164"/>
      <c r="E419" s="163"/>
      <c r="F419" s="163"/>
      <c r="G419" s="171"/>
      <c r="H419" s="163"/>
      <c r="I419" s="134"/>
      <c r="J419" s="202"/>
      <c r="K419" s="202"/>
      <c r="L419" s="202"/>
      <c r="M419" s="202"/>
      <c r="N419" s="202"/>
      <c r="O419" s="202"/>
      <c r="P419" s="202"/>
      <c r="Q419" s="168">
        <f t="shared" si="50"/>
        <v>0</v>
      </c>
      <c r="R419" s="168"/>
      <c r="S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row>
    <row r="420" spans="1:41" ht="15.75" customHeight="1">
      <c r="A420" s="134" t="s">
        <v>626</v>
      </c>
      <c r="B420" s="163">
        <f>('Pivot Table for Data Exchange'!$P$295)*100</f>
        <v>0</v>
      </c>
      <c r="C420" s="163">
        <f>('Pivot Table for Data Exchange'!$P$298)*100</f>
        <v>0</v>
      </c>
      <c r="D420" s="164">
        <f>SUM(E420:G420)</f>
        <v>0</v>
      </c>
      <c r="E420" s="163">
        <f>('Pivot Table for Data Exchange'!$P$301)*100</f>
        <v>0</v>
      </c>
      <c r="F420" s="163">
        <f>('Pivot Table for Data Exchange'!$P$304)*100</f>
        <v>0</v>
      </c>
      <c r="G420" s="171">
        <f>('Pivot Table for Data Exchange'!$P$307)*100</f>
        <v>0</v>
      </c>
      <c r="H420" s="163">
        <f>('Pivot Table for Data Exchange'!$P$310)*100</f>
        <v>0</v>
      </c>
      <c r="I420" s="134"/>
      <c r="J420" s="202"/>
      <c r="K420" s="202"/>
      <c r="L420" s="202"/>
      <c r="M420" s="202"/>
      <c r="N420" s="202"/>
      <c r="O420" s="202"/>
      <c r="P420" s="202"/>
      <c r="Q420" s="168">
        <f t="shared" si="50"/>
        <v>0</v>
      </c>
      <c r="R420" s="168"/>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row>
    <row r="421" spans="1:41" ht="15.75" customHeight="1">
      <c r="A421" s="134" t="s">
        <v>627</v>
      </c>
      <c r="B421" s="163">
        <f>('Pivot Table for Data Exchange'!$P$331)*100</f>
        <v>0</v>
      </c>
      <c r="C421" s="163">
        <f>('Pivot Table for Data Exchange'!$P$334)*100</f>
        <v>0</v>
      </c>
      <c r="D421" s="164">
        <f>SUM(E421:G421)</f>
        <v>0</v>
      </c>
      <c r="E421" s="163">
        <f>('Pivot Table for Data Exchange'!$P$337)*100</f>
        <v>0</v>
      </c>
      <c r="F421" s="163">
        <f>('Pivot Table for Data Exchange'!$P$340)*100</f>
        <v>0</v>
      </c>
      <c r="G421" s="171">
        <f>('Pivot Table for Data Exchange'!$P$343)*100</f>
        <v>0</v>
      </c>
      <c r="H421" s="163">
        <f>('Pivot Table for Data Exchange'!$P$346)*100</f>
        <v>0</v>
      </c>
      <c r="I421" s="134"/>
      <c r="J421" s="202"/>
      <c r="K421" s="202"/>
      <c r="L421" s="202"/>
      <c r="M421" s="202"/>
      <c r="N421" s="202"/>
      <c r="O421" s="202"/>
      <c r="P421" s="202"/>
      <c r="Q421" s="168">
        <f t="shared" si="50"/>
        <v>0</v>
      </c>
      <c r="R421" s="168"/>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row>
    <row r="422" spans="1:41" ht="15.75" customHeight="1">
      <c r="A422" s="134" t="s">
        <v>628</v>
      </c>
      <c r="B422" s="163">
        <f>('Pivot Table for Data Exchange'!$P$367)*100</f>
        <v>0</v>
      </c>
      <c r="C422" s="163">
        <f>('Pivot Table for Data Exchange'!$P$370)*100</f>
        <v>0</v>
      </c>
      <c r="D422" s="164">
        <f>SUM(E422:G422)</f>
        <v>0</v>
      </c>
      <c r="E422" s="163">
        <f>('Pivot Table for Data Exchange'!$P$373)*100</f>
        <v>0</v>
      </c>
      <c r="F422" s="163">
        <f>('Pivot Table for Data Exchange'!$P$376)*100</f>
        <v>0</v>
      </c>
      <c r="G422" s="171">
        <f>('Pivot Table for Data Exchange'!$P$379)*100</f>
        <v>0</v>
      </c>
      <c r="H422" s="163">
        <f>('Pivot Table for Data Exchange'!$P$382)*100</f>
        <v>0</v>
      </c>
      <c r="I422" s="134"/>
      <c r="J422" s="202"/>
      <c r="K422" s="202"/>
      <c r="L422" s="202"/>
      <c r="M422" s="202"/>
      <c r="N422" s="202"/>
      <c r="O422" s="202"/>
      <c r="P422" s="202"/>
      <c r="Q422" s="168">
        <f t="shared" si="50"/>
        <v>0</v>
      </c>
      <c r="R422" s="168"/>
      <c r="S422" s="217"/>
      <c r="T422" s="221"/>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row>
    <row r="423" spans="1:41" ht="15.75" customHeight="1">
      <c r="A423" s="134" t="s">
        <v>629</v>
      </c>
      <c r="B423" s="163">
        <f>('Pivot Table for Data Exchange'!$P$403)*100</f>
        <v>0</v>
      </c>
      <c r="C423" s="163">
        <f>('Pivot Table for Data Exchange'!$P$406)*100</f>
        <v>0</v>
      </c>
      <c r="D423" s="164">
        <f>SUM(E423:G423)</f>
        <v>0</v>
      </c>
      <c r="E423" s="163">
        <f>('Pivot Table for Data Exchange'!$P$409)*100</f>
        <v>0</v>
      </c>
      <c r="F423" s="163">
        <f>('Pivot Table for Data Exchange'!$P$412)*100</f>
        <v>0</v>
      </c>
      <c r="G423" s="171">
        <f>('Pivot Table for Data Exchange'!$P$415)*100</f>
        <v>0</v>
      </c>
      <c r="H423" s="163">
        <f>('Pivot Table for Data Exchange'!$P$418)*100</f>
        <v>0</v>
      </c>
      <c r="I423" s="134"/>
      <c r="J423" s="202"/>
      <c r="K423" s="202"/>
      <c r="L423" s="202"/>
      <c r="M423" s="202"/>
      <c r="N423" s="202"/>
      <c r="O423" s="202"/>
      <c r="P423" s="202"/>
      <c r="Q423" s="168">
        <f t="shared" si="50"/>
        <v>0</v>
      </c>
      <c r="R423" s="168"/>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row>
    <row r="424" spans="1:41" ht="15.75" customHeight="1">
      <c r="B424" s="163"/>
      <c r="C424" s="163"/>
      <c r="D424" s="164"/>
      <c r="E424" s="163"/>
      <c r="F424" s="163"/>
      <c r="G424" s="171"/>
      <c r="H424" s="163"/>
      <c r="I424" s="134"/>
      <c r="J424" s="202"/>
      <c r="K424" s="202"/>
      <c r="L424" s="202"/>
      <c r="M424" s="202"/>
      <c r="N424" s="202"/>
      <c r="O424" s="202"/>
      <c r="P424" s="202"/>
      <c r="Q424" s="168">
        <f t="shared" si="50"/>
        <v>0</v>
      </c>
      <c r="R424" s="168"/>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row>
    <row r="425" spans="1:41" ht="15.75" customHeight="1">
      <c r="A425" s="134" t="s">
        <v>630</v>
      </c>
      <c r="B425" s="163">
        <f>('Pivot Table for Data Exchange'!$P$439)*100</f>
        <v>0</v>
      </c>
      <c r="C425" s="163">
        <f>('Pivot Table for Data Exchange'!$P$442)*100</f>
        <v>0</v>
      </c>
      <c r="D425" s="164">
        <f>SUM(E425:G425)</f>
        <v>0</v>
      </c>
      <c r="E425" s="163">
        <f>('Pivot Table for Data Exchange'!$P$445)*100</f>
        <v>0</v>
      </c>
      <c r="F425" s="163">
        <f>('Pivot Table for Data Exchange'!$P$448)*100</f>
        <v>0</v>
      </c>
      <c r="G425" s="171">
        <f>('Pivot Table for Data Exchange'!$P$451)*100</f>
        <v>0</v>
      </c>
      <c r="H425" s="163">
        <f>('Pivot Table for Data Exchange'!$P$454)*100</f>
        <v>0</v>
      </c>
      <c r="I425" s="134"/>
      <c r="J425" s="202"/>
      <c r="K425" s="202"/>
      <c r="L425" s="202"/>
      <c r="M425" s="202"/>
      <c r="N425" s="202"/>
      <c r="O425" s="202"/>
      <c r="P425" s="202"/>
      <c r="Q425" s="168">
        <f t="shared" si="50"/>
        <v>0</v>
      </c>
      <c r="R425" s="168"/>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row>
    <row r="426" spans="1:41" ht="15.75" customHeight="1">
      <c r="A426" s="134" t="s">
        <v>631</v>
      </c>
      <c r="B426" s="163">
        <f>('Pivot Table for Data Exchange'!$P$475)*100</f>
        <v>0</v>
      </c>
      <c r="C426" s="163">
        <f>('Pivot Table for Data Exchange'!$P$478)*100</f>
        <v>0</v>
      </c>
      <c r="D426" s="164">
        <f>SUM(E426:G426)</f>
        <v>0</v>
      </c>
      <c r="E426" s="163">
        <f>('Pivot Table for Data Exchange'!$P$481)*100</f>
        <v>0</v>
      </c>
      <c r="F426" s="163">
        <f>('Pivot Table for Data Exchange'!$P$484)*100</f>
        <v>0</v>
      </c>
      <c r="G426" s="171">
        <f>('Pivot Table for Data Exchange'!$P$487)*100</f>
        <v>0</v>
      </c>
      <c r="H426" s="163">
        <f>('Pivot Table for Data Exchange'!$P$490)*100</f>
        <v>0</v>
      </c>
      <c r="I426" s="134"/>
      <c r="J426" s="202"/>
      <c r="K426" s="202"/>
      <c r="L426" s="202"/>
      <c r="M426" s="202"/>
      <c r="N426" s="202"/>
      <c r="O426" s="202"/>
      <c r="P426" s="202"/>
      <c r="Q426" s="168">
        <f t="shared" si="50"/>
        <v>0</v>
      </c>
      <c r="R426" s="168"/>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row>
    <row r="427" spans="1:41" ht="15.75" customHeight="1">
      <c r="A427" s="134" t="s">
        <v>632</v>
      </c>
      <c r="B427" s="163">
        <f>('Pivot Table for Data Exchange'!$P$511)*100</f>
        <v>0</v>
      </c>
      <c r="C427" s="163">
        <f>('Pivot Table for Data Exchange'!$P$514)*100</f>
        <v>0</v>
      </c>
      <c r="D427" s="164">
        <f>SUM(E427:G427)</f>
        <v>0</v>
      </c>
      <c r="E427" s="163">
        <f>('Pivot Table for Data Exchange'!$P$517)*100</f>
        <v>0</v>
      </c>
      <c r="F427" s="163">
        <f>('Pivot Table for Data Exchange'!$P$520)*100</f>
        <v>0</v>
      </c>
      <c r="G427" s="171">
        <f>('Pivot Table for Data Exchange'!$P$523)*100</f>
        <v>0</v>
      </c>
      <c r="H427" s="163">
        <f>('Pivot Table for Data Exchange'!$P$526)*100</f>
        <v>0</v>
      </c>
      <c r="I427" s="134"/>
      <c r="J427" s="202"/>
      <c r="K427" s="202"/>
      <c r="L427" s="202"/>
      <c r="M427" s="202"/>
      <c r="N427" s="202"/>
      <c r="O427" s="202"/>
      <c r="P427" s="202"/>
      <c r="Q427" s="168">
        <f t="shared" si="50"/>
        <v>0</v>
      </c>
      <c r="R427" s="168"/>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row>
    <row r="428" spans="1:41" ht="15.75" customHeight="1">
      <c r="A428" s="140" t="s">
        <v>633</v>
      </c>
      <c r="B428" s="176">
        <f>('Pivot Table for Data Exchange'!$P$547)*100</f>
        <v>0</v>
      </c>
      <c r="C428" s="176">
        <f>('Pivot Table for Data Exchange'!$P$550)*100</f>
        <v>0</v>
      </c>
      <c r="D428" s="177">
        <f>SUM(E428:G428)</f>
        <v>0</v>
      </c>
      <c r="E428" s="176">
        <f>('Pivot Table for Data Exchange'!$P$553)*100</f>
        <v>0</v>
      </c>
      <c r="F428" s="176">
        <f>('Pivot Table for Data Exchange'!$P$556)*100</f>
        <v>0</v>
      </c>
      <c r="G428" s="178">
        <f>('Pivot Table for Data Exchange'!$P$559)*100</f>
        <v>0</v>
      </c>
      <c r="H428" s="176">
        <f>('Pivot Table for Data Exchange'!$P$562)*100</f>
        <v>0</v>
      </c>
      <c r="I428" s="134"/>
      <c r="J428" s="202"/>
      <c r="K428" s="202"/>
      <c r="L428" s="202"/>
      <c r="M428" s="202"/>
      <c r="N428" s="202"/>
      <c r="O428" s="202"/>
      <c r="P428" s="202"/>
      <c r="Q428" s="168">
        <f t="shared" si="50"/>
        <v>0</v>
      </c>
      <c r="R428" s="168"/>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row>
    <row r="429" spans="1:41" s="207" customFormat="1" ht="13.5" customHeight="1">
      <c r="A429" s="182" t="s">
        <v>658</v>
      </c>
      <c r="B429" s="183"/>
      <c r="C429" s="183"/>
      <c r="D429" s="184"/>
      <c r="E429" s="183"/>
      <c r="F429" s="184"/>
      <c r="G429" s="184"/>
      <c r="H429" s="183"/>
      <c r="I429" s="192"/>
      <c r="J429" s="183"/>
      <c r="K429" s="183"/>
      <c r="L429" s="184"/>
      <c r="M429" s="183"/>
      <c r="N429" s="184"/>
      <c r="O429" s="184"/>
      <c r="P429" s="183"/>
      <c r="Q429" s="168">
        <f t="shared" si="50"/>
        <v>0</v>
      </c>
      <c r="R429" s="203"/>
      <c r="S429" s="220"/>
      <c r="T429" s="220"/>
      <c r="U429" s="220"/>
      <c r="V429" s="220"/>
      <c r="W429" s="220"/>
      <c r="X429" s="220"/>
      <c r="Y429" s="220"/>
      <c r="Z429" s="220"/>
      <c r="AA429" s="220"/>
      <c r="AB429" s="220"/>
      <c r="AC429" s="220"/>
      <c r="AD429" s="220"/>
      <c r="AE429" s="220"/>
      <c r="AF429" s="220"/>
      <c r="AG429" s="220"/>
      <c r="AH429" s="220"/>
      <c r="AI429" s="220"/>
      <c r="AJ429" s="220"/>
      <c r="AK429" s="220"/>
      <c r="AL429" s="220"/>
      <c r="AM429" s="220"/>
      <c r="AN429" s="220"/>
      <c r="AO429" s="220"/>
    </row>
    <row r="430" spans="1:41" s="207" customFormat="1" ht="13.5" customHeight="1">
      <c r="A430" s="192"/>
      <c r="B430" s="193"/>
      <c r="C430" s="181"/>
      <c r="D430" s="181"/>
      <c r="E430" s="181"/>
      <c r="F430" s="181"/>
      <c r="G430" s="181"/>
      <c r="H430" s="181"/>
      <c r="I430" s="192"/>
      <c r="J430" s="181"/>
      <c r="K430" s="181"/>
      <c r="L430" s="181"/>
      <c r="M430" s="181"/>
      <c r="N430" s="181"/>
      <c r="O430" s="181"/>
      <c r="P430" s="194"/>
      <c r="Q430" s="168">
        <f t="shared" si="50"/>
        <v>0</v>
      </c>
      <c r="R430" s="204"/>
    </row>
    <row r="431" spans="1:41" s="207" customFormat="1" ht="13.5" customHeight="1">
      <c r="A431" s="192"/>
      <c r="B431" s="181"/>
      <c r="C431" s="181"/>
      <c r="D431" s="181"/>
      <c r="E431" s="181"/>
      <c r="F431" s="181"/>
      <c r="G431" s="181"/>
      <c r="H431" s="187" t="s">
        <v>992</v>
      </c>
      <c r="I431" s="192"/>
      <c r="J431" s="181"/>
      <c r="K431" s="181"/>
      <c r="L431" s="181"/>
      <c r="M431" s="181"/>
      <c r="N431" s="181"/>
      <c r="O431" s="181"/>
      <c r="P431" s="181"/>
      <c r="Q431" s="168">
        <f t="shared" si="50"/>
        <v>0</v>
      </c>
      <c r="R431" s="204"/>
    </row>
    <row r="432" spans="1:41" ht="18">
      <c r="A432" s="129" t="s">
        <v>681</v>
      </c>
      <c r="B432" s="130"/>
      <c r="C432" s="130"/>
      <c r="D432" s="130"/>
      <c r="E432" s="130"/>
      <c r="F432" s="130"/>
      <c r="G432" s="130"/>
      <c r="H432" s="130"/>
      <c r="Q432" s="168">
        <f t="shared" si="50"/>
        <v>0</v>
      </c>
    </row>
    <row r="433" spans="1:41">
      <c r="A433" s="135"/>
      <c r="B433" s="131"/>
      <c r="C433" s="131"/>
      <c r="D433" s="131"/>
      <c r="E433" s="131"/>
      <c r="F433" s="131"/>
      <c r="G433" s="131"/>
      <c r="H433" s="131"/>
      <c r="Q433" s="168">
        <f t="shared" si="50"/>
        <v>0</v>
      </c>
    </row>
    <row r="434" spans="1:41" ht="15.75">
      <c r="A434" s="137" t="s">
        <v>639</v>
      </c>
      <c r="B434" s="131"/>
      <c r="C434" s="131"/>
      <c r="D434" s="131"/>
      <c r="E434" s="131"/>
      <c r="F434" s="131"/>
      <c r="G434" s="131"/>
      <c r="H434" s="131"/>
      <c r="Q434" s="168">
        <f t="shared" si="50"/>
        <v>0</v>
      </c>
    </row>
    <row r="435" spans="1:41" ht="15.75">
      <c r="A435" s="137" t="s">
        <v>975</v>
      </c>
      <c r="B435" s="131"/>
      <c r="C435" s="131"/>
      <c r="D435" s="131"/>
      <c r="E435" s="131"/>
      <c r="F435" s="131"/>
      <c r="G435" s="131"/>
      <c r="H435" s="131"/>
      <c r="Q435" s="168">
        <f t="shared" si="50"/>
        <v>0</v>
      </c>
    </row>
    <row r="436" spans="1:41">
      <c r="A436" s="140"/>
      <c r="B436" s="141"/>
      <c r="C436" s="141"/>
      <c r="D436" s="141"/>
      <c r="E436" s="141"/>
      <c r="F436" s="141"/>
      <c r="G436" s="141"/>
      <c r="H436" s="141"/>
      <c r="Q436" s="168">
        <f t="shared" si="50"/>
        <v>0</v>
      </c>
    </row>
    <row r="437" spans="1:41">
      <c r="A437" s="145"/>
      <c r="B437" s="146" t="s">
        <v>641</v>
      </c>
      <c r="C437" s="146"/>
      <c r="D437" s="146"/>
      <c r="E437" s="146"/>
      <c r="F437" s="146"/>
      <c r="G437" s="146"/>
      <c r="H437" s="147"/>
      <c r="Q437" s="168">
        <f t="shared" si="50"/>
        <v>0</v>
      </c>
    </row>
    <row r="438" spans="1:41">
      <c r="A438" s="145"/>
      <c r="B438" s="146" t="s">
        <v>642</v>
      </c>
      <c r="C438" s="146"/>
      <c r="D438" s="639" t="s">
        <v>643</v>
      </c>
      <c r="E438" s="637"/>
      <c r="F438" s="637"/>
      <c r="G438" s="637"/>
      <c r="H438" s="153" t="s">
        <v>533</v>
      </c>
      <c r="Q438" s="168">
        <f t="shared" si="50"/>
        <v>0</v>
      </c>
    </row>
    <row r="439" spans="1:41" ht="36">
      <c r="A439" s="145"/>
      <c r="B439" s="154" t="s">
        <v>644</v>
      </c>
      <c r="C439" s="155" t="s">
        <v>645</v>
      </c>
      <c r="D439" s="156" t="s">
        <v>646</v>
      </c>
      <c r="E439" s="157" t="s">
        <v>8</v>
      </c>
      <c r="F439" s="154" t="s">
        <v>647</v>
      </c>
      <c r="G439" s="158" t="s">
        <v>656</v>
      </c>
      <c r="H439" s="159" t="s">
        <v>649</v>
      </c>
      <c r="Q439" s="168">
        <f t="shared" si="50"/>
        <v>0</v>
      </c>
    </row>
    <row r="440" spans="1:41" ht="15.75" customHeight="1">
      <c r="A440" s="189" t="s">
        <v>618</v>
      </c>
      <c r="B440" s="216">
        <f>('Pivot Table for Data Exchange'!$Q$7)*100</f>
        <v>44.607047489397353</v>
      </c>
      <c r="C440" s="163">
        <f>('Pivot Table for Data Exchange'!$Q$10)*100</f>
        <v>33.169275878318238</v>
      </c>
      <c r="D440" s="164">
        <f>SUM(E440:G440)</f>
        <v>22.223676632284413</v>
      </c>
      <c r="E440" s="163">
        <f>('Pivot Table for Data Exchange'!$Q$13)*100</f>
        <v>22.223676632284413</v>
      </c>
      <c r="F440" s="163">
        <f>('Pivot Table for Data Exchange'!$Q$16)*100</f>
        <v>0</v>
      </c>
      <c r="G440" s="167">
        <f>('Pivot Table for Data Exchange'!$Q$19)*100</f>
        <v>0</v>
      </c>
      <c r="H440" s="163">
        <f>('Pivot Table for Data Exchange'!$Q$22)*100</f>
        <v>0</v>
      </c>
      <c r="I440" s="134"/>
      <c r="J440" s="202"/>
      <c r="K440" s="202"/>
      <c r="L440" s="202"/>
      <c r="M440" s="202"/>
      <c r="N440" s="202"/>
      <c r="O440" s="202"/>
      <c r="P440" s="202"/>
      <c r="Q440" s="168">
        <f t="shared" si="50"/>
        <v>100</v>
      </c>
      <c r="R440" s="168"/>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row>
    <row r="441" spans="1:41" ht="15.75" customHeight="1">
      <c r="A441" s="134" t="s">
        <v>619</v>
      </c>
      <c r="B441" s="163">
        <f>('Pivot Table for Data Exchange'!$Q$43)*100</f>
        <v>0</v>
      </c>
      <c r="C441" s="163">
        <f>('Pivot Table for Data Exchange'!$Q$46)*100</f>
        <v>0</v>
      </c>
      <c r="D441" s="164">
        <f t="shared" ref="D441:D443" si="52">SUM(E441:G441)</f>
        <v>0</v>
      </c>
      <c r="E441" s="163">
        <f>('Pivot Table for Data Exchange'!$Q$49)*100</f>
        <v>0</v>
      </c>
      <c r="F441" s="163">
        <f>('Pivot Table for Data Exchange'!$Q$52)*100</f>
        <v>0</v>
      </c>
      <c r="G441" s="171">
        <f>('Pivot Table for Data Exchange'!$Q$55)*100</f>
        <v>0</v>
      </c>
      <c r="H441" s="163">
        <f>('Pivot Table for Data Exchange'!$Q$58)*100</f>
        <v>0</v>
      </c>
      <c r="I441" s="134"/>
      <c r="J441" s="202"/>
      <c r="K441" s="202"/>
      <c r="L441" s="202"/>
      <c r="M441" s="202"/>
      <c r="N441" s="202"/>
      <c r="O441" s="202"/>
      <c r="P441" s="202"/>
      <c r="Q441" s="168">
        <f t="shared" si="50"/>
        <v>0</v>
      </c>
      <c r="R441" s="168"/>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row>
    <row r="442" spans="1:41" ht="15.75" customHeight="1">
      <c r="A442" s="134" t="s">
        <v>620</v>
      </c>
      <c r="B442" s="163">
        <f>('Pivot Table for Data Exchange'!$Q$79)*100</f>
        <v>0</v>
      </c>
      <c r="C442" s="163">
        <f>('Pivot Table for Data Exchange'!$Q$82)*100</f>
        <v>0</v>
      </c>
      <c r="D442" s="164">
        <f t="shared" si="52"/>
        <v>0</v>
      </c>
      <c r="E442" s="163">
        <f>('Pivot Table for Data Exchange'!$Q$85)*100</f>
        <v>0</v>
      </c>
      <c r="F442" s="163">
        <f>('Pivot Table for Data Exchange'!$Q$88)*100</f>
        <v>0</v>
      </c>
      <c r="G442" s="171">
        <f>('Pivot Table for Data Exchange'!$Q$91)*100</f>
        <v>0</v>
      </c>
      <c r="H442" s="163">
        <f>('Pivot Table for Data Exchange'!$Q$94)*100</f>
        <v>0</v>
      </c>
      <c r="I442" s="134"/>
      <c r="J442" s="202"/>
      <c r="K442" s="202"/>
      <c r="L442" s="202"/>
      <c r="M442" s="202"/>
      <c r="N442" s="202"/>
      <c r="O442" s="202"/>
      <c r="P442" s="202"/>
      <c r="Q442" s="168">
        <f t="shared" si="50"/>
        <v>0</v>
      </c>
      <c r="R442" s="168"/>
      <c r="S442" s="217"/>
      <c r="T442" s="221"/>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row>
    <row r="443" spans="1:41" ht="15.75" customHeight="1">
      <c r="A443" s="134" t="s">
        <v>621</v>
      </c>
      <c r="B443" s="163">
        <f>('Pivot Table for Data Exchange'!$Q$115)*100</f>
        <v>0</v>
      </c>
      <c r="C443" s="163">
        <f>('Pivot Table for Data Exchange'!$Q$118)*100</f>
        <v>0</v>
      </c>
      <c r="D443" s="164">
        <f t="shared" si="52"/>
        <v>0</v>
      </c>
      <c r="E443" s="163">
        <f>('Pivot Table for Data Exchange'!$Q$121)*100</f>
        <v>0</v>
      </c>
      <c r="F443" s="163">
        <f>('Pivot Table for Data Exchange'!$Q$124)*100</f>
        <v>0</v>
      </c>
      <c r="G443" s="171">
        <f>('Pivot Table for Data Exchange'!$Q$127)*100</f>
        <v>0</v>
      </c>
      <c r="H443" s="163">
        <f>('Pivot Table for Data Exchange'!$Q$130)*100</f>
        <v>0</v>
      </c>
      <c r="I443" s="134"/>
      <c r="J443" s="202"/>
      <c r="K443" s="202"/>
      <c r="L443" s="202"/>
      <c r="M443" s="202"/>
      <c r="N443" s="202"/>
      <c r="O443" s="202"/>
      <c r="P443" s="202"/>
      <c r="Q443" s="168">
        <f t="shared" si="50"/>
        <v>0</v>
      </c>
      <c r="R443" s="168"/>
      <c r="S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row>
    <row r="444" spans="1:41" ht="15.75" customHeight="1">
      <c r="B444" s="163"/>
      <c r="C444" s="163"/>
      <c r="D444" s="164"/>
      <c r="E444" s="163"/>
      <c r="F444" s="163"/>
      <c r="G444" s="171"/>
      <c r="H444" s="163"/>
      <c r="I444" s="134"/>
      <c r="J444" s="202"/>
      <c r="K444" s="202"/>
      <c r="L444" s="202"/>
      <c r="M444" s="202"/>
      <c r="N444" s="202"/>
      <c r="O444" s="202"/>
      <c r="P444" s="202"/>
      <c r="Q444" s="168">
        <f t="shared" si="50"/>
        <v>0</v>
      </c>
      <c r="R444" s="168"/>
      <c r="S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row>
    <row r="445" spans="1:41" ht="15.75" customHeight="1">
      <c r="A445" s="134" t="s">
        <v>622</v>
      </c>
      <c r="B445" s="163">
        <f>('Pivot Table for Data Exchange'!$Q$151)*100</f>
        <v>0</v>
      </c>
      <c r="C445" s="163">
        <f>('Pivot Table for Data Exchange'!$Q$154)*100</f>
        <v>0</v>
      </c>
      <c r="D445" s="164">
        <f t="shared" ref="D445:D446" si="53">SUM(E445:G445)</f>
        <v>0</v>
      </c>
      <c r="E445" s="163">
        <f>('Pivot Table for Data Exchange'!$Q$157)*100</f>
        <v>0</v>
      </c>
      <c r="F445" s="163">
        <f>('Pivot Table for Data Exchange'!$Q$160)*100</f>
        <v>0</v>
      </c>
      <c r="G445" s="171">
        <f>('Pivot Table for Data Exchange'!$Q$163)*100</f>
        <v>0</v>
      </c>
      <c r="H445" s="163">
        <f>('Pivot Table for Data Exchange'!$Q$166)*100</f>
        <v>0</v>
      </c>
      <c r="I445" s="134"/>
      <c r="J445" s="202"/>
      <c r="K445" s="202"/>
      <c r="L445" s="202"/>
      <c r="M445" s="202"/>
      <c r="N445" s="202"/>
      <c r="O445" s="202"/>
      <c r="P445" s="202"/>
      <c r="Q445" s="168">
        <f t="shared" si="50"/>
        <v>0</v>
      </c>
      <c r="R445" s="168"/>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row>
    <row r="446" spans="1:41" ht="15.75" customHeight="1">
      <c r="A446" s="134" t="s">
        <v>623</v>
      </c>
      <c r="B446" s="163">
        <f>('Pivot Table for Data Exchange'!$Q$187)*100</f>
        <v>0</v>
      </c>
      <c r="C446" s="163">
        <f>('Pivot Table for Data Exchange'!$Q$190)*100</f>
        <v>0</v>
      </c>
      <c r="D446" s="164">
        <f t="shared" si="53"/>
        <v>0</v>
      </c>
      <c r="E446" s="163">
        <f>('Pivot Table for Data Exchange'!$Q$193)*100</f>
        <v>0</v>
      </c>
      <c r="F446" s="163">
        <f>('Pivot Table for Data Exchange'!$Q$196)*100</f>
        <v>0</v>
      </c>
      <c r="G446" s="171">
        <f>('Pivot Table for Data Exchange'!$Q$199)*100</f>
        <v>0</v>
      </c>
      <c r="H446" s="163">
        <f>('Pivot Table for Data Exchange'!$Q$202)*100</f>
        <v>0</v>
      </c>
      <c r="I446" s="134"/>
      <c r="J446" s="202"/>
      <c r="K446" s="202"/>
      <c r="L446" s="202"/>
      <c r="M446" s="202"/>
      <c r="N446" s="202"/>
      <c r="O446" s="202"/>
      <c r="P446" s="202"/>
      <c r="Q446" s="168">
        <f t="shared" si="50"/>
        <v>0</v>
      </c>
      <c r="R446" s="168"/>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row>
    <row r="447" spans="1:41" ht="15.75" customHeight="1">
      <c r="A447" s="134" t="s">
        <v>624</v>
      </c>
      <c r="B447" s="163">
        <f>('Pivot Table for Data Exchange'!$Q$223)*100</f>
        <v>95.591397849462382</v>
      </c>
      <c r="C447" s="163">
        <f>('Pivot Table for Data Exchange'!$Q$226)*100</f>
        <v>0</v>
      </c>
      <c r="D447" s="164">
        <f>SUM(E447:G447)</f>
        <v>4.4086021505376349</v>
      </c>
      <c r="E447" s="163">
        <f>('Pivot Table for Data Exchange'!$Q$229)*100</f>
        <v>4.4086021505376349</v>
      </c>
      <c r="F447" s="163">
        <f>('Pivot Table for Data Exchange'!$Q$232)*100</f>
        <v>0</v>
      </c>
      <c r="G447" s="171">
        <f>('Pivot Table for Data Exchange'!$Q$235)*100</f>
        <v>0</v>
      </c>
      <c r="H447" s="163">
        <f>('Pivot Table for Data Exchange'!$Q$238)*100</f>
        <v>0</v>
      </c>
      <c r="I447" s="209"/>
      <c r="J447" s="202"/>
      <c r="K447" s="202"/>
      <c r="L447" s="202"/>
      <c r="M447" s="202"/>
      <c r="N447" s="202"/>
      <c r="O447" s="202"/>
      <c r="P447" s="202"/>
      <c r="Q447" s="168">
        <f t="shared" si="50"/>
        <v>100.00000000000001</v>
      </c>
      <c r="R447" s="168"/>
      <c r="S447" s="217"/>
      <c r="T447" s="221"/>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row>
    <row r="448" spans="1:41" ht="15.75" customHeight="1">
      <c r="A448" s="134" t="s">
        <v>625</v>
      </c>
      <c r="B448" s="163">
        <f>('Pivot Table for Data Exchange'!$Q$259)*100</f>
        <v>0</v>
      </c>
      <c r="C448" s="163">
        <f>('Pivot Table for Data Exchange'!$Q$262)*100</f>
        <v>0</v>
      </c>
      <c r="D448" s="164">
        <f>SUM(E448:G448)</f>
        <v>0</v>
      </c>
      <c r="E448" s="163">
        <f>('Pivot Table for Data Exchange'!$Q$265)*100</f>
        <v>0</v>
      </c>
      <c r="F448" s="163">
        <f>('Pivot Table for Data Exchange'!$Q$268)*100</f>
        <v>0</v>
      </c>
      <c r="G448" s="171">
        <f>('Pivot Table for Data Exchange'!$Q$271)*100</f>
        <v>0</v>
      </c>
      <c r="H448" s="163">
        <f>('Pivot Table for Data Exchange'!$Q$274)*100</f>
        <v>0</v>
      </c>
      <c r="I448" s="134"/>
      <c r="J448" s="202"/>
      <c r="K448" s="202"/>
      <c r="L448" s="202"/>
      <c r="M448" s="202"/>
      <c r="N448" s="202"/>
      <c r="O448" s="202"/>
      <c r="P448" s="202"/>
      <c r="Q448" s="168">
        <f t="shared" si="50"/>
        <v>0</v>
      </c>
      <c r="R448" s="168"/>
      <c r="S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row>
    <row r="449" spans="1:41" ht="15.75" customHeight="1">
      <c r="B449" s="163"/>
      <c r="C449" s="163"/>
      <c r="D449" s="164"/>
      <c r="E449" s="163"/>
      <c r="F449" s="163"/>
      <c r="G449" s="171"/>
      <c r="H449" s="163"/>
      <c r="I449" s="134"/>
      <c r="J449" s="202"/>
      <c r="K449" s="202"/>
      <c r="L449" s="202"/>
      <c r="M449" s="202"/>
      <c r="N449" s="202"/>
      <c r="O449" s="202"/>
      <c r="P449" s="202"/>
      <c r="Q449" s="168">
        <f t="shared" si="50"/>
        <v>0</v>
      </c>
      <c r="R449" s="168"/>
      <c r="S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row>
    <row r="450" spans="1:41" ht="15.75" customHeight="1">
      <c r="A450" s="134" t="s">
        <v>626</v>
      </c>
      <c r="B450" s="163">
        <f>('Pivot Table for Data Exchange'!$Q$295)*100</f>
        <v>0</v>
      </c>
      <c r="C450" s="163">
        <f>('Pivot Table for Data Exchange'!$Q$298)*100</f>
        <v>0</v>
      </c>
      <c r="D450" s="164">
        <f>SUM(E450:G450)</f>
        <v>0</v>
      </c>
      <c r="E450" s="163">
        <f>('Pivot Table for Data Exchange'!$Q$301)*100</f>
        <v>0</v>
      </c>
      <c r="F450" s="163">
        <f>('Pivot Table for Data Exchange'!$Q$304)*100</f>
        <v>0</v>
      </c>
      <c r="G450" s="171">
        <f>('Pivot Table for Data Exchange'!$Q$307)*100</f>
        <v>0</v>
      </c>
      <c r="H450" s="163">
        <f>('Pivot Table for Data Exchange'!$Q$310)*100</f>
        <v>0</v>
      </c>
      <c r="I450" s="134"/>
      <c r="J450" s="202"/>
      <c r="K450" s="202"/>
      <c r="L450" s="202"/>
      <c r="M450" s="202"/>
      <c r="N450" s="202"/>
      <c r="O450" s="202"/>
      <c r="P450" s="202"/>
      <c r="Q450" s="168">
        <f t="shared" si="50"/>
        <v>0</v>
      </c>
      <c r="R450" s="168"/>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row>
    <row r="451" spans="1:41" ht="15.75" customHeight="1">
      <c r="A451" s="134" t="s">
        <v>627</v>
      </c>
      <c r="B451" s="163">
        <f>('Pivot Table for Data Exchange'!$Q$331)*100</f>
        <v>0</v>
      </c>
      <c r="C451" s="163">
        <f>('Pivot Table for Data Exchange'!$Q$334)*100</f>
        <v>0</v>
      </c>
      <c r="D451" s="164">
        <f>SUM(E451:G451)</f>
        <v>0</v>
      </c>
      <c r="E451" s="163">
        <f>('Pivot Table for Data Exchange'!$Q$337)*100</f>
        <v>0</v>
      </c>
      <c r="F451" s="163">
        <f>('Pivot Table for Data Exchange'!$Q$340)*100</f>
        <v>0</v>
      </c>
      <c r="G451" s="171">
        <f>('Pivot Table for Data Exchange'!$Q$343)*100</f>
        <v>0</v>
      </c>
      <c r="H451" s="163">
        <f>('Pivot Table for Data Exchange'!$Q$346)*100</f>
        <v>0</v>
      </c>
      <c r="I451" s="134"/>
      <c r="J451" s="202"/>
      <c r="K451" s="202"/>
      <c r="L451" s="202"/>
      <c r="M451" s="202"/>
      <c r="N451" s="202"/>
      <c r="O451" s="202"/>
      <c r="P451" s="202"/>
      <c r="Q451" s="168">
        <f t="shared" si="50"/>
        <v>0</v>
      </c>
      <c r="R451" s="168"/>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row>
    <row r="452" spans="1:41" ht="15.75" customHeight="1">
      <c r="A452" s="134" t="s">
        <v>628</v>
      </c>
      <c r="B452" s="163">
        <f>('Pivot Table for Data Exchange'!$Q$367)*100</f>
        <v>0</v>
      </c>
      <c r="C452" s="163">
        <f>('Pivot Table for Data Exchange'!$Q$370)*100</f>
        <v>0</v>
      </c>
      <c r="D452" s="164">
        <f>SUM(E452:G452)</f>
        <v>0</v>
      </c>
      <c r="E452" s="163">
        <f>('Pivot Table for Data Exchange'!$Q$373)*100</f>
        <v>0</v>
      </c>
      <c r="F452" s="163">
        <f>('Pivot Table for Data Exchange'!$Q$376)*100</f>
        <v>0</v>
      </c>
      <c r="G452" s="171">
        <f>('Pivot Table for Data Exchange'!$Q$379)*100</f>
        <v>0</v>
      </c>
      <c r="H452" s="163">
        <f>('Pivot Table for Data Exchange'!$Q$382)*100</f>
        <v>0</v>
      </c>
      <c r="I452" s="134"/>
      <c r="J452" s="202"/>
      <c r="K452" s="202"/>
      <c r="L452" s="202"/>
      <c r="M452" s="202"/>
      <c r="N452" s="202"/>
      <c r="O452" s="202"/>
      <c r="P452" s="202"/>
      <c r="Q452" s="168">
        <f t="shared" si="50"/>
        <v>0</v>
      </c>
      <c r="R452" s="168"/>
      <c r="S452" s="217"/>
      <c r="T452" s="221"/>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row>
    <row r="453" spans="1:41" ht="15.75" customHeight="1">
      <c r="A453" s="134" t="s">
        <v>629</v>
      </c>
      <c r="B453" s="163">
        <f>('Pivot Table for Data Exchange'!$Q$403)*100</f>
        <v>0</v>
      </c>
      <c r="C453" s="163">
        <f>('Pivot Table for Data Exchange'!$Q$406)*100</f>
        <v>0</v>
      </c>
      <c r="D453" s="164">
        <f>SUM(E453:G453)</f>
        <v>0</v>
      </c>
      <c r="E453" s="163">
        <f>('Pivot Table for Data Exchange'!$Q$409)*100</f>
        <v>0</v>
      </c>
      <c r="F453" s="163">
        <f>('Pivot Table for Data Exchange'!$Q$412)*100</f>
        <v>0</v>
      </c>
      <c r="G453" s="171">
        <f>('Pivot Table for Data Exchange'!$Q$415)*100</f>
        <v>0</v>
      </c>
      <c r="H453" s="163">
        <f>('Pivot Table for Data Exchange'!$Q$418)*100</f>
        <v>0</v>
      </c>
      <c r="I453" s="134"/>
      <c r="J453" s="202"/>
      <c r="K453" s="202"/>
      <c r="L453" s="202"/>
      <c r="M453" s="202"/>
      <c r="N453" s="202"/>
      <c r="O453" s="202"/>
      <c r="P453" s="202"/>
      <c r="Q453" s="168">
        <f t="shared" si="50"/>
        <v>0</v>
      </c>
      <c r="R453" s="168"/>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row>
    <row r="454" spans="1:41" ht="15.75" customHeight="1">
      <c r="B454" s="163"/>
      <c r="C454" s="163"/>
      <c r="D454" s="164"/>
      <c r="E454" s="163"/>
      <c r="F454" s="163"/>
      <c r="G454" s="171"/>
      <c r="H454" s="163"/>
      <c r="I454" s="134"/>
      <c r="J454" s="202"/>
      <c r="K454" s="202"/>
      <c r="L454" s="202"/>
      <c r="M454" s="202"/>
      <c r="N454" s="202"/>
      <c r="O454" s="202"/>
      <c r="P454" s="202"/>
      <c r="Q454" s="168">
        <f t="shared" si="50"/>
        <v>0</v>
      </c>
      <c r="R454" s="168"/>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row>
    <row r="455" spans="1:41" ht="15.75" customHeight="1">
      <c r="A455" s="134" t="s">
        <v>630</v>
      </c>
      <c r="B455" s="163">
        <f>('Pivot Table for Data Exchange'!$Q$439)*100</f>
        <v>0</v>
      </c>
      <c r="C455" s="163">
        <f>('Pivot Table for Data Exchange'!$Q$442)*100</f>
        <v>0</v>
      </c>
      <c r="D455" s="164">
        <f>SUM(E455:G455)</f>
        <v>0</v>
      </c>
      <c r="E455" s="163">
        <f>('Pivot Table for Data Exchange'!$Q$445)*100</f>
        <v>0</v>
      </c>
      <c r="F455" s="163">
        <f>('Pivot Table for Data Exchange'!$Q$448)*100</f>
        <v>0</v>
      </c>
      <c r="G455" s="171">
        <f>('Pivot Table for Data Exchange'!$Q$451)*100</f>
        <v>0</v>
      </c>
      <c r="H455" s="163">
        <f>('Pivot Table for Data Exchange'!$Q$454)*100</f>
        <v>0</v>
      </c>
      <c r="I455" s="134"/>
      <c r="J455" s="202"/>
      <c r="K455" s="202"/>
      <c r="L455" s="202"/>
      <c r="M455" s="202"/>
      <c r="N455" s="202"/>
      <c r="O455" s="202"/>
      <c r="P455" s="202"/>
      <c r="Q455" s="168">
        <f t="shared" si="50"/>
        <v>0</v>
      </c>
      <c r="R455" s="168"/>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row>
    <row r="456" spans="1:41" ht="15.75" customHeight="1">
      <c r="A456" s="134" t="s">
        <v>631</v>
      </c>
      <c r="B456" s="163">
        <f>('Pivot Table for Data Exchange'!$Q$475)*100</f>
        <v>0</v>
      </c>
      <c r="C456" s="163">
        <f>('Pivot Table for Data Exchange'!$Q$478)*100</f>
        <v>0</v>
      </c>
      <c r="D456" s="164">
        <f>SUM(E456:G456)</f>
        <v>0</v>
      </c>
      <c r="E456" s="163">
        <f>('Pivot Table for Data Exchange'!$Q$481)*100</f>
        <v>0</v>
      </c>
      <c r="F456" s="163">
        <f>('Pivot Table for Data Exchange'!$Q$484)*100</f>
        <v>0</v>
      </c>
      <c r="G456" s="171">
        <f>('Pivot Table for Data Exchange'!$Q$487)*100</f>
        <v>0</v>
      </c>
      <c r="H456" s="163">
        <f>('Pivot Table for Data Exchange'!$Q$490)*100</f>
        <v>0</v>
      </c>
      <c r="I456" s="134"/>
      <c r="J456" s="202"/>
      <c r="K456" s="202"/>
      <c r="L456" s="202"/>
      <c r="M456" s="202"/>
      <c r="N456" s="202"/>
      <c r="O456" s="202"/>
      <c r="P456" s="202"/>
      <c r="Q456" s="168">
        <f t="shared" si="50"/>
        <v>0</v>
      </c>
      <c r="R456" s="168"/>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row>
    <row r="457" spans="1:41" ht="15.75" customHeight="1">
      <c r="A457" s="134" t="s">
        <v>632</v>
      </c>
      <c r="B457" s="163">
        <f>('Pivot Table for Data Exchange'!$Q$511)*100</f>
        <v>0</v>
      </c>
      <c r="C457" s="163">
        <f>('Pivot Table for Data Exchange'!$Q$514)*100</f>
        <v>0</v>
      </c>
      <c r="D457" s="164">
        <f>SUM(E457:G457)</f>
        <v>0</v>
      </c>
      <c r="E457" s="163">
        <f>('Pivot Table for Data Exchange'!$Q$517)*100</f>
        <v>0</v>
      </c>
      <c r="F457" s="163">
        <f>('Pivot Table for Data Exchange'!$Q$520)*100</f>
        <v>0</v>
      </c>
      <c r="G457" s="171">
        <f>('Pivot Table for Data Exchange'!$Q$523)*100</f>
        <v>0</v>
      </c>
      <c r="H457" s="163">
        <f>('Pivot Table for Data Exchange'!$Q$526)*100</f>
        <v>0</v>
      </c>
      <c r="I457" s="134"/>
      <c r="J457" s="202"/>
      <c r="K457" s="202"/>
      <c r="L457" s="202"/>
      <c r="M457" s="202"/>
      <c r="N457" s="202"/>
      <c r="O457" s="202"/>
      <c r="P457" s="202"/>
      <c r="Q457" s="168">
        <f t="shared" si="50"/>
        <v>0</v>
      </c>
      <c r="R457" s="168"/>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row>
    <row r="458" spans="1:41" ht="15.75" customHeight="1">
      <c r="A458" s="140" t="s">
        <v>633</v>
      </c>
      <c r="B458" s="176">
        <f>('Pivot Table for Data Exchange'!$Q$547)*100</f>
        <v>0</v>
      </c>
      <c r="C458" s="176">
        <f>('Pivot Table for Data Exchange'!$Q$550)*100</f>
        <v>0</v>
      </c>
      <c r="D458" s="177">
        <f>SUM(E458:G458)</f>
        <v>0</v>
      </c>
      <c r="E458" s="176">
        <f>('Pivot Table for Data Exchange'!$Q$553)*100</f>
        <v>0</v>
      </c>
      <c r="F458" s="176">
        <f>('Pivot Table for Data Exchange'!$Q$556)*100</f>
        <v>0</v>
      </c>
      <c r="G458" s="178">
        <f>('Pivot Table for Data Exchange'!$Q$559)*100</f>
        <v>0</v>
      </c>
      <c r="H458" s="176">
        <f>('Pivot Table for Data Exchange'!$Q$562)*100</f>
        <v>0</v>
      </c>
      <c r="I458" s="134"/>
      <c r="J458" s="202"/>
      <c r="K458" s="202"/>
      <c r="L458" s="202"/>
      <c r="M458" s="202"/>
      <c r="N458" s="202"/>
      <c r="O458" s="202"/>
      <c r="P458" s="202"/>
      <c r="Q458" s="168">
        <f t="shared" si="50"/>
        <v>0</v>
      </c>
      <c r="R458" s="168"/>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row>
    <row r="459" spans="1:41" s="207" customFormat="1" ht="13.5" customHeight="1">
      <c r="A459" s="182" t="s">
        <v>658</v>
      </c>
      <c r="B459" s="183"/>
      <c r="C459" s="183"/>
      <c r="D459" s="184"/>
      <c r="E459" s="183"/>
      <c r="F459" s="184"/>
      <c r="G459" s="184"/>
      <c r="H459" s="183"/>
      <c r="I459" s="192"/>
      <c r="J459" s="183"/>
      <c r="K459" s="183"/>
      <c r="L459" s="184"/>
      <c r="M459" s="183"/>
      <c r="N459" s="184"/>
      <c r="O459" s="184"/>
      <c r="P459" s="183"/>
      <c r="Q459" s="203"/>
      <c r="R459" s="203"/>
      <c r="S459" s="220"/>
      <c r="T459" s="220"/>
      <c r="U459" s="220"/>
      <c r="V459" s="220"/>
      <c r="W459" s="220"/>
      <c r="X459" s="220"/>
      <c r="Y459" s="220"/>
      <c r="Z459" s="220"/>
      <c r="AA459" s="220"/>
      <c r="AB459" s="220"/>
      <c r="AC459" s="220"/>
      <c r="AD459" s="220"/>
      <c r="AE459" s="220"/>
      <c r="AF459" s="220"/>
      <c r="AG459" s="220"/>
      <c r="AH459" s="220"/>
      <c r="AI459" s="220"/>
      <c r="AJ459" s="220"/>
      <c r="AK459" s="220"/>
      <c r="AL459" s="220"/>
      <c r="AM459" s="220"/>
      <c r="AN459" s="220"/>
      <c r="AO459" s="220"/>
    </row>
    <row r="460" spans="1:41" s="207" customFormat="1" ht="18" customHeight="1">
      <c r="A460" s="192"/>
      <c r="B460" s="183"/>
      <c r="C460" s="183"/>
      <c r="D460" s="184"/>
      <c r="E460" s="183"/>
      <c r="F460" s="184"/>
      <c r="G460" s="184"/>
      <c r="H460" s="183"/>
      <c r="I460" s="192"/>
      <c r="J460" s="183"/>
      <c r="K460" s="183"/>
      <c r="L460" s="184"/>
      <c r="M460" s="183"/>
      <c r="N460" s="184"/>
      <c r="O460" s="184"/>
      <c r="P460" s="183"/>
      <c r="Q460" s="203"/>
      <c r="R460" s="203"/>
      <c r="S460" s="220"/>
      <c r="T460" s="220"/>
      <c r="U460" s="220"/>
      <c r="V460" s="220"/>
      <c r="W460" s="220"/>
      <c r="X460" s="220"/>
      <c r="Y460" s="220"/>
      <c r="Z460" s="220"/>
      <c r="AA460" s="220"/>
      <c r="AB460" s="220"/>
      <c r="AC460" s="220"/>
      <c r="AD460" s="220"/>
      <c r="AE460" s="220"/>
      <c r="AF460" s="220"/>
      <c r="AG460" s="220"/>
      <c r="AH460" s="220"/>
      <c r="AI460" s="220"/>
      <c r="AJ460" s="220"/>
      <c r="AK460" s="220"/>
      <c r="AL460" s="220"/>
      <c r="AM460" s="220"/>
      <c r="AN460" s="220"/>
      <c r="AO460" s="220"/>
    </row>
    <row r="461" spans="1:41" s="207" customFormat="1" ht="13.5" customHeight="1">
      <c r="A461" s="192"/>
      <c r="B461" s="193"/>
      <c r="C461" s="181"/>
      <c r="D461" s="181"/>
      <c r="E461" s="181"/>
      <c r="F461" s="181"/>
      <c r="G461" s="181"/>
      <c r="H461" s="187" t="s">
        <v>992</v>
      </c>
      <c r="I461" s="192"/>
      <c r="J461" s="181"/>
      <c r="K461" s="181"/>
      <c r="L461" s="181"/>
      <c r="M461" s="181"/>
      <c r="N461" s="181"/>
      <c r="O461" s="181"/>
      <c r="P461" s="194"/>
      <c r="Q461" s="211"/>
      <c r="R461" s="204"/>
    </row>
    <row r="462" spans="1:41" s="207" customFormat="1" ht="13.5" customHeight="1">
      <c r="A462" s="192"/>
      <c r="B462" s="181"/>
      <c r="C462" s="181"/>
      <c r="D462" s="181"/>
      <c r="E462" s="181"/>
      <c r="F462" s="181"/>
      <c r="G462" s="181"/>
      <c r="H462" s="181"/>
      <c r="I462" s="192"/>
      <c r="J462" s="181"/>
      <c r="K462" s="181"/>
      <c r="L462" s="181"/>
      <c r="M462" s="181"/>
      <c r="N462" s="181"/>
      <c r="O462" s="181"/>
      <c r="P462" s="181"/>
      <c r="Q462" s="211"/>
      <c r="R462" s="204"/>
    </row>
    <row r="463" spans="1:41" s="207" customFormat="1" ht="13.5" customHeight="1">
      <c r="A463" s="192"/>
      <c r="B463" s="181"/>
      <c r="C463" s="181"/>
      <c r="D463" s="181"/>
      <c r="E463" s="181"/>
      <c r="F463" s="181"/>
      <c r="G463" s="181"/>
      <c r="H463" s="181"/>
      <c r="I463" s="192"/>
      <c r="J463" s="181"/>
      <c r="K463" s="181"/>
      <c r="L463" s="181"/>
      <c r="M463" s="181"/>
      <c r="N463" s="181"/>
      <c r="O463" s="181"/>
      <c r="P463" s="181"/>
      <c r="Q463" s="211"/>
      <c r="R463" s="204"/>
    </row>
  </sheetData>
  <mergeCells count="42">
    <mergeCell ref="A30:H30"/>
    <mergeCell ref="I30:P30"/>
    <mergeCell ref="Q2:X2"/>
    <mergeCell ref="D7:G7"/>
    <mergeCell ref="L7:O7"/>
    <mergeCell ref="A28:H28"/>
    <mergeCell ref="I28:P28"/>
    <mergeCell ref="D39:G39"/>
    <mergeCell ref="L39:O39"/>
    <mergeCell ref="A61:H61"/>
    <mergeCell ref="I61:P61"/>
    <mergeCell ref="A62:H62"/>
    <mergeCell ref="I62:P62"/>
    <mergeCell ref="D70:G70"/>
    <mergeCell ref="L70:O70"/>
    <mergeCell ref="D100:G100"/>
    <mergeCell ref="L100:O100"/>
    <mergeCell ref="A122:H122"/>
    <mergeCell ref="I122:P122"/>
    <mergeCell ref="D131:G131"/>
    <mergeCell ref="L131:O131"/>
    <mergeCell ref="A153:H153"/>
    <mergeCell ref="I153:P153"/>
    <mergeCell ref="D162:G162"/>
    <mergeCell ref="L162:O162"/>
    <mergeCell ref="A338:H338"/>
    <mergeCell ref="D192:G192"/>
    <mergeCell ref="L192:O192"/>
    <mergeCell ref="A214:H214"/>
    <mergeCell ref="I214:P214"/>
    <mergeCell ref="D223:G223"/>
    <mergeCell ref="A245:H245"/>
    <mergeCell ref="D254:G254"/>
    <mergeCell ref="A276:H276"/>
    <mergeCell ref="D285:G285"/>
    <mergeCell ref="A307:H307"/>
    <mergeCell ref="D316:G316"/>
    <mergeCell ref="D347:G347"/>
    <mergeCell ref="A369:H369"/>
    <mergeCell ref="D378:G378"/>
    <mergeCell ref="D408:G408"/>
    <mergeCell ref="D438:G438"/>
  </mergeCells>
  <conditionalFormatting sqref="Q1:R7 Q9:R1048576">
    <cfRule type="cellIs" dxfId="6331" priority="1" stopIfTrue="1" operator="notEqual">
      <formula>100</formula>
    </cfRule>
  </conditionalFormatting>
  <pageMargins left="0.7" right="0.7" top="0.75" bottom="0.75" header="0.3" footer="0.3"/>
  <pageSetup scale="97" firstPageNumber="100" orientation="landscape" useFirstPageNumber="1" r:id="rId1"/>
  <headerFooter>
    <oddHeader>&amp;R&amp;"Arial,Regular"&amp;8SREB-State Data Exchange</oddHeader>
    <oddFooter>&amp;C&amp;"Arial,Regular"&amp;10&amp;P</oddFooter>
  </headerFooter>
  <rowBreaks count="14" manualBreakCount="14">
    <brk id="32" max="15" man="1"/>
    <brk id="63" max="15" man="1"/>
    <brk id="93" max="15" man="1"/>
    <brk id="124" max="15" man="1"/>
    <brk id="155" max="15" man="1"/>
    <brk id="185" max="15" man="1"/>
    <brk id="216" max="15" man="1"/>
    <brk id="247" max="15" man="1"/>
    <brk id="278" max="15" man="1"/>
    <brk id="309" max="15" man="1"/>
    <brk id="340" max="15" man="1"/>
    <brk id="371" max="15" man="1"/>
    <brk id="401" max="15" man="1"/>
    <brk id="431" max="15" man="1"/>
  </rowBreaks>
  <colBreaks count="1" manualBreakCount="1">
    <brk id="8" max="460"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42CB2-8CE9-468D-A283-05219871B5E2}">
  <sheetPr>
    <tabColor theme="5" tint="0.59999389629810485"/>
  </sheetPr>
  <dimension ref="A1:AO532"/>
  <sheetViews>
    <sheetView showZeros="0" tabSelected="1" view="pageBreakPreview" topLeftCell="A53" zoomScaleNormal="100" zoomScaleSheetLayoutView="100" workbookViewId="0">
      <selection activeCell="D74" sqref="D74"/>
    </sheetView>
  </sheetViews>
  <sheetFormatPr defaultColWidth="8.88671875" defaultRowHeight="12.75"/>
  <cols>
    <col min="1" max="1" width="10.44140625" style="134" customWidth="1"/>
    <col min="2" max="3" width="7.33203125" style="134" bestFit="1" customWidth="1"/>
    <col min="4" max="4" width="7.6640625" style="134" bestFit="1" customWidth="1"/>
    <col min="5" max="5" width="4.44140625" style="134" bestFit="1" customWidth="1"/>
    <col min="6" max="6" width="8.88671875" style="134" customWidth="1"/>
    <col min="7" max="7" width="6.6640625" style="134" bestFit="1" customWidth="1"/>
    <col min="8" max="8" width="9.5546875" style="134" bestFit="1" customWidth="1"/>
    <col min="9" max="9" width="10.109375" style="200" customWidth="1"/>
    <col min="10" max="11" width="7" style="134" customWidth="1"/>
    <col min="12" max="12" width="7.77734375" style="134" bestFit="1" customWidth="1"/>
    <col min="13" max="13" width="5" style="134" bestFit="1" customWidth="1"/>
    <col min="14" max="14" width="8.77734375" style="134" customWidth="1"/>
    <col min="15" max="15" width="6.109375" style="134" bestFit="1" customWidth="1"/>
    <col min="16" max="16" width="9.5546875" style="134" bestFit="1" customWidth="1"/>
    <col min="17" max="17" width="9" style="138" hidden="1" customWidth="1"/>
    <col min="18" max="18" width="9" style="144" hidden="1" customWidth="1"/>
    <col min="19" max="19" width="0" style="134" hidden="1" customWidth="1"/>
    <col min="20" max="16384" width="8.88671875" style="134"/>
  </cols>
  <sheetData>
    <row r="1" spans="1:41" ht="18">
      <c r="A1" s="129" t="s">
        <v>637</v>
      </c>
      <c r="B1" s="130"/>
      <c r="C1" s="130"/>
      <c r="D1" s="130"/>
      <c r="E1" s="130"/>
      <c r="F1" s="130"/>
      <c r="G1" s="130"/>
      <c r="H1" s="130"/>
      <c r="I1" s="129" t="s">
        <v>638</v>
      </c>
      <c r="J1" s="131"/>
      <c r="K1" s="131"/>
      <c r="L1" s="130"/>
      <c r="M1" s="131"/>
      <c r="N1" s="131"/>
      <c r="O1" s="131"/>
      <c r="P1" s="131"/>
      <c r="Q1" s="132"/>
      <c r="R1" s="133"/>
    </row>
    <row r="2" spans="1:41" ht="15">
      <c r="A2" s="135"/>
      <c r="B2" s="131"/>
      <c r="C2" s="131"/>
      <c r="D2" s="131"/>
      <c r="E2" s="131"/>
      <c r="F2" s="131"/>
      <c r="G2" s="131"/>
      <c r="H2" s="131"/>
      <c r="I2" s="135"/>
      <c r="J2" s="131"/>
      <c r="K2" s="131"/>
      <c r="L2" s="131"/>
      <c r="M2" s="131"/>
      <c r="N2" s="131"/>
      <c r="O2" s="131"/>
      <c r="P2" s="131"/>
      <c r="Q2" s="651"/>
      <c r="R2" s="650"/>
      <c r="S2" s="650"/>
      <c r="T2" s="650"/>
      <c r="U2" s="650"/>
      <c r="V2" s="650"/>
      <c r="W2" s="650"/>
      <c r="X2" s="650"/>
    </row>
    <row r="3" spans="1:41" ht="15.75">
      <c r="A3" s="137" t="s">
        <v>639</v>
      </c>
      <c r="B3" s="131"/>
      <c r="C3" s="131"/>
      <c r="D3" s="131"/>
      <c r="E3" s="131"/>
      <c r="F3" s="131"/>
      <c r="G3" s="131"/>
      <c r="H3" s="131"/>
      <c r="I3" s="137" t="s">
        <v>640</v>
      </c>
      <c r="J3" s="131"/>
      <c r="K3" s="131"/>
      <c r="L3" s="131"/>
      <c r="M3" s="131"/>
      <c r="N3" s="131"/>
      <c r="O3" s="131"/>
      <c r="P3" s="131"/>
      <c r="R3" s="139" t="s">
        <v>533</v>
      </c>
    </row>
    <row r="4" spans="1:41" ht="15.75">
      <c r="A4" s="137" t="s">
        <v>878</v>
      </c>
      <c r="B4" s="131"/>
      <c r="C4" s="131"/>
      <c r="D4" s="131"/>
      <c r="E4" s="131"/>
      <c r="F4" s="131"/>
      <c r="G4" s="131"/>
      <c r="H4" s="131"/>
      <c r="I4" s="137" t="s">
        <v>878</v>
      </c>
      <c r="J4" s="131"/>
      <c r="K4" s="131"/>
      <c r="L4" s="131"/>
      <c r="M4" s="131"/>
      <c r="N4" s="131"/>
      <c r="O4" s="131"/>
      <c r="P4" s="131"/>
      <c r="R4" s="139" t="s">
        <v>533</v>
      </c>
    </row>
    <row r="5" spans="1:41">
      <c r="A5" s="140"/>
      <c r="B5" s="141"/>
      <c r="C5" s="141"/>
      <c r="D5" s="141"/>
      <c r="E5" s="141"/>
      <c r="F5" s="141"/>
      <c r="G5" s="141"/>
      <c r="H5" s="141"/>
      <c r="I5" s="142"/>
      <c r="L5" s="143"/>
      <c r="P5" s="140"/>
    </row>
    <row r="6" spans="1:41" s="150" customFormat="1" ht="12">
      <c r="A6" s="145"/>
      <c r="B6" s="146" t="s">
        <v>641</v>
      </c>
      <c r="C6" s="146"/>
      <c r="D6" s="146"/>
      <c r="E6" s="146"/>
      <c r="F6" s="146"/>
      <c r="G6" s="146"/>
      <c r="H6" s="147"/>
      <c r="I6" s="145"/>
      <c r="J6" s="146" t="s">
        <v>641</v>
      </c>
      <c r="K6" s="146"/>
      <c r="L6" s="146"/>
      <c r="M6" s="146"/>
      <c r="N6" s="146"/>
      <c r="O6" s="146"/>
      <c r="P6" s="147"/>
      <c r="Q6" s="148"/>
      <c r="R6" s="149"/>
    </row>
    <row r="7" spans="1:41" s="150" customFormat="1" ht="12">
      <c r="A7" s="145"/>
      <c r="B7" s="146" t="s">
        <v>642</v>
      </c>
      <c r="C7" s="146"/>
      <c r="D7" s="639" t="s">
        <v>643</v>
      </c>
      <c r="E7" s="637"/>
      <c r="F7" s="637"/>
      <c r="G7" s="637"/>
      <c r="H7" s="153" t="s">
        <v>533</v>
      </c>
      <c r="I7" s="145"/>
      <c r="J7" s="146" t="s">
        <v>642</v>
      </c>
      <c r="K7" s="146"/>
      <c r="L7" s="639" t="s">
        <v>643</v>
      </c>
      <c r="M7" s="637"/>
      <c r="N7" s="637"/>
      <c r="O7" s="637"/>
      <c r="P7" s="153" t="s">
        <v>533</v>
      </c>
      <c r="Q7" s="148"/>
      <c r="R7" s="149"/>
    </row>
    <row r="8" spans="1:41" s="150" customFormat="1" ht="40.5" customHeight="1">
      <c r="A8" s="145"/>
      <c r="B8" s="154" t="s">
        <v>644</v>
      </c>
      <c r="C8" s="155" t="s">
        <v>645</v>
      </c>
      <c r="D8" s="156" t="s">
        <v>646</v>
      </c>
      <c r="E8" s="157" t="s">
        <v>8</v>
      </c>
      <c r="F8" s="154" t="s">
        <v>647</v>
      </c>
      <c r="G8" s="158" t="s">
        <v>648</v>
      </c>
      <c r="H8" s="159" t="s">
        <v>649</v>
      </c>
      <c r="I8" s="145"/>
      <c r="J8" s="154" t="s">
        <v>644</v>
      </c>
      <c r="K8" s="155" t="s">
        <v>645</v>
      </c>
      <c r="L8" s="156" t="s">
        <v>646</v>
      </c>
      <c r="M8" s="157" t="s">
        <v>8</v>
      </c>
      <c r="N8" s="154" t="s">
        <v>647</v>
      </c>
      <c r="O8" s="158" t="s">
        <v>648</v>
      </c>
      <c r="P8" s="159" t="s">
        <v>649</v>
      </c>
      <c r="Q8" s="160" t="s">
        <v>650</v>
      </c>
      <c r="R8" s="160" t="s">
        <v>650</v>
      </c>
      <c r="S8" s="161"/>
    </row>
    <row r="9" spans="1:41" ht="15.75" customHeight="1">
      <c r="A9" s="162" t="s">
        <v>618</v>
      </c>
      <c r="B9" s="163">
        <f>('Pivot Table for Data Exchange'!$J$6)*100</f>
        <v>63.645136875698448</v>
      </c>
      <c r="C9" s="163">
        <f>('Pivot Table for Data Exchange'!$J$9)*100</f>
        <v>0.547393500897568</v>
      </c>
      <c r="D9" s="164">
        <f>SUM(E9:G9)</f>
        <v>35.807469623403982</v>
      </c>
      <c r="E9" s="163">
        <f>('Pivot Table for Data Exchange'!$J$12)*100</f>
        <v>32.589667995486202</v>
      </c>
      <c r="F9" s="163">
        <f>('Pivot Table for Data Exchange'!$J$15)*100</f>
        <v>2.9763189604059139</v>
      </c>
      <c r="G9" s="165">
        <f>('Pivot Table for Data Exchange'!$J$18)*100</f>
        <v>0.24148266751186512</v>
      </c>
      <c r="H9" s="163">
        <f>('Pivot Table for Data Exchange'!$J$21)*100</f>
        <v>0</v>
      </c>
      <c r="I9" s="166" t="s">
        <v>618</v>
      </c>
      <c r="J9" s="163">
        <f>('Pivot Table for Data Exchange'!$J$24)*100</f>
        <v>42.686327919809813</v>
      </c>
      <c r="K9" s="163">
        <f>('Pivot Table for Data Exchange'!$J$27)*100</f>
        <v>2.2906840101591568</v>
      </c>
      <c r="L9" s="164">
        <f>SUM(M9:O9)</f>
        <v>55.022988070031019</v>
      </c>
      <c r="M9" s="163">
        <f>('Pivot Table for Data Exchange'!$J$30)*100</f>
        <v>53.635400364271099</v>
      </c>
      <c r="N9" s="163">
        <f>('Pivot Table for Data Exchange'!$J$33)*100</f>
        <v>1.1910112765193155</v>
      </c>
      <c r="O9" s="167">
        <f>('Pivot Table for Data Exchange'!$J$36)*100</f>
        <v>0.19657642924060847</v>
      </c>
      <c r="P9" s="163">
        <f>('Pivot Table for Data Exchange'!$J$39)*100</f>
        <v>0</v>
      </c>
      <c r="Q9" s="168">
        <f>SUM(B9,C9,D9,H9)</f>
        <v>100</v>
      </c>
      <c r="R9" s="168">
        <f>SUM(J9,K9,L9,P9)</f>
        <v>99.999999999999986</v>
      </c>
      <c r="S9" s="169"/>
      <c r="T9" s="150"/>
      <c r="U9" s="150"/>
      <c r="V9" s="150"/>
      <c r="W9" s="150"/>
      <c r="X9" s="150"/>
      <c r="Y9" s="150"/>
      <c r="Z9" s="150"/>
      <c r="AA9" s="150"/>
      <c r="AB9" s="150"/>
      <c r="AC9" s="150"/>
      <c r="AD9" s="150"/>
      <c r="AE9" s="150"/>
      <c r="AF9" s="150"/>
      <c r="AG9" s="169"/>
      <c r="AH9" s="169"/>
      <c r="AI9" s="169"/>
      <c r="AJ9" s="169"/>
      <c r="AK9" s="169"/>
      <c r="AL9" s="169"/>
      <c r="AM9" s="169"/>
      <c r="AN9" s="169"/>
      <c r="AO9" s="169"/>
    </row>
    <row r="10" spans="1:41" ht="15.75" customHeight="1">
      <c r="A10" s="134" t="s">
        <v>619</v>
      </c>
      <c r="B10" s="163">
        <f>('Pivot Table for Data Exchange'!$J$42)*100</f>
        <v>70.348268635864684</v>
      </c>
      <c r="C10" s="163">
        <f>('Pivot Table for Data Exchange'!$J$45)*100</f>
        <v>4.3077342458885122</v>
      </c>
      <c r="D10" s="164">
        <f t="shared" ref="D10:D26" si="0">SUM(E10:G10)</f>
        <v>25.234422347217187</v>
      </c>
      <c r="E10" s="163">
        <f>('Pivot Table for Data Exchange'!$J$48)*100</f>
        <v>24.691416318414259</v>
      </c>
      <c r="F10" s="163">
        <f>('Pivot Table for Data Exchange'!$J$51)*100</f>
        <v>0.26456636185960702</v>
      </c>
      <c r="G10" s="170">
        <f>('Pivot Table for Data Exchange'!$J$54)*100</f>
        <v>0.27843966694332145</v>
      </c>
      <c r="H10" s="163">
        <f>('Pivot Table for Data Exchange'!$J$57)*100</f>
        <v>0.1095747710296183</v>
      </c>
      <c r="I10" s="169" t="s">
        <v>619</v>
      </c>
      <c r="J10" s="163">
        <f>('Pivot Table for Data Exchange'!$J$60)*100</f>
        <v>39.50491710543492</v>
      </c>
      <c r="K10" s="163">
        <f>('Pivot Table for Data Exchange'!$J$63)*100</f>
        <v>4.912210086593273</v>
      </c>
      <c r="L10" s="164">
        <f t="shared" ref="L10:L26" si="1">SUM(M10:O10)</f>
        <v>55.582872807971803</v>
      </c>
      <c r="M10" s="163">
        <f>('Pivot Table for Data Exchange'!$J$66)*100</f>
        <v>52.79687567990949</v>
      </c>
      <c r="N10" s="163">
        <f>('Pivot Table for Data Exchange'!$J$69)*100</f>
        <v>2.3361690091814977</v>
      </c>
      <c r="O10" s="171">
        <f>('Pivot Table for Data Exchange'!$J$72)*100</f>
        <v>0.44982811888081459</v>
      </c>
      <c r="P10" s="172">
        <f>('Pivot Table for Data Exchange'!$J$75)*100</f>
        <v>0</v>
      </c>
      <c r="Q10" s="168">
        <f>SUM(B10,C10,D10,H10)</f>
        <v>100</v>
      </c>
      <c r="R10" s="168">
        <f t="shared" ref="R10:R74" si="2">SUM(J10,K10,L10,P10)</f>
        <v>100</v>
      </c>
      <c r="S10" s="169"/>
      <c r="T10" s="150"/>
      <c r="U10" s="150"/>
      <c r="V10" s="150"/>
      <c r="W10" s="150"/>
      <c r="X10" s="150"/>
      <c r="Y10" s="150"/>
      <c r="Z10" s="150"/>
      <c r="AA10" s="150"/>
      <c r="AB10" s="150"/>
      <c r="AC10" s="150"/>
      <c r="AD10" s="150"/>
      <c r="AE10" s="150"/>
      <c r="AF10" s="150"/>
      <c r="AG10" s="169"/>
      <c r="AH10" s="169"/>
      <c r="AI10" s="169"/>
      <c r="AJ10" s="169"/>
      <c r="AK10" s="169"/>
      <c r="AL10" s="169"/>
      <c r="AM10" s="169"/>
      <c r="AN10" s="169"/>
      <c r="AO10" s="169"/>
    </row>
    <row r="11" spans="1:41" ht="15.75" customHeight="1">
      <c r="A11" s="134" t="s">
        <v>620</v>
      </c>
      <c r="B11" s="163">
        <f>('Pivot Table for Data Exchange'!$J$78)*100</f>
        <v>54.514159149440545</v>
      </c>
      <c r="C11" s="163">
        <f>('Pivot Table for Data Exchange'!$J$81)*100</f>
        <v>0</v>
      </c>
      <c r="D11" s="164">
        <f t="shared" si="0"/>
        <v>45.485840850559455</v>
      </c>
      <c r="E11" s="163">
        <f>('Pivot Table for Data Exchange'!$J$84)*100</f>
        <v>45.485840850559455</v>
      </c>
      <c r="F11" s="163">
        <f>('Pivot Table for Data Exchange'!$J$87)*100</f>
        <v>0</v>
      </c>
      <c r="G11" s="171">
        <f>('Pivot Table for Data Exchange'!$J$90)*100</f>
        <v>0</v>
      </c>
      <c r="H11" s="163">
        <f>('Pivot Table for Data Exchange'!$J$93)*100</f>
        <v>0</v>
      </c>
      <c r="I11" s="169" t="s">
        <v>620</v>
      </c>
      <c r="J11" s="163">
        <f>('Pivot Table for Data Exchange'!$J$96)*100</f>
        <v>50.194135442223867</v>
      </c>
      <c r="K11" s="163">
        <f>('Pivot Table for Data Exchange'!$J$99)*100</f>
        <v>0</v>
      </c>
      <c r="L11" s="164">
        <f t="shared" si="1"/>
        <v>49.805864557776133</v>
      </c>
      <c r="M11" s="163">
        <f>('Pivot Table for Data Exchange'!$J$102)*100</f>
        <v>49.805864557776133</v>
      </c>
      <c r="N11" s="163">
        <f>('Pivot Table for Data Exchange'!$J$105)*100</f>
        <v>0</v>
      </c>
      <c r="O11" s="171">
        <f>('Pivot Table for Data Exchange'!$J$108)*100</f>
        <v>0</v>
      </c>
      <c r="P11" s="163">
        <f>('Pivot Table for Data Exchange'!$J$111)*100</f>
        <v>0</v>
      </c>
      <c r="Q11" s="168">
        <f t="shared" ref="Q11:Q74" si="3">SUM(B11,C11,D11,H11)</f>
        <v>100</v>
      </c>
      <c r="R11" s="168">
        <f t="shared" si="2"/>
        <v>100</v>
      </c>
      <c r="S11" s="169"/>
      <c r="T11" s="150"/>
      <c r="U11" s="150"/>
      <c r="V11" s="150"/>
      <c r="W11" s="150"/>
      <c r="X11" s="150"/>
      <c r="Y11" s="150"/>
      <c r="Z11" s="150"/>
      <c r="AA11" s="150"/>
      <c r="AB11" s="150"/>
      <c r="AC11" s="150"/>
      <c r="AD11" s="150"/>
      <c r="AE11" s="150"/>
      <c r="AF11" s="150"/>
      <c r="AG11" s="169"/>
      <c r="AH11" s="169"/>
      <c r="AI11" s="169"/>
      <c r="AJ11" s="169"/>
      <c r="AK11" s="169"/>
      <c r="AL11" s="169"/>
      <c r="AM11" s="169"/>
      <c r="AN11" s="169"/>
      <c r="AO11" s="169"/>
    </row>
    <row r="12" spans="1:41" ht="15.75" customHeight="1">
      <c r="A12" s="134" t="s">
        <v>651</v>
      </c>
      <c r="B12" s="163">
        <f>('Pivot Table for Data Exchange'!$J$114)*100</f>
        <v>0</v>
      </c>
      <c r="C12" s="163">
        <f>('Pivot Table for Data Exchange'!$J$117)*100</f>
        <v>0</v>
      </c>
      <c r="D12" s="164">
        <f t="shared" si="0"/>
        <v>0</v>
      </c>
      <c r="E12" s="163">
        <f>('Pivot Table for Data Exchange'!$J$120)*100</f>
        <v>0</v>
      </c>
      <c r="F12" s="163">
        <f>('Pivot Table for Data Exchange'!$J$123)*100</f>
        <v>0</v>
      </c>
      <c r="G12" s="173">
        <f>('Pivot Table for Data Exchange'!$J$126)*100</f>
        <v>0</v>
      </c>
      <c r="H12" s="163">
        <f>('Pivot Table for Data Exchange'!$J$129)*100</f>
        <v>0</v>
      </c>
      <c r="I12" s="169" t="s">
        <v>651</v>
      </c>
      <c r="J12" s="163">
        <f>('Pivot Table for Data Exchange'!$J$132)*100</f>
        <v>0</v>
      </c>
      <c r="K12" s="163">
        <f>('Pivot Table for Data Exchange'!$J$135)*100</f>
        <v>0</v>
      </c>
      <c r="L12" s="164">
        <f t="shared" si="1"/>
        <v>0</v>
      </c>
      <c r="M12" s="163">
        <f>('Pivot Table for Data Exchange'!$J$138)*100</f>
        <v>0</v>
      </c>
      <c r="N12" s="163">
        <f>('Pivot Table for Data Exchange'!$J$141)*100</f>
        <v>0</v>
      </c>
      <c r="O12" s="170">
        <f>('Pivot Table for Data Exchange'!$J$144)*100</f>
        <v>0</v>
      </c>
      <c r="P12" s="163">
        <f>('Pivot Table for Data Exchange'!$J$147)*100</f>
        <v>0</v>
      </c>
      <c r="Q12" s="168">
        <f t="shared" si="3"/>
        <v>0</v>
      </c>
      <c r="R12" s="168">
        <f t="shared" si="2"/>
        <v>0</v>
      </c>
      <c r="S12" s="169"/>
      <c r="T12" s="150"/>
      <c r="U12" s="150"/>
      <c r="V12" s="150"/>
      <c r="W12" s="150"/>
      <c r="X12" s="150"/>
      <c r="Y12" s="150"/>
      <c r="Z12" s="150"/>
      <c r="AA12" s="150"/>
      <c r="AB12" s="150"/>
      <c r="AC12" s="150"/>
      <c r="AD12" s="150"/>
      <c r="AE12" s="150"/>
      <c r="AF12" s="150"/>
      <c r="AG12" s="169"/>
      <c r="AH12" s="169"/>
      <c r="AI12" s="169"/>
      <c r="AJ12" s="169"/>
      <c r="AK12" s="169"/>
      <c r="AL12" s="169"/>
      <c r="AM12" s="169"/>
      <c r="AN12" s="169"/>
      <c r="AO12" s="169"/>
    </row>
    <row r="13" spans="1:41" ht="9.75" customHeight="1">
      <c r="B13" s="163"/>
      <c r="C13" s="163"/>
      <c r="D13" s="164"/>
      <c r="E13" s="163"/>
      <c r="F13" s="163"/>
      <c r="G13" s="171"/>
      <c r="H13" s="163"/>
      <c r="I13" s="169"/>
      <c r="J13" s="163"/>
      <c r="K13" s="163"/>
      <c r="L13" s="164"/>
      <c r="M13" s="163"/>
      <c r="N13" s="163"/>
      <c r="O13" s="171"/>
      <c r="P13" s="163"/>
      <c r="Q13" s="168">
        <f t="shared" si="3"/>
        <v>0</v>
      </c>
      <c r="R13" s="168">
        <f t="shared" si="2"/>
        <v>0</v>
      </c>
      <c r="S13" s="169"/>
      <c r="T13" s="150"/>
      <c r="U13" s="150"/>
      <c r="V13" s="150"/>
      <c r="W13" s="150"/>
      <c r="X13" s="150"/>
      <c r="Y13" s="150"/>
      <c r="Z13" s="150"/>
      <c r="AA13" s="150"/>
      <c r="AB13" s="150"/>
      <c r="AC13" s="150"/>
      <c r="AD13" s="150"/>
      <c r="AE13" s="150"/>
      <c r="AF13" s="150"/>
      <c r="AG13" s="169"/>
      <c r="AH13" s="169"/>
      <c r="AI13" s="169"/>
      <c r="AJ13" s="169"/>
      <c r="AK13" s="169"/>
      <c r="AL13" s="169"/>
      <c r="AM13" s="169"/>
      <c r="AN13" s="169"/>
      <c r="AO13" s="169"/>
    </row>
    <row r="14" spans="1:41" ht="15.75" customHeight="1">
      <c r="A14" s="134" t="s">
        <v>622</v>
      </c>
      <c r="B14" s="163">
        <f>('Pivot Table for Data Exchange'!$J$150)*100</f>
        <v>54.539663540196948</v>
      </c>
      <c r="C14" s="163">
        <f>('Pivot Table for Data Exchange'!$J$153)*100</f>
        <v>0.97379434851058033</v>
      </c>
      <c r="D14" s="164">
        <f t="shared" si="0"/>
        <v>44.486542111292465</v>
      </c>
      <c r="E14" s="163">
        <f>('Pivot Table for Data Exchange'!$J$156)*100</f>
        <v>44.411606388102882</v>
      </c>
      <c r="F14" s="163">
        <f>('Pivot Table for Data Exchange'!$J$159)*100</f>
        <v>4.4249793617553525E-2</v>
      </c>
      <c r="G14" s="171">
        <f>('Pivot Table for Data Exchange'!$J$162)*100</f>
        <v>3.0685929572031322E-2</v>
      </c>
      <c r="H14" s="163">
        <f>('Pivot Table for Data Exchange'!$J$165)*100</f>
        <v>0</v>
      </c>
      <c r="I14" s="169" t="s">
        <v>622</v>
      </c>
      <c r="J14" s="163">
        <f>('Pivot Table for Data Exchange'!$J$168)*100</f>
        <v>43.911910047944787</v>
      </c>
      <c r="K14" s="163">
        <f>('Pivot Table for Data Exchange'!$J$171)*100</f>
        <v>7.0112095437710495</v>
      </c>
      <c r="L14" s="164">
        <f t="shared" si="1"/>
        <v>49.076880408284168</v>
      </c>
      <c r="M14" s="163">
        <f>('Pivot Table for Data Exchange'!$J$174)*100</f>
        <v>49.070657898443713</v>
      </c>
      <c r="N14" s="163">
        <f>('Pivot Table for Data Exchange'!$J$177)*100</f>
        <v>4.1027537409592408E-3</v>
      </c>
      <c r="O14" s="171">
        <f>('Pivot Table for Data Exchange'!$J$180)*100</f>
        <v>2.1197560994956075E-3</v>
      </c>
      <c r="P14" s="163">
        <f>('Pivot Table for Data Exchange'!$J$183)*100</f>
        <v>0</v>
      </c>
      <c r="Q14" s="168">
        <f t="shared" si="3"/>
        <v>100</v>
      </c>
      <c r="R14" s="168">
        <f t="shared" si="2"/>
        <v>100</v>
      </c>
      <c r="S14" s="169"/>
      <c r="T14" s="150"/>
      <c r="U14" s="150"/>
      <c r="V14" s="150"/>
      <c r="W14" s="150"/>
      <c r="X14" s="150"/>
      <c r="Y14" s="150"/>
      <c r="Z14" s="150"/>
      <c r="AA14" s="150"/>
      <c r="AB14" s="150"/>
      <c r="AC14" s="150"/>
      <c r="AD14" s="150"/>
      <c r="AE14" s="150"/>
      <c r="AF14" s="150"/>
      <c r="AG14" s="169"/>
      <c r="AH14" s="169"/>
      <c r="AI14" s="169"/>
      <c r="AJ14" s="169"/>
      <c r="AK14" s="169"/>
      <c r="AL14" s="169"/>
      <c r="AM14" s="169"/>
      <c r="AN14" s="169"/>
      <c r="AO14" s="169"/>
    </row>
    <row r="15" spans="1:41" ht="15.75" customHeight="1">
      <c r="A15" s="134" t="s">
        <v>623</v>
      </c>
      <c r="B15" s="163">
        <f>('Pivot Table for Data Exchange'!$J$186)*100</f>
        <v>57.984760477373683</v>
      </c>
      <c r="C15" s="163">
        <f>('Pivot Table for Data Exchange'!$J$189)*100</f>
        <v>4.6072665519449529</v>
      </c>
      <c r="D15" s="164">
        <f t="shared" si="0"/>
        <v>37.407972970681357</v>
      </c>
      <c r="E15" s="163">
        <f>('Pivot Table for Data Exchange'!$J$192)*100</f>
        <v>36.738861670969399</v>
      </c>
      <c r="F15" s="163">
        <f>('Pivot Table for Data Exchange'!$J$195)*100</f>
        <v>0.64141335428579271</v>
      </c>
      <c r="G15" s="170">
        <f>('Pivot Table for Data Exchange'!$J$198)*100</f>
        <v>2.7697945426164789E-2</v>
      </c>
      <c r="H15" s="163">
        <f>('Pivot Table for Data Exchange'!$J$201)*100</f>
        <v>0</v>
      </c>
      <c r="I15" s="169" t="s">
        <v>623</v>
      </c>
      <c r="J15" s="163">
        <f>('Pivot Table for Data Exchange'!$J$204)*100</f>
        <v>34.908743371562458</v>
      </c>
      <c r="K15" s="163">
        <f>('Pivot Table for Data Exchange'!$J$207)*100</f>
        <v>2.7032253724817541</v>
      </c>
      <c r="L15" s="164">
        <f t="shared" si="1"/>
        <v>62.388031255955788</v>
      </c>
      <c r="M15" s="163">
        <f>('Pivot Table for Data Exchange'!$J$210)*100</f>
        <v>62.209217592125476</v>
      </c>
      <c r="N15" s="163">
        <f>('Pivot Table for Data Exchange'!$J$213)*100</f>
        <v>4.204083005414859E-2</v>
      </c>
      <c r="O15" s="170">
        <f>('Pivot Table for Data Exchange'!$J$216)*100</f>
        <v>0.13677283377616342</v>
      </c>
      <c r="P15" s="163">
        <f>('Pivot Table for Data Exchange'!$J$219)*100</f>
        <v>0</v>
      </c>
      <c r="Q15" s="168">
        <f t="shared" si="3"/>
        <v>100</v>
      </c>
      <c r="R15" s="168">
        <f t="shared" si="2"/>
        <v>100</v>
      </c>
      <c r="S15" s="169"/>
      <c r="T15" s="150"/>
      <c r="U15" s="150"/>
      <c r="V15" s="150"/>
      <c r="W15" s="150"/>
      <c r="X15" s="150"/>
      <c r="Y15" s="150"/>
      <c r="Z15" s="150"/>
      <c r="AA15" s="150"/>
      <c r="AB15" s="150"/>
      <c r="AC15" s="150"/>
      <c r="AD15" s="150"/>
      <c r="AE15" s="150"/>
      <c r="AF15" s="150"/>
      <c r="AG15" s="169"/>
      <c r="AH15" s="169"/>
      <c r="AI15" s="169"/>
      <c r="AJ15" s="169"/>
      <c r="AK15" s="169"/>
      <c r="AL15" s="169"/>
      <c r="AM15" s="169"/>
      <c r="AN15" s="169"/>
      <c r="AO15" s="169"/>
    </row>
    <row r="16" spans="1:41" ht="15.75" customHeight="1">
      <c r="A16" s="134" t="s">
        <v>624</v>
      </c>
      <c r="B16" s="163">
        <f>('Pivot Table for Data Exchange'!$J$222)*100</f>
        <v>62.125286030135641</v>
      </c>
      <c r="C16" s="163">
        <f>('Pivot Table for Data Exchange'!$J$225)*100</f>
        <v>0</v>
      </c>
      <c r="D16" s="164">
        <f t="shared" si="0"/>
        <v>37.874713969864366</v>
      </c>
      <c r="E16" s="163">
        <f>('Pivot Table for Data Exchange'!$J$228)*100</f>
        <v>37.874713969864366</v>
      </c>
      <c r="F16" s="163">
        <f>('Pivot Table for Data Exchange'!$J$231)*100</f>
        <v>0</v>
      </c>
      <c r="G16" s="171">
        <f>('Pivot Table for Data Exchange'!$J$234)*100</f>
        <v>0</v>
      </c>
      <c r="H16" s="163">
        <f>('Pivot Table for Data Exchange'!$J$237)*100</f>
        <v>0</v>
      </c>
      <c r="I16" s="169" t="s">
        <v>624</v>
      </c>
      <c r="J16" s="163">
        <f>('Pivot Table for Data Exchange'!$J$240)*100</f>
        <v>53.120721797986548</v>
      </c>
      <c r="K16" s="163">
        <f>('Pivot Table for Data Exchange'!$J$243)*100</f>
        <v>0</v>
      </c>
      <c r="L16" s="164">
        <f t="shared" si="1"/>
        <v>46.879278202013467</v>
      </c>
      <c r="M16" s="163">
        <f>('Pivot Table for Data Exchange'!$J$246)*100</f>
        <v>46.879278202013467</v>
      </c>
      <c r="N16" s="163">
        <f>('Pivot Table for Data Exchange'!$J$249)*100</f>
        <v>0</v>
      </c>
      <c r="O16" s="171">
        <f>('Pivot Table for Data Exchange'!$J$252)*100</f>
        <v>0</v>
      </c>
      <c r="P16" s="163">
        <f>('Pivot Table for Data Exchange'!$J$255)*100</f>
        <v>0</v>
      </c>
      <c r="Q16" s="168">
        <f t="shared" si="3"/>
        <v>100</v>
      </c>
      <c r="R16" s="168">
        <f t="shared" si="2"/>
        <v>100.00000000000001</v>
      </c>
      <c r="S16" s="169"/>
      <c r="T16" s="150"/>
      <c r="U16" s="150"/>
      <c r="V16" s="150"/>
      <c r="W16" s="150"/>
      <c r="X16" s="150"/>
      <c r="Y16" s="150"/>
      <c r="Z16" s="150"/>
      <c r="AA16" s="150"/>
      <c r="AB16" s="150"/>
      <c r="AC16" s="150"/>
      <c r="AD16" s="150"/>
      <c r="AE16" s="150"/>
      <c r="AF16" s="150"/>
      <c r="AG16" s="169"/>
      <c r="AH16" s="169"/>
      <c r="AI16" s="169"/>
      <c r="AJ16" s="169"/>
      <c r="AK16" s="169"/>
      <c r="AL16" s="169"/>
      <c r="AM16" s="169"/>
      <c r="AN16" s="169"/>
      <c r="AO16" s="169"/>
    </row>
    <row r="17" spans="1:41" ht="15.75" customHeight="1">
      <c r="A17" s="134" t="s">
        <v>625</v>
      </c>
      <c r="B17" s="163">
        <f>('Pivot Table for Data Exchange'!$J$258)*100</f>
        <v>39.28585336409747</v>
      </c>
      <c r="C17" s="163">
        <f>('Pivot Table for Data Exchange'!$J$261)*100</f>
        <v>1.7141758423629976</v>
      </c>
      <c r="D17" s="164">
        <f t="shared" si="0"/>
        <v>58.999970793539525</v>
      </c>
      <c r="E17" s="163">
        <f>('Pivot Table for Data Exchange'!$J$264)*100</f>
        <v>58.173571131189114</v>
      </c>
      <c r="F17" s="163">
        <f>('Pivot Table for Data Exchange'!$J$267)*100</f>
        <v>0.82639966235040996</v>
      </c>
      <c r="G17" s="171">
        <f>('Pivot Table for Data Exchange'!$J$270)*100</f>
        <v>0</v>
      </c>
      <c r="H17" s="163">
        <f>('Pivot Table for Data Exchange'!$J$273)*100</f>
        <v>0</v>
      </c>
      <c r="I17" s="169" t="s">
        <v>625</v>
      </c>
      <c r="J17" s="163">
        <f>('Pivot Table for Data Exchange'!$J$276)*100</f>
        <v>34.536650945195206</v>
      </c>
      <c r="K17" s="163">
        <f>('Pivot Table for Data Exchange'!$J$279)*100</f>
        <v>6.4712818296233205</v>
      </c>
      <c r="L17" s="164">
        <f t="shared" si="1"/>
        <v>58.992067225181472</v>
      </c>
      <c r="M17" s="163">
        <f>('Pivot Table for Data Exchange'!$J$282)*100</f>
        <v>56.5739375293983</v>
      </c>
      <c r="N17" s="163">
        <f>('Pivot Table for Data Exchange'!$J$285)*100</f>
        <v>2.4181296957831706</v>
      </c>
      <c r="O17" s="171">
        <f>('Pivot Table for Data Exchange'!$J$288)*100</f>
        <v>0</v>
      </c>
      <c r="P17" s="163">
        <f>('Pivot Table for Data Exchange'!$J$291)*100</f>
        <v>0</v>
      </c>
      <c r="Q17" s="168">
        <f t="shared" si="3"/>
        <v>100</v>
      </c>
      <c r="R17" s="168">
        <f>SUM(J17,K17,L17,P17)</f>
        <v>100</v>
      </c>
      <c r="S17" s="169"/>
      <c r="T17" s="150"/>
      <c r="U17" s="150"/>
      <c r="V17" s="150"/>
      <c r="W17" s="150"/>
      <c r="X17" s="150"/>
      <c r="Y17" s="150"/>
      <c r="Z17" s="150"/>
      <c r="AA17" s="150"/>
      <c r="AB17" s="150"/>
      <c r="AC17" s="150"/>
      <c r="AD17" s="150"/>
      <c r="AE17" s="150"/>
      <c r="AF17" s="150"/>
      <c r="AG17" s="169"/>
      <c r="AH17" s="169"/>
      <c r="AI17" s="169"/>
      <c r="AJ17" s="169"/>
      <c r="AK17" s="169"/>
      <c r="AL17" s="169"/>
      <c r="AM17" s="169"/>
      <c r="AN17" s="169"/>
      <c r="AO17" s="169"/>
    </row>
    <row r="18" spans="1:41" ht="11.25" customHeight="1">
      <c r="B18" s="163"/>
      <c r="C18" s="163"/>
      <c r="D18" s="164"/>
      <c r="E18" s="163"/>
      <c r="F18" s="163"/>
      <c r="G18" s="171"/>
      <c r="H18" s="163"/>
      <c r="I18" s="169"/>
      <c r="J18" s="163"/>
      <c r="K18" s="163"/>
      <c r="L18" s="164"/>
      <c r="M18" s="163"/>
      <c r="N18" s="163"/>
      <c r="O18" s="171"/>
      <c r="P18" s="163"/>
      <c r="Q18" s="168">
        <f t="shared" si="3"/>
        <v>0</v>
      </c>
      <c r="R18" s="168">
        <f t="shared" si="2"/>
        <v>0</v>
      </c>
      <c r="S18" s="169"/>
      <c r="T18" s="150"/>
      <c r="U18" s="150"/>
      <c r="V18" s="150"/>
      <c r="W18" s="150"/>
      <c r="X18" s="150"/>
      <c r="Y18" s="150"/>
      <c r="Z18" s="150"/>
      <c r="AA18" s="150"/>
      <c r="AB18" s="150"/>
      <c r="AC18" s="150"/>
      <c r="AD18" s="150"/>
      <c r="AE18" s="150"/>
      <c r="AF18" s="150"/>
      <c r="AG18" s="169"/>
      <c r="AH18" s="169"/>
      <c r="AI18" s="169"/>
      <c r="AJ18" s="169"/>
      <c r="AK18" s="169"/>
      <c r="AL18" s="169"/>
      <c r="AM18" s="169"/>
      <c r="AN18" s="169"/>
      <c r="AO18" s="169"/>
    </row>
    <row r="19" spans="1:41" ht="15.75" customHeight="1">
      <c r="A19" s="134" t="s">
        <v>626</v>
      </c>
      <c r="B19" s="163">
        <f>('Pivot Table for Data Exchange'!$J$294)*100</f>
        <v>50.353288633056756</v>
      </c>
      <c r="C19" s="163">
        <f>('Pivot Table for Data Exchange'!$J$297)*100</f>
        <v>3.0607561904649354</v>
      </c>
      <c r="D19" s="164">
        <f t="shared" si="0"/>
        <v>46.318023643367994</v>
      </c>
      <c r="E19" s="163">
        <f>('Pivot Table for Data Exchange'!$J$300)*100</f>
        <v>45.819077839428481</v>
      </c>
      <c r="F19" s="163">
        <f>('Pivot Table for Data Exchange'!$J$303)*100</f>
        <v>0.49860814605279336</v>
      </c>
      <c r="G19" s="174">
        <f>('Pivot Table for Data Exchange'!$J$306)*100</f>
        <v>3.376578867174673E-4</v>
      </c>
      <c r="H19" s="163">
        <f>('Pivot Table for Data Exchange'!$J$309)*100</f>
        <v>0.26793153311031032</v>
      </c>
      <c r="I19" s="169" t="s">
        <v>626</v>
      </c>
      <c r="J19" s="163">
        <f>('Pivot Table for Data Exchange'!$J$312)*100</f>
        <v>43.774543058166806</v>
      </c>
      <c r="K19" s="163">
        <f>('Pivot Table for Data Exchange'!$J$315)*100</f>
        <v>2.6968774833795282</v>
      </c>
      <c r="L19" s="164">
        <f t="shared" si="1"/>
        <v>53.458802550733623</v>
      </c>
      <c r="M19" s="163">
        <f>('Pivot Table for Data Exchange'!$J$318)*100</f>
        <v>53.019983331072041</v>
      </c>
      <c r="N19" s="163">
        <f>('Pivot Table for Data Exchange'!$J$321)*100</f>
        <v>0.43300447735157871</v>
      </c>
      <c r="O19" s="170">
        <f>('Pivot Table for Data Exchange'!$J$324)*100</f>
        <v>5.8147423100032951E-3</v>
      </c>
      <c r="P19" s="163">
        <f>('Pivot Table for Data Exchange'!$J$327)*100</f>
        <v>6.9776907720039541E-2</v>
      </c>
      <c r="Q19" s="168">
        <f t="shared" si="3"/>
        <v>100</v>
      </c>
      <c r="R19" s="168">
        <f t="shared" si="2"/>
        <v>100</v>
      </c>
      <c r="S19" s="169"/>
      <c r="T19" s="150"/>
      <c r="U19" s="150"/>
      <c r="V19" s="150"/>
      <c r="W19" s="150"/>
      <c r="X19" s="150"/>
      <c r="Y19" s="150"/>
      <c r="Z19" s="150"/>
      <c r="AA19" s="150"/>
      <c r="AB19" s="150"/>
      <c r="AC19" s="150"/>
      <c r="AD19" s="150"/>
      <c r="AE19" s="150"/>
      <c r="AF19" s="150"/>
      <c r="AG19" s="169"/>
      <c r="AH19" s="169"/>
      <c r="AI19" s="169"/>
      <c r="AJ19" s="169"/>
      <c r="AK19" s="169"/>
      <c r="AL19" s="169"/>
      <c r="AM19" s="169"/>
      <c r="AN19" s="169"/>
      <c r="AO19" s="169"/>
    </row>
    <row r="20" spans="1:41" ht="15.75" customHeight="1">
      <c r="A20" s="134" t="s">
        <v>627</v>
      </c>
      <c r="B20" s="163">
        <f>('Pivot Table for Data Exchange'!$J$330)*100</f>
        <v>47.397805377145097</v>
      </c>
      <c r="C20" s="163">
        <f>('Pivot Table for Data Exchange'!$J$333)*100</f>
        <v>1.1403720156059787</v>
      </c>
      <c r="D20" s="164">
        <f t="shared" si="0"/>
        <v>51.461822607248919</v>
      </c>
      <c r="E20" s="163">
        <f>('Pivot Table for Data Exchange'!$J$336)*100</f>
        <v>51.299630170434099</v>
      </c>
      <c r="F20" s="175">
        <f>('Pivot Table for Data Exchange'!$J$339)*100</f>
        <v>5.3605664044518921E-2</v>
      </c>
      <c r="G20" s="170">
        <f>('Pivot Table for Data Exchange'!$J$342)*100</f>
        <v>0.10858677277030332</v>
      </c>
      <c r="H20" s="163">
        <f>('Pivot Table for Data Exchange'!$J$345)*100</f>
        <v>0</v>
      </c>
      <c r="I20" s="169" t="s">
        <v>627</v>
      </c>
      <c r="J20" s="163">
        <f>('Pivot Table for Data Exchange'!$J$348)*100</f>
        <v>42.071126283055484</v>
      </c>
      <c r="K20" s="163">
        <f>('Pivot Table for Data Exchange'!$J$351)*100</f>
        <v>2.9466435969978257</v>
      </c>
      <c r="L20" s="164">
        <f t="shared" si="1"/>
        <v>54.982230119946692</v>
      </c>
      <c r="M20" s="163">
        <f>('Pivot Table for Data Exchange'!$J$354)*100</f>
        <v>54.84486427085038</v>
      </c>
      <c r="N20" s="175">
        <f>('Pivot Table for Data Exchange'!$J$357)*100</f>
        <v>1.4847202412962659E-2</v>
      </c>
      <c r="O20" s="171">
        <f>('Pivot Table for Data Exchange'!$J$360)*100</f>
        <v>0.12251864668334542</v>
      </c>
      <c r="P20" s="163">
        <f>('Pivot Table for Data Exchange'!$J$363)*100</f>
        <v>0</v>
      </c>
      <c r="Q20" s="168">
        <f t="shared" si="3"/>
        <v>100</v>
      </c>
      <c r="R20" s="168">
        <f t="shared" si="2"/>
        <v>100</v>
      </c>
      <c r="S20" s="169"/>
      <c r="T20" s="150"/>
      <c r="U20" s="150"/>
      <c r="V20" s="150"/>
      <c r="W20" s="150"/>
      <c r="X20" s="150"/>
      <c r="Y20" s="150"/>
      <c r="Z20" s="150"/>
      <c r="AA20" s="150"/>
      <c r="AB20" s="150"/>
      <c r="AC20" s="150"/>
      <c r="AD20" s="150"/>
      <c r="AE20" s="150"/>
      <c r="AF20" s="150"/>
      <c r="AG20" s="169"/>
      <c r="AH20" s="169"/>
      <c r="AI20" s="169"/>
      <c r="AJ20" s="169"/>
      <c r="AK20" s="169"/>
      <c r="AL20" s="169"/>
      <c r="AM20" s="169"/>
      <c r="AN20" s="169"/>
      <c r="AO20" s="169"/>
    </row>
    <row r="21" spans="1:41" ht="15.75" customHeight="1">
      <c r="A21" s="134" t="s">
        <v>628</v>
      </c>
      <c r="B21" s="163">
        <f>('Pivot Table for Data Exchange'!$J$366)*100</f>
        <v>0</v>
      </c>
      <c r="C21" s="163">
        <f>('Pivot Table for Data Exchange'!$J$369)*100</f>
        <v>0</v>
      </c>
      <c r="D21" s="164">
        <f t="shared" si="0"/>
        <v>0</v>
      </c>
      <c r="E21" s="163">
        <f>('Pivot Table for Data Exchange'!$J$372)*100</f>
        <v>0</v>
      </c>
      <c r="F21" s="163">
        <f>('Pivot Table for Data Exchange'!$J$375)*100</f>
        <v>0</v>
      </c>
      <c r="G21" s="171">
        <f>('Pivot Table for Data Exchange'!$J$378)*100</f>
        <v>0</v>
      </c>
      <c r="H21" s="163">
        <f>('Pivot Table for Data Exchange'!$J$381)*100</f>
        <v>0</v>
      </c>
      <c r="I21" s="169" t="s">
        <v>628</v>
      </c>
      <c r="J21" s="163">
        <f>('Pivot Table for Data Exchange'!$J$384)*100</f>
        <v>0</v>
      </c>
      <c r="K21" s="163">
        <f>('Pivot Table for Data Exchange'!$J$387)*100</f>
        <v>0</v>
      </c>
      <c r="L21" s="164">
        <f t="shared" si="1"/>
        <v>0</v>
      </c>
      <c r="M21" s="163">
        <f>('Pivot Table for Data Exchange'!$J$390)*100</f>
        <v>0</v>
      </c>
      <c r="N21" s="163">
        <f>('Pivot Table for Data Exchange'!$J$393)*100</f>
        <v>0</v>
      </c>
      <c r="O21" s="171">
        <f>('Pivot Table for Data Exchange'!$J$396)*100</f>
        <v>0</v>
      </c>
      <c r="P21" s="163">
        <f>('Pivot Table for Data Exchange'!$J$399)*100</f>
        <v>0</v>
      </c>
      <c r="Q21" s="168">
        <f t="shared" si="3"/>
        <v>0</v>
      </c>
      <c r="R21" s="168">
        <f t="shared" si="2"/>
        <v>0</v>
      </c>
      <c r="S21" s="169"/>
      <c r="T21" s="150"/>
      <c r="U21" s="150"/>
      <c r="V21" s="150"/>
      <c r="W21" s="150"/>
      <c r="X21" s="150"/>
      <c r="Y21" s="150"/>
      <c r="Z21" s="150"/>
      <c r="AA21" s="150"/>
      <c r="AB21" s="150"/>
      <c r="AC21" s="150"/>
      <c r="AD21" s="150"/>
      <c r="AE21" s="150"/>
      <c r="AF21" s="150"/>
      <c r="AG21" s="169"/>
      <c r="AH21" s="169"/>
      <c r="AI21" s="169"/>
      <c r="AJ21" s="169"/>
      <c r="AK21" s="169"/>
      <c r="AL21" s="169"/>
      <c r="AM21" s="169"/>
      <c r="AN21" s="169"/>
      <c r="AO21" s="169"/>
    </row>
    <row r="22" spans="1:41" ht="15.75" customHeight="1">
      <c r="A22" s="134" t="s">
        <v>629</v>
      </c>
      <c r="B22" s="163">
        <f>('Pivot Table for Data Exchange'!$J$402)*100</f>
        <v>60.515599361863678</v>
      </c>
      <c r="C22" s="163">
        <f>('Pivot Table for Data Exchange'!$J$405)*100</f>
        <v>1.4824796885530742</v>
      </c>
      <c r="D22" s="164">
        <f>SUM(E22:G22)</f>
        <v>38.001920949583251</v>
      </c>
      <c r="E22" s="163">
        <f>('Pivot Table for Data Exchange'!$J$408)*100</f>
        <v>38.000996732537274</v>
      </c>
      <c r="F22" s="163">
        <f>('Pivot Table for Data Exchange'!$J$411)*100</f>
        <v>9.2421704597482157E-4</v>
      </c>
      <c r="G22" s="170">
        <f>('Pivot Table for Data Exchange'!$J$414)*100</f>
        <v>0</v>
      </c>
      <c r="H22" s="163">
        <f>('Pivot Table for Data Exchange'!$J$417)*100</f>
        <v>0</v>
      </c>
      <c r="I22" s="169" t="s">
        <v>629</v>
      </c>
      <c r="J22" s="163">
        <f>('Pivot Table for Data Exchange'!$J$420)*100</f>
        <v>43.953381511341327</v>
      </c>
      <c r="K22" s="163">
        <f>('Pivot Table for Data Exchange'!$J$423)*100</f>
        <v>6.427726025871312</v>
      </c>
      <c r="L22" s="164">
        <f>SUM(M22:O22)</f>
        <v>49.618892462787365</v>
      </c>
      <c r="M22" s="163">
        <f>('Pivot Table for Data Exchange'!$J$426)*100</f>
        <v>47.787849673475641</v>
      </c>
      <c r="N22" s="163">
        <f>('Pivot Table for Data Exchange'!$J$429)*100</f>
        <v>1.8310427893117229</v>
      </c>
      <c r="O22" s="171">
        <f>('Pivot Table for Data Exchange'!$J$432)*100</f>
        <v>0</v>
      </c>
      <c r="P22" s="163">
        <f>('Pivot Table for Data Exchange'!$J$435)*100</f>
        <v>0</v>
      </c>
      <c r="Q22" s="168">
        <f t="shared" si="3"/>
        <v>100</v>
      </c>
      <c r="R22" s="168">
        <f t="shared" si="2"/>
        <v>100</v>
      </c>
      <c r="S22" s="169"/>
      <c r="T22" s="150"/>
      <c r="U22" s="150"/>
      <c r="V22" s="150"/>
      <c r="W22" s="150"/>
      <c r="X22" s="150"/>
      <c r="Y22" s="150"/>
      <c r="Z22" s="150"/>
      <c r="AA22" s="150"/>
      <c r="AB22" s="150"/>
      <c r="AC22" s="150"/>
      <c r="AD22" s="150"/>
      <c r="AE22" s="150"/>
      <c r="AF22" s="150"/>
      <c r="AG22" s="169"/>
      <c r="AH22" s="169"/>
      <c r="AI22" s="169"/>
      <c r="AJ22" s="169"/>
      <c r="AK22" s="169"/>
      <c r="AL22" s="169"/>
      <c r="AM22" s="169"/>
      <c r="AN22" s="169"/>
      <c r="AO22" s="169"/>
    </row>
    <row r="23" spans="1:41" ht="9.75" customHeight="1">
      <c r="B23" s="163"/>
      <c r="C23" s="163"/>
      <c r="D23" s="164"/>
      <c r="E23" s="163"/>
      <c r="F23" s="163"/>
      <c r="G23" s="171"/>
      <c r="H23" s="163"/>
      <c r="I23" s="169"/>
      <c r="J23" s="163"/>
      <c r="K23" s="163"/>
      <c r="L23" s="164"/>
      <c r="M23" s="163"/>
      <c r="N23" s="163"/>
      <c r="O23" s="171"/>
      <c r="P23" s="163"/>
      <c r="Q23" s="168">
        <f t="shared" si="3"/>
        <v>0</v>
      </c>
      <c r="R23" s="168">
        <f t="shared" si="2"/>
        <v>0</v>
      </c>
      <c r="S23" s="169"/>
      <c r="T23" s="150"/>
      <c r="U23" s="150"/>
      <c r="V23" s="150"/>
      <c r="W23" s="150"/>
      <c r="X23" s="150"/>
      <c r="Y23" s="150"/>
      <c r="Z23" s="150"/>
      <c r="AA23" s="150"/>
      <c r="AB23" s="150"/>
      <c r="AC23" s="150"/>
      <c r="AD23" s="150"/>
      <c r="AE23" s="150"/>
      <c r="AF23" s="150"/>
      <c r="AG23" s="169"/>
      <c r="AH23" s="169"/>
      <c r="AI23" s="169"/>
      <c r="AJ23" s="169"/>
      <c r="AK23" s="169"/>
      <c r="AL23" s="169"/>
      <c r="AM23" s="169"/>
      <c r="AN23" s="169"/>
      <c r="AO23" s="169"/>
    </row>
    <row r="24" spans="1:41" ht="15.75" customHeight="1">
      <c r="A24" s="134" t="s">
        <v>630</v>
      </c>
      <c r="B24" s="163">
        <f>('Pivot Table for Data Exchange'!$J$438)*100</f>
        <v>57.682273550668206</v>
      </c>
      <c r="C24" s="163">
        <f>('Pivot Table for Data Exchange'!$J$441)*100</f>
        <v>2.4694690807602773</v>
      </c>
      <c r="D24" s="164">
        <f>SUM(E24:G24)</f>
        <v>39.314991593311476</v>
      </c>
      <c r="E24" s="163">
        <f>('Pivot Table for Data Exchange'!$J$444)*100</f>
        <v>32.590540623790822</v>
      </c>
      <c r="F24" s="163">
        <f>('Pivot Table for Data Exchange'!$J$447)*100</f>
        <v>0.32581542109929995</v>
      </c>
      <c r="G24" s="171">
        <f>('Pivot Table for Data Exchange'!$J$450)*100</f>
        <v>6.3986355484213497</v>
      </c>
      <c r="H24" s="163">
        <f>('Pivot Table for Data Exchange'!$J$453)*100</f>
        <v>0.53326577526003971</v>
      </c>
      <c r="I24" s="169" t="s">
        <v>630</v>
      </c>
      <c r="J24" s="163">
        <f>('Pivot Table for Data Exchange'!$J$456)*100</f>
        <v>40.363147431624931</v>
      </c>
      <c r="K24" s="163">
        <f>('Pivot Table for Data Exchange'!$J$459)*100</f>
        <v>1.3835149647557137</v>
      </c>
      <c r="L24" s="164">
        <f>SUM(M24:O24)</f>
        <v>55.374933998112994</v>
      </c>
      <c r="M24" s="163">
        <f>('Pivot Table for Data Exchange'!$J$462)*100</f>
        <v>51.38337069833603</v>
      </c>
      <c r="N24" s="163">
        <f>('Pivot Table for Data Exchange'!$J$465)*100</f>
        <v>0.11512460290667983</v>
      </c>
      <c r="O24" s="171">
        <f>('Pivot Table for Data Exchange'!$J$468)*100</f>
        <v>3.8764386968702844</v>
      </c>
      <c r="P24" s="163">
        <f>('Pivot Table for Data Exchange'!$J$471)*100</f>
        <v>2.8784036055063607</v>
      </c>
      <c r="Q24" s="168">
        <f t="shared" si="3"/>
        <v>99.999999999999986</v>
      </c>
      <c r="R24" s="168">
        <f t="shared" si="2"/>
        <v>100</v>
      </c>
      <c r="S24" s="169"/>
      <c r="T24" s="150"/>
      <c r="U24" s="150"/>
      <c r="V24" s="150"/>
      <c r="W24" s="150"/>
      <c r="X24" s="150"/>
      <c r="Y24" s="150"/>
      <c r="Z24" s="150"/>
      <c r="AA24" s="150"/>
      <c r="AB24" s="150"/>
      <c r="AC24" s="150"/>
      <c r="AD24" s="150"/>
      <c r="AE24" s="150"/>
      <c r="AF24" s="150"/>
      <c r="AG24" s="169"/>
      <c r="AH24" s="169"/>
      <c r="AI24" s="169"/>
      <c r="AJ24" s="169"/>
      <c r="AK24" s="169"/>
      <c r="AL24" s="169"/>
      <c r="AM24" s="169"/>
      <c r="AN24" s="169"/>
      <c r="AO24" s="169"/>
    </row>
    <row r="25" spans="1:41" ht="15.75" customHeight="1">
      <c r="A25" s="134" t="s">
        <v>631</v>
      </c>
      <c r="B25" s="163">
        <f>('Pivot Table for Data Exchange'!$J$474)*100</f>
        <v>43.388169267296213</v>
      </c>
      <c r="C25" s="163">
        <f>('Pivot Table for Data Exchange'!$J$477)*100</f>
        <v>0.99601992473542722</v>
      </c>
      <c r="D25" s="164">
        <f>SUM(E25:G25)</f>
        <v>55.615810807968359</v>
      </c>
      <c r="E25" s="163">
        <f>('Pivot Table for Data Exchange'!$J$480)*100</f>
        <v>53.159524015872307</v>
      </c>
      <c r="F25" s="163">
        <f>('Pivot Table for Data Exchange'!$J$483)*100</f>
        <v>1.6815949907851027</v>
      </c>
      <c r="G25" s="171">
        <f>('Pivot Table for Data Exchange'!$J$486)*100</f>
        <v>0.7746918013109535</v>
      </c>
      <c r="H25" s="163">
        <f>('Pivot Table for Data Exchange'!$J$489)*100</f>
        <v>0</v>
      </c>
      <c r="I25" s="169" t="s">
        <v>631</v>
      </c>
      <c r="J25" s="163">
        <f>('Pivot Table for Data Exchange'!$J$492)*100</f>
        <v>37.823032367224435</v>
      </c>
      <c r="K25" s="163">
        <f>('Pivot Table for Data Exchange'!$J$495)*100</f>
        <v>1.6129549991088181</v>
      </c>
      <c r="L25" s="164">
        <f>SUM(M25:O25)</f>
        <v>60.564012633666749</v>
      </c>
      <c r="M25" s="163">
        <f>('Pivot Table for Data Exchange'!$J$498)*100</f>
        <v>58.44722301766906</v>
      </c>
      <c r="N25" s="163">
        <f>('Pivot Table for Data Exchange'!$J$501)*100</f>
        <v>1.213570294833425</v>
      </c>
      <c r="O25" s="171">
        <f>('Pivot Table for Data Exchange'!$J$504)*100</f>
        <v>0.90321932116426384</v>
      </c>
      <c r="P25" s="163">
        <f>('Pivot Table for Data Exchange'!$J$507)*100</f>
        <v>0</v>
      </c>
      <c r="Q25" s="168">
        <f t="shared" si="3"/>
        <v>100</v>
      </c>
      <c r="R25" s="168">
        <f t="shared" si="2"/>
        <v>100</v>
      </c>
      <c r="S25" s="169"/>
      <c r="T25" s="150"/>
      <c r="U25" s="150"/>
      <c r="V25" s="150"/>
      <c r="W25" s="150"/>
      <c r="X25" s="150"/>
      <c r="Y25" s="150"/>
      <c r="Z25" s="150"/>
      <c r="AA25" s="150"/>
      <c r="AB25" s="150"/>
      <c r="AC25" s="150"/>
      <c r="AD25" s="150"/>
      <c r="AE25" s="150"/>
      <c r="AF25" s="150"/>
      <c r="AG25" s="169"/>
      <c r="AH25" s="169"/>
      <c r="AI25" s="169"/>
      <c r="AJ25" s="169"/>
      <c r="AK25" s="169"/>
      <c r="AL25" s="169"/>
      <c r="AM25" s="169"/>
      <c r="AN25" s="169"/>
      <c r="AO25" s="169"/>
    </row>
    <row r="26" spans="1:41" ht="15.75" customHeight="1">
      <c r="A26" s="134" t="s">
        <v>632</v>
      </c>
      <c r="B26" s="163">
        <f>('Pivot Table for Data Exchange'!$J$510)*100</f>
        <v>56.584105082528694</v>
      </c>
      <c r="C26" s="163">
        <f>('Pivot Table for Data Exchange'!$J$513)*100</f>
        <v>1.2806455779537267</v>
      </c>
      <c r="D26" s="164">
        <f t="shared" si="0"/>
        <v>42.135249339517593</v>
      </c>
      <c r="E26" s="163">
        <f>('Pivot Table for Data Exchange'!$J$516)*100</f>
        <v>29.824317604803923</v>
      </c>
      <c r="F26" s="163">
        <f>('Pivot Table for Data Exchange'!$J$519)*100</f>
        <v>12.310831122737294</v>
      </c>
      <c r="G26" s="171">
        <f>('Pivot Table for Data Exchange'!$J$522)*100</f>
        <v>1.0061197637075416E-4</v>
      </c>
      <c r="H26" s="163">
        <f>('Pivot Table for Data Exchange'!$J$525)*100</f>
        <v>0</v>
      </c>
      <c r="I26" s="169" t="s">
        <v>632</v>
      </c>
      <c r="J26" s="163">
        <f>('Pivot Table for Data Exchange'!$J$528)*100</f>
        <v>53.649764098931385</v>
      </c>
      <c r="K26" s="163">
        <f>('Pivot Table for Data Exchange'!$J$531)*100</f>
        <v>5.0399406587632116</v>
      </c>
      <c r="L26" s="164">
        <f t="shared" si="1"/>
        <v>41.310295242305401</v>
      </c>
      <c r="M26" s="163">
        <f>('Pivot Table for Data Exchange'!$J$534)*100</f>
        <v>28.911992090812728</v>
      </c>
      <c r="N26" s="163">
        <f>('Pivot Table for Data Exchange'!$J$537)*100</f>
        <v>12.188491726071364</v>
      </c>
      <c r="O26" s="171">
        <f>('Pivot Table for Data Exchange'!$J$540)*100</f>
        <v>0.20981142542130615</v>
      </c>
      <c r="P26" s="163">
        <f>('Pivot Table for Data Exchange'!$J$543)*100</f>
        <v>0</v>
      </c>
      <c r="Q26" s="168">
        <f t="shared" si="3"/>
        <v>100.00000000000001</v>
      </c>
      <c r="R26" s="168">
        <f t="shared" si="2"/>
        <v>100</v>
      </c>
      <c r="S26" s="169"/>
      <c r="T26" s="150"/>
      <c r="U26" s="150"/>
      <c r="V26" s="150"/>
      <c r="W26" s="150"/>
      <c r="X26" s="150"/>
      <c r="Y26" s="150"/>
      <c r="Z26" s="150"/>
      <c r="AA26" s="150"/>
      <c r="AB26" s="150"/>
      <c r="AC26" s="150"/>
      <c r="AD26" s="150"/>
      <c r="AE26" s="150"/>
      <c r="AF26" s="150"/>
      <c r="AG26" s="169"/>
      <c r="AH26" s="169"/>
      <c r="AI26" s="169"/>
      <c r="AJ26" s="169"/>
      <c r="AK26" s="169"/>
      <c r="AL26" s="169"/>
      <c r="AM26" s="169"/>
      <c r="AN26" s="169"/>
      <c r="AO26" s="169"/>
    </row>
    <row r="27" spans="1:41" ht="15.75" customHeight="1">
      <c r="A27" s="140" t="s">
        <v>633</v>
      </c>
      <c r="B27" s="176">
        <f>('Pivot Table for Data Exchange'!$J$546)*100</f>
        <v>53.434721280558605</v>
      </c>
      <c r="C27" s="176">
        <f>('Pivot Table for Data Exchange'!$J$549)*100</f>
        <v>4.2707627085622546</v>
      </c>
      <c r="D27" s="177">
        <f>SUM(E27:G27)</f>
        <v>42.294516010879136</v>
      </c>
      <c r="E27" s="176">
        <f>('Pivot Table for Data Exchange'!$J$552)*100</f>
        <v>41.929877882464794</v>
      </c>
      <c r="F27" s="176">
        <f>('Pivot Table for Data Exchange'!$J$555)*100</f>
        <v>0.29987764867244915</v>
      </c>
      <c r="G27" s="178">
        <f>('Pivot Table for Data Exchange'!$J$558)*100</f>
        <v>6.4760479741893251E-2</v>
      </c>
      <c r="H27" s="176">
        <f>('Pivot Table for Data Exchange'!$J$561)*100</f>
        <v>0</v>
      </c>
      <c r="I27" s="179" t="s">
        <v>633</v>
      </c>
      <c r="J27" s="176">
        <f>('Pivot Table for Data Exchange'!$J$564)*100</f>
        <v>43.60672159750775</v>
      </c>
      <c r="K27" s="176">
        <f>('Pivot Table for Data Exchange'!$J$567)*100</f>
        <v>4.3917152402811492</v>
      </c>
      <c r="L27" s="177">
        <f>SUM(M27:O27)</f>
        <v>52.001563162211099</v>
      </c>
      <c r="M27" s="176">
        <f>('Pivot Table for Data Exchange'!$J$570)*100</f>
        <v>51.131916579977208</v>
      </c>
      <c r="N27" s="176">
        <f>('Pivot Table for Data Exchange'!$J$573)*100</f>
        <v>0.44087779263882698</v>
      </c>
      <c r="O27" s="178">
        <f>('Pivot Table for Data Exchange'!$J$576)*100</f>
        <v>0.42876878959506393</v>
      </c>
      <c r="P27" s="176">
        <f>('Pivot Table for Data Exchange'!$J$579)*100</f>
        <v>0</v>
      </c>
      <c r="Q27" s="168">
        <f t="shared" si="3"/>
        <v>100</v>
      </c>
      <c r="R27" s="168">
        <f t="shared" si="2"/>
        <v>100</v>
      </c>
      <c r="S27" s="169"/>
      <c r="T27" s="150"/>
      <c r="U27" s="150"/>
      <c r="V27" s="150"/>
      <c r="W27" s="150"/>
      <c r="X27" s="150"/>
      <c r="Y27" s="150"/>
      <c r="Z27" s="150"/>
      <c r="AA27" s="150"/>
      <c r="AB27" s="150"/>
      <c r="AC27" s="150"/>
      <c r="AD27" s="150"/>
      <c r="AE27" s="150"/>
      <c r="AF27" s="150"/>
      <c r="AG27" s="169"/>
      <c r="AH27" s="169"/>
      <c r="AI27" s="169"/>
      <c r="AJ27" s="169"/>
      <c r="AK27" s="169"/>
      <c r="AL27" s="169"/>
      <c r="AM27" s="169"/>
      <c r="AN27" s="169"/>
      <c r="AO27" s="169"/>
    </row>
    <row r="28" spans="1:41" s="181" customFormat="1" ht="32.450000000000003" customHeight="1">
      <c r="A28" s="646" t="s">
        <v>746</v>
      </c>
      <c r="B28" s="649"/>
      <c r="C28" s="649"/>
      <c r="D28" s="649"/>
      <c r="E28" s="649"/>
      <c r="F28" s="649"/>
      <c r="G28" s="649"/>
      <c r="H28" s="649"/>
      <c r="I28" s="646" t="s">
        <v>746</v>
      </c>
      <c r="J28" s="649"/>
      <c r="K28" s="649"/>
      <c r="L28" s="649"/>
      <c r="M28" s="649"/>
      <c r="N28" s="649"/>
      <c r="O28" s="649"/>
      <c r="P28" s="649"/>
      <c r="Q28" s="168"/>
      <c r="R28" s="168"/>
    </row>
    <row r="29" spans="1:41" s="181" customFormat="1" ht="13.5" customHeight="1">
      <c r="A29" s="182" t="s">
        <v>652</v>
      </c>
      <c r="B29" s="183"/>
      <c r="C29" s="183"/>
      <c r="D29" s="184"/>
      <c r="E29" s="183"/>
      <c r="F29" s="184"/>
      <c r="G29" s="184"/>
      <c r="H29" s="183"/>
      <c r="I29" s="182" t="s">
        <v>652</v>
      </c>
      <c r="J29" s="183"/>
      <c r="K29" s="183"/>
      <c r="L29" s="184"/>
      <c r="M29" s="183"/>
      <c r="N29" s="184"/>
      <c r="O29" s="184"/>
      <c r="P29" s="183"/>
      <c r="Q29" s="168"/>
      <c r="R29" s="168"/>
      <c r="S29" s="185"/>
      <c r="T29" s="150"/>
      <c r="U29" s="150"/>
      <c r="V29" s="150"/>
      <c r="W29" s="150"/>
      <c r="X29" s="150"/>
      <c r="Y29" s="150"/>
      <c r="Z29" s="150"/>
      <c r="AA29" s="150"/>
      <c r="AB29" s="150"/>
      <c r="AC29" s="150"/>
      <c r="AD29" s="150"/>
      <c r="AE29" s="150"/>
      <c r="AF29" s="150"/>
      <c r="AG29" s="185"/>
      <c r="AH29" s="185"/>
      <c r="AI29" s="185"/>
      <c r="AJ29" s="185"/>
      <c r="AK29" s="185"/>
      <c r="AL29" s="185"/>
      <c r="AM29" s="185"/>
      <c r="AN29" s="185"/>
      <c r="AO29" s="185"/>
    </row>
    <row r="30" spans="1:41" s="181" customFormat="1" ht="23.25" customHeight="1">
      <c r="A30" s="633" t="s">
        <v>653</v>
      </c>
      <c r="B30" s="634"/>
      <c r="C30" s="634"/>
      <c r="D30" s="634"/>
      <c r="E30" s="634"/>
      <c r="F30" s="634"/>
      <c r="G30" s="634"/>
      <c r="H30" s="634"/>
      <c r="I30" s="633" t="s">
        <v>653</v>
      </c>
      <c r="J30" s="634"/>
      <c r="K30" s="634"/>
      <c r="L30" s="634"/>
      <c r="M30" s="634"/>
      <c r="N30" s="634"/>
      <c r="O30" s="634"/>
      <c r="P30" s="634"/>
      <c r="Q30" s="168"/>
      <c r="R30" s="168"/>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row>
    <row r="31" spans="1:41" s="181" customFormat="1" ht="13.5" customHeight="1">
      <c r="A31" s="180"/>
      <c r="B31" s="54"/>
      <c r="C31" s="54"/>
      <c r="D31" s="62"/>
      <c r="E31" s="54"/>
      <c r="F31" s="54"/>
      <c r="G31" s="54"/>
      <c r="H31" s="54"/>
      <c r="I31" s="180"/>
      <c r="J31" s="54"/>
      <c r="K31" s="54"/>
      <c r="L31" s="62"/>
      <c r="M31" s="54"/>
      <c r="N31" s="54"/>
      <c r="O31" s="54"/>
      <c r="P31" s="54"/>
      <c r="Q31" s="168"/>
      <c r="R31" s="168"/>
    </row>
    <row r="32" spans="1:41">
      <c r="H32" s="187" t="s">
        <v>992</v>
      </c>
      <c r="I32" s="134"/>
      <c r="P32" s="187" t="s">
        <v>992</v>
      </c>
      <c r="Q32" s="168"/>
      <c r="R32" s="168"/>
    </row>
    <row r="33" spans="1:41" ht="18">
      <c r="A33" s="129" t="s">
        <v>654</v>
      </c>
      <c r="B33" s="130"/>
      <c r="C33" s="130"/>
      <c r="D33" s="130"/>
      <c r="E33" s="130"/>
      <c r="F33" s="130"/>
      <c r="G33" s="130"/>
      <c r="H33" s="130"/>
      <c r="I33" s="129" t="s">
        <v>655</v>
      </c>
      <c r="J33" s="131"/>
      <c r="K33" s="131"/>
      <c r="L33" s="130"/>
      <c r="M33" s="131"/>
      <c r="N33" s="131"/>
      <c r="O33" s="131"/>
      <c r="P33" s="131"/>
      <c r="Q33" s="168"/>
      <c r="R33" s="168"/>
    </row>
    <row r="34" spans="1:41">
      <c r="A34" s="135"/>
      <c r="B34" s="131"/>
      <c r="C34" s="131"/>
      <c r="D34" s="131"/>
      <c r="E34" s="131"/>
      <c r="F34" s="131"/>
      <c r="G34" s="131"/>
      <c r="H34" s="131"/>
      <c r="I34" s="135"/>
      <c r="J34" s="131"/>
      <c r="K34" s="131"/>
      <c r="L34" s="131"/>
      <c r="M34" s="131"/>
      <c r="N34" s="131"/>
      <c r="O34" s="131"/>
      <c r="P34" s="131"/>
      <c r="Q34" s="168"/>
      <c r="R34" s="168"/>
    </row>
    <row r="35" spans="1:41" ht="15.75">
      <c r="A35" s="137" t="s">
        <v>639</v>
      </c>
      <c r="B35" s="131"/>
      <c r="C35" s="131"/>
      <c r="D35" s="131"/>
      <c r="E35" s="131"/>
      <c r="F35" s="131"/>
      <c r="G35" s="131"/>
      <c r="H35" s="131"/>
      <c r="I35" s="137" t="s">
        <v>640</v>
      </c>
      <c r="J35" s="131"/>
      <c r="K35" s="131"/>
      <c r="L35" s="131"/>
      <c r="M35" s="131"/>
      <c r="N35" s="131"/>
      <c r="O35" s="131"/>
      <c r="P35" s="131"/>
      <c r="Q35" s="168"/>
      <c r="R35" s="168"/>
    </row>
    <row r="36" spans="1:41" ht="15.75">
      <c r="A36" s="137" t="s">
        <v>864</v>
      </c>
      <c r="B36" s="131"/>
      <c r="C36" s="131"/>
      <c r="D36" s="131"/>
      <c r="E36" s="131"/>
      <c r="F36" s="131"/>
      <c r="G36" s="131"/>
      <c r="H36" s="131"/>
      <c r="I36" s="137" t="s">
        <v>864</v>
      </c>
      <c r="J36" s="131"/>
      <c r="K36" s="131"/>
      <c r="L36" s="131"/>
      <c r="M36" s="131"/>
      <c r="N36" s="131"/>
      <c r="O36" s="131"/>
      <c r="P36" s="131"/>
      <c r="Q36" s="168"/>
      <c r="R36" s="168"/>
    </row>
    <row r="37" spans="1:41">
      <c r="A37" s="140"/>
      <c r="B37" s="141"/>
      <c r="C37" s="141"/>
      <c r="D37" s="141"/>
      <c r="E37" s="141"/>
      <c r="F37" s="141"/>
      <c r="G37" s="141"/>
      <c r="H37" s="141"/>
      <c r="I37" s="142"/>
      <c r="L37" s="143"/>
      <c r="P37" s="140"/>
      <c r="Q37" s="168"/>
      <c r="R37" s="168"/>
    </row>
    <row r="38" spans="1:41" s="150" customFormat="1">
      <c r="A38" s="145"/>
      <c r="B38" s="146" t="s">
        <v>641</v>
      </c>
      <c r="C38" s="146"/>
      <c r="D38" s="146"/>
      <c r="E38" s="146"/>
      <c r="F38" s="146"/>
      <c r="G38" s="146"/>
      <c r="H38" s="147"/>
      <c r="I38" s="145"/>
      <c r="J38" s="146" t="s">
        <v>641</v>
      </c>
      <c r="K38" s="146"/>
      <c r="L38" s="146"/>
      <c r="M38" s="146"/>
      <c r="N38" s="146"/>
      <c r="O38" s="146"/>
      <c r="P38" s="147"/>
      <c r="Q38" s="168"/>
      <c r="R38" s="168"/>
    </row>
    <row r="39" spans="1:41" s="150" customFormat="1">
      <c r="A39" s="145"/>
      <c r="B39" s="146" t="s">
        <v>642</v>
      </c>
      <c r="C39" s="146"/>
      <c r="D39" s="639" t="s">
        <v>643</v>
      </c>
      <c r="E39" s="637"/>
      <c r="F39" s="637"/>
      <c r="G39" s="637"/>
      <c r="H39" s="153" t="s">
        <v>533</v>
      </c>
      <c r="I39" s="145"/>
      <c r="J39" s="146" t="s">
        <v>642</v>
      </c>
      <c r="K39" s="146"/>
      <c r="L39" s="639" t="s">
        <v>643</v>
      </c>
      <c r="M39" s="637"/>
      <c r="N39" s="637"/>
      <c r="O39" s="637"/>
      <c r="P39" s="153" t="s">
        <v>533</v>
      </c>
      <c r="Q39" s="168"/>
      <c r="R39" s="168"/>
    </row>
    <row r="40" spans="1:41" s="150" customFormat="1" ht="40.5" customHeight="1">
      <c r="A40" s="145"/>
      <c r="B40" s="154" t="s">
        <v>644</v>
      </c>
      <c r="C40" s="155" t="s">
        <v>645</v>
      </c>
      <c r="D40" s="156" t="s">
        <v>646</v>
      </c>
      <c r="E40" s="157" t="s">
        <v>8</v>
      </c>
      <c r="F40" s="154" t="s">
        <v>647</v>
      </c>
      <c r="G40" s="158" t="s">
        <v>656</v>
      </c>
      <c r="H40" s="159" t="s">
        <v>649</v>
      </c>
      <c r="I40" s="145"/>
      <c r="J40" s="154" t="s">
        <v>644</v>
      </c>
      <c r="K40" s="155" t="s">
        <v>645</v>
      </c>
      <c r="L40" s="156" t="s">
        <v>646</v>
      </c>
      <c r="M40" s="157" t="s">
        <v>8</v>
      </c>
      <c r="N40" s="154" t="s">
        <v>647</v>
      </c>
      <c r="O40" s="158" t="s">
        <v>656</v>
      </c>
      <c r="P40" s="159" t="s">
        <v>649</v>
      </c>
      <c r="Q40" s="168"/>
      <c r="R40" s="168"/>
      <c r="T40" s="188"/>
    </row>
    <row r="41" spans="1:41" ht="15.75" customHeight="1">
      <c r="A41" s="189" t="s">
        <v>618</v>
      </c>
      <c r="B41" s="163">
        <f>('Pivot Table for Data Exchange'!$C$6)*100</f>
        <v>71.648338006551739</v>
      </c>
      <c r="C41" s="175">
        <f>('Pivot Table for Data Exchange'!$C$9)*100</f>
        <v>0.80645078552133309</v>
      </c>
      <c r="D41" s="164">
        <f>SUM(E41:G41)</f>
        <v>27.545211207926926</v>
      </c>
      <c r="E41" s="163">
        <f>('Pivot Table for Data Exchange'!$C$12)*100</f>
        <v>21.957355214870582</v>
      </c>
      <c r="F41" s="163">
        <f>('Pivot Table for Data Exchange'!$C$15)*100</f>
        <v>5.5878559930563458</v>
      </c>
      <c r="G41" s="167">
        <f>('Pivot Table for Data Exchange'!$C$18)*100</f>
        <v>0</v>
      </c>
      <c r="H41" s="163">
        <f>('Pivot Table for Data Exchange'!$C$21)*100</f>
        <v>0</v>
      </c>
      <c r="I41" s="166" t="s">
        <v>618</v>
      </c>
      <c r="J41" s="163">
        <f>('Pivot Table for Data Exchange'!$C$24)*100</f>
        <v>62.625059813200181</v>
      </c>
      <c r="K41" s="163">
        <f>('Pivot Table for Data Exchange'!$C$27)*100</f>
        <v>4.1264715873601467</v>
      </c>
      <c r="L41" s="164">
        <f>SUM(M41:O41)</f>
        <v>33.248468599439676</v>
      </c>
      <c r="M41" s="163">
        <f>('Pivot Table for Data Exchange'!$C$30)*100</f>
        <v>30.838407562580134</v>
      </c>
      <c r="N41" s="163">
        <f>('Pivot Table for Data Exchange'!$C$33)*100</f>
        <v>2.4100610368595423</v>
      </c>
      <c r="O41" s="167">
        <f>('Pivot Table for Data Exchange'!$C$36)*100</f>
        <v>0</v>
      </c>
      <c r="P41" s="163">
        <f>('Pivot Table for Data Exchange'!$C$39)*100</f>
        <v>0</v>
      </c>
      <c r="Q41" s="168">
        <f t="shared" si="3"/>
        <v>100</v>
      </c>
      <c r="R41" s="168">
        <f t="shared" si="2"/>
        <v>100</v>
      </c>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row>
    <row r="42" spans="1:41" ht="15.75" customHeight="1">
      <c r="A42" s="134" t="s">
        <v>619</v>
      </c>
      <c r="B42" s="163">
        <f>('Pivot Table for Data Exchange'!$C$42)*100</f>
        <v>85.945852208595866</v>
      </c>
      <c r="C42" s="163">
        <f>('Pivot Table for Data Exchange'!$C$45)*100</f>
        <v>0.75146108983154492</v>
      </c>
      <c r="D42" s="164">
        <f t="shared" ref="D42:D44" si="4">SUM(E42:G42)</f>
        <v>12.960269917521822</v>
      </c>
      <c r="E42" s="163">
        <f>('Pivot Table for Data Exchange'!$C$48)*100</f>
        <v>12.906724511930587</v>
      </c>
      <c r="F42" s="163">
        <f>('Pivot Table for Data Exchange'!$C$51)*100</f>
        <v>5.3545405591235593E-2</v>
      </c>
      <c r="G42" s="174">
        <f>('Pivot Table for Data Exchange'!$C$54)*100</f>
        <v>0</v>
      </c>
      <c r="H42" s="163">
        <f>('Pivot Table for Data Exchange'!$C$57)*100</f>
        <v>0.34241678405077081</v>
      </c>
      <c r="I42" s="169" t="s">
        <v>619</v>
      </c>
      <c r="J42" s="163">
        <f>('Pivot Table for Data Exchange'!$C$60)*100</f>
        <v>59.540555583666446</v>
      </c>
      <c r="K42" s="163">
        <f>('Pivot Table for Data Exchange'!$C$63)*100</f>
        <v>0.45919141830693722</v>
      </c>
      <c r="L42" s="164">
        <f t="shared" ref="L42:L44" si="5">SUM(M42:O42)</f>
        <v>40.000252998026617</v>
      </c>
      <c r="M42" s="163">
        <f>('Pivot Table for Data Exchange'!$C$66)*100</f>
        <v>39.893993826848153</v>
      </c>
      <c r="N42" s="163">
        <f>('Pivot Table for Data Exchange'!$C$69)*100</f>
        <v>0.10246420077923392</v>
      </c>
      <c r="O42" s="171">
        <f>('Pivot Table for Data Exchange'!$C$72)*100</f>
        <v>3.7949703992308857E-3</v>
      </c>
      <c r="P42" s="175">
        <f>('Pivot Table for Data Exchange'!$C$75)*100</f>
        <v>0</v>
      </c>
      <c r="Q42" s="168">
        <f t="shared" si="3"/>
        <v>100.00000000000001</v>
      </c>
      <c r="R42" s="168">
        <f t="shared" si="2"/>
        <v>100</v>
      </c>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row>
    <row r="43" spans="1:41" ht="15.75" customHeight="1">
      <c r="A43" s="134" t="s">
        <v>620</v>
      </c>
      <c r="B43" s="163">
        <f>('Pivot Table for Data Exchange'!$C$78)*100</f>
        <v>49.079771965928089</v>
      </c>
      <c r="C43" s="163">
        <f>('Pivot Table for Data Exchange'!$C$81)*100</f>
        <v>0</v>
      </c>
      <c r="D43" s="164">
        <f t="shared" si="4"/>
        <v>50.920228034071911</v>
      </c>
      <c r="E43" s="163">
        <f>('Pivot Table for Data Exchange'!$C$84)*100</f>
        <v>50.920228034071911</v>
      </c>
      <c r="F43" s="163">
        <f>('Pivot Table for Data Exchange'!$C$87)*100</f>
        <v>0</v>
      </c>
      <c r="G43" s="171">
        <f>('Pivot Table for Data Exchange'!$C$90)*100</f>
        <v>0</v>
      </c>
      <c r="H43" s="163">
        <f>('Pivot Table for Data Exchange'!$C$93)*100</f>
        <v>0</v>
      </c>
      <c r="I43" s="169" t="s">
        <v>620</v>
      </c>
      <c r="J43" s="163">
        <f>('Pivot Table for Data Exchange'!$C$96)*100</f>
        <v>49.689041389663309</v>
      </c>
      <c r="K43" s="163">
        <f>('Pivot Table for Data Exchange'!$C$99)*100</f>
        <v>0</v>
      </c>
      <c r="L43" s="164">
        <f t="shared" si="5"/>
        <v>50.310958610336698</v>
      </c>
      <c r="M43" s="163">
        <f>('Pivot Table for Data Exchange'!$C$102)*100</f>
        <v>50.310958610336698</v>
      </c>
      <c r="N43" s="163">
        <f>('Pivot Table for Data Exchange'!$C$105)*100</f>
        <v>0</v>
      </c>
      <c r="O43" s="171">
        <f>('Pivot Table for Data Exchange'!$C$108)*100</f>
        <v>0</v>
      </c>
      <c r="P43" s="163">
        <f>('Pivot Table for Data Exchange'!$C$111)*100</f>
        <v>0</v>
      </c>
      <c r="Q43" s="168">
        <f t="shared" si="3"/>
        <v>100</v>
      </c>
      <c r="R43" s="168">
        <f t="shared" si="2"/>
        <v>100</v>
      </c>
      <c r="S43" s="169"/>
      <c r="T43" s="143"/>
      <c r="U43" s="169"/>
      <c r="V43" s="169"/>
      <c r="W43" s="169"/>
      <c r="X43" s="169"/>
      <c r="Y43" s="169"/>
      <c r="Z43" s="169"/>
      <c r="AA43" s="169"/>
      <c r="AB43" s="169"/>
      <c r="AC43" s="169"/>
      <c r="AD43" s="169"/>
      <c r="AE43" s="169"/>
      <c r="AF43" s="169"/>
      <c r="AG43" s="169"/>
      <c r="AH43" s="169"/>
      <c r="AI43" s="169"/>
      <c r="AJ43" s="169"/>
      <c r="AK43" s="169"/>
      <c r="AL43" s="169"/>
      <c r="AM43" s="169"/>
      <c r="AN43" s="169"/>
      <c r="AO43" s="169"/>
    </row>
    <row r="44" spans="1:41" ht="15.75" customHeight="1">
      <c r="A44" s="134" t="s">
        <v>657</v>
      </c>
      <c r="B44" s="163">
        <f>('Pivot Table for Data Exchange'!$C$114)*100</f>
        <v>0</v>
      </c>
      <c r="C44" s="163">
        <f>('Pivot Table for Data Exchange'!$C$117)*100</f>
        <v>0</v>
      </c>
      <c r="D44" s="164">
        <f t="shared" si="4"/>
        <v>0</v>
      </c>
      <c r="E44" s="163">
        <f>('Pivot Table for Data Exchange'!$C$120)*100</f>
        <v>0</v>
      </c>
      <c r="F44" s="163">
        <f>('Pivot Table for Data Exchange'!$C$123)*100</f>
        <v>0</v>
      </c>
      <c r="G44" s="174">
        <f>('Pivot Table for Data Exchange'!$C$126)*100</f>
        <v>0</v>
      </c>
      <c r="H44" s="163">
        <f>('Pivot Table for Data Exchange'!$C$129)*100</f>
        <v>0</v>
      </c>
      <c r="I44" s="169" t="s">
        <v>657</v>
      </c>
      <c r="J44" s="163">
        <f>('Pivot Table for Data Exchange'!$C$132)*100</f>
        <v>0</v>
      </c>
      <c r="K44" s="163">
        <f>('Pivot Table for Data Exchange'!$C$135)*100</f>
        <v>0</v>
      </c>
      <c r="L44" s="164">
        <f t="shared" si="5"/>
        <v>0</v>
      </c>
      <c r="M44" s="163">
        <f>('Pivot Table for Data Exchange'!$C$138)*100</f>
        <v>0</v>
      </c>
      <c r="N44" s="163">
        <f>('Pivot Table for Data Exchange'!$C$141)*100</f>
        <v>0</v>
      </c>
      <c r="O44" s="170">
        <f>('Pivot Table for Data Exchange'!$C$144)*100</f>
        <v>0</v>
      </c>
      <c r="P44" s="163">
        <f>('Pivot Table for Data Exchange'!$C$147)*100</f>
        <v>0</v>
      </c>
      <c r="Q44" s="168">
        <f t="shared" si="3"/>
        <v>0</v>
      </c>
      <c r="R44" s="168">
        <f t="shared" si="2"/>
        <v>0</v>
      </c>
      <c r="S44" s="169"/>
      <c r="U44" s="169"/>
      <c r="V44" s="169"/>
      <c r="W44" s="169"/>
      <c r="X44" s="169"/>
      <c r="Y44" s="169"/>
      <c r="Z44" s="169"/>
      <c r="AA44" s="169"/>
      <c r="AB44" s="169"/>
      <c r="AC44" s="169"/>
      <c r="AD44" s="169"/>
      <c r="AE44" s="169"/>
      <c r="AF44" s="169"/>
      <c r="AG44" s="169"/>
      <c r="AH44" s="169"/>
      <c r="AI44" s="169"/>
      <c r="AJ44" s="169"/>
      <c r="AK44" s="169"/>
      <c r="AL44" s="169"/>
      <c r="AM44" s="169"/>
      <c r="AN44" s="169"/>
      <c r="AO44" s="169"/>
    </row>
    <row r="45" spans="1:41" ht="10.5" customHeight="1">
      <c r="B45" s="163"/>
      <c r="C45" s="163"/>
      <c r="D45" s="164"/>
      <c r="E45" s="163"/>
      <c r="F45" s="163"/>
      <c r="G45" s="171"/>
      <c r="H45" s="163"/>
      <c r="I45" s="169"/>
      <c r="J45" s="163"/>
      <c r="K45" s="163"/>
      <c r="L45" s="164"/>
      <c r="M45" s="163"/>
      <c r="N45" s="163"/>
      <c r="O45" s="171"/>
      <c r="P45" s="163"/>
      <c r="Q45" s="168">
        <f t="shared" si="3"/>
        <v>0</v>
      </c>
      <c r="R45" s="168">
        <f t="shared" si="2"/>
        <v>0</v>
      </c>
      <c r="S45" s="169"/>
      <c r="U45" s="169"/>
      <c r="V45" s="169"/>
      <c r="W45" s="169"/>
      <c r="X45" s="169"/>
      <c r="Y45" s="169"/>
      <c r="Z45" s="169"/>
      <c r="AA45" s="169"/>
      <c r="AB45" s="169"/>
      <c r="AC45" s="169"/>
      <c r="AD45" s="169"/>
      <c r="AE45" s="169"/>
      <c r="AF45" s="169"/>
      <c r="AG45" s="169"/>
      <c r="AH45" s="169"/>
      <c r="AI45" s="169"/>
      <c r="AJ45" s="169"/>
      <c r="AK45" s="169"/>
      <c r="AL45" s="169"/>
      <c r="AM45" s="169"/>
      <c r="AN45" s="169"/>
      <c r="AO45" s="169"/>
    </row>
    <row r="46" spans="1:41" ht="15.75" customHeight="1">
      <c r="A46" s="134" t="s">
        <v>622</v>
      </c>
      <c r="B46" s="163">
        <f>('Pivot Table for Data Exchange'!$C$150)*100</f>
        <v>56.986453213159734</v>
      </c>
      <c r="C46" s="163">
        <f>('Pivot Table for Data Exchange'!$C$153)*100</f>
        <v>0.91082969434459027</v>
      </c>
      <c r="D46" s="164">
        <f t="shared" ref="D46:D49" si="6">SUM(E46:G46)</f>
        <v>42.102717092495674</v>
      </c>
      <c r="E46" s="163">
        <f>('Pivot Table for Data Exchange'!$C$156)*100</f>
        <v>42.102717092495674</v>
      </c>
      <c r="F46" s="163">
        <f>('Pivot Table for Data Exchange'!$C$159)*100</f>
        <v>0</v>
      </c>
      <c r="G46" s="171">
        <f>('Pivot Table for Data Exchange'!$C$162)*100</f>
        <v>0</v>
      </c>
      <c r="H46" s="163">
        <f>('Pivot Table for Data Exchange'!$C$165)*100</f>
        <v>0</v>
      </c>
      <c r="I46" s="169" t="s">
        <v>622</v>
      </c>
      <c r="J46" s="163">
        <f>('Pivot Table for Data Exchange'!$C$168)*100</f>
        <v>51.679182198872688</v>
      </c>
      <c r="K46" s="163">
        <f>('Pivot Table for Data Exchange'!$C$171)*100</f>
        <v>16.344036151905218</v>
      </c>
      <c r="L46" s="164">
        <f t="shared" ref="L46:L49" si="7">SUM(M46:O46)</f>
        <v>31.97678164922209</v>
      </c>
      <c r="M46" s="163">
        <f>('Pivot Table for Data Exchange'!$C$174)*100</f>
        <v>31.97678164922209</v>
      </c>
      <c r="N46" s="163">
        <f>('Pivot Table for Data Exchange'!$C$177)*100</f>
        <v>0</v>
      </c>
      <c r="O46" s="171">
        <f>('Pivot Table for Data Exchange'!$C$180)*100</f>
        <v>0</v>
      </c>
      <c r="P46" s="163">
        <f>('Pivot Table for Data Exchange'!$C$183)*100</f>
        <v>0</v>
      </c>
      <c r="Q46" s="168">
        <f t="shared" si="3"/>
        <v>100</v>
      </c>
      <c r="R46" s="168">
        <f t="shared" si="2"/>
        <v>100</v>
      </c>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row>
    <row r="47" spans="1:41" ht="15.75" customHeight="1">
      <c r="A47" s="134" t="s">
        <v>623</v>
      </c>
      <c r="B47" s="163">
        <f>('Pivot Table for Data Exchange'!$C$186)*100</f>
        <v>58.820146570879729</v>
      </c>
      <c r="C47" s="163">
        <f>('Pivot Table for Data Exchange'!$C$189)*100</f>
        <v>1.9635118398840599</v>
      </c>
      <c r="D47" s="164">
        <f t="shared" si="6"/>
        <v>39.216341589236215</v>
      </c>
      <c r="E47" s="163">
        <f>('Pivot Table for Data Exchange'!$C$192)*100</f>
        <v>39.097812276063905</v>
      </c>
      <c r="F47" s="163">
        <f>('Pivot Table for Data Exchange'!$C$195)*100</f>
        <v>5.9615928894455716E-2</v>
      </c>
      <c r="G47" s="171">
        <f>('Pivot Table for Data Exchange'!$C$198)*100</f>
        <v>5.8913384277854391E-2</v>
      </c>
      <c r="H47" s="163">
        <f>('Pivot Table for Data Exchange'!$C$201)*100</f>
        <v>0</v>
      </c>
      <c r="I47" s="169" t="s">
        <v>623</v>
      </c>
      <c r="J47" s="163">
        <f>('Pivot Table for Data Exchange'!$C$204)*100</f>
        <v>46.428697837397799</v>
      </c>
      <c r="K47" s="163">
        <f>('Pivot Table for Data Exchange'!$C$207)*100</f>
        <v>1.7178116778159254</v>
      </c>
      <c r="L47" s="164">
        <f t="shared" si="7"/>
        <v>51.853490484786278</v>
      </c>
      <c r="M47" s="163">
        <f>('Pivot Table for Data Exchange'!$C$210)*100</f>
        <v>51.567385174435756</v>
      </c>
      <c r="N47" s="163">
        <f>('Pivot Table for Data Exchange'!$C$213)*100</f>
        <v>0</v>
      </c>
      <c r="O47" s="171">
        <f>('Pivot Table for Data Exchange'!$C$216)*100</f>
        <v>0.28610531035052322</v>
      </c>
      <c r="P47" s="163">
        <f>('Pivot Table for Data Exchange'!$C$219)*100</f>
        <v>0</v>
      </c>
      <c r="Q47" s="168">
        <f t="shared" si="3"/>
        <v>100</v>
      </c>
      <c r="R47" s="168">
        <f t="shared" si="2"/>
        <v>100</v>
      </c>
      <c r="S47" s="169"/>
      <c r="T47" s="169"/>
      <c r="U47" s="169"/>
      <c r="V47" s="169"/>
      <c r="W47" s="169"/>
      <c r="X47" s="169"/>
      <c r="Y47" s="169"/>
      <c r="Z47" s="169"/>
      <c r="AA47" s="169"/>
      <c r="AB47" s="169"/>
      <c r="AC47" s="169"/>
      <c r="AD47" s="169"/>
      <c r="AE47" s="169"/>
      <c r="AF47" s="169"/>
      <c r="AG47" s="169"/>
      <c r="AH47" s="169"/>
      <c r="AI47" s="169"/>
      <c r="AJ47" s="169"/>
      <c r="AK47" s="169"/>
      <c r="AL47" s="169"/>
      <c r="AM47" s="169"/>
      <c r="AN47" s="169"/>
      <c r="AO47" s="169"/>
    </row>
    <row r="48" spans="1:41" ht="15.75" customHeight="1">
      <c r="A48" s="134" t="s">
        <v>624</v>
      </c>
      <c r="B48" s="163">
        <f>('Pivot Table for Data Exchange'!$C$222)*100</f>
        <v>67.226786158825035</v>
      </c>
      <c r="C48" s="163">
        <f>('Pivot Table for Data Exchange'!$C$225)*100</f>
        <v>0</v>
      </c>
      <c r="D48" s="164">
        <f t="shared" si="6"/>
        <v>32.773213841174972</v>
      </c>
      <c r="E48" s="163">
        <f>('Pivot Table for Data Exchange'!$C$228)*100</f>
        <v>32.773213841174972</v>
      </c>
      <c r="F48" s="163">
        <f>('Pivot Table for Data Exchange'!$C$231)*100</f>
        <v>0</v>
      </c>
      <c r="G48" s="171">
        <f>('Pivot Table for Data Exchange'!$C$234)*100</f>
        <v>0</v>
      </c>
      <c r="H48" s="163">
        <f>('Pivot Table for Data Exchange'!$C$237)*100</f>
        <v>0</v>
      </c>
      <c r="I48" s="169" t="s">
        <v>624</v>
      </c>
      <c r="J48" s="163">
        <f>('Pivot Table for Data Exchange'!$C$240)*100</f>
        <v>81.099033816425163</v>
      </c>
      <c r="K48" s="163">
        <f>('Pivot Table for Data Exchange'!$C$243)*100</f>
        <v>0</v>
      </c>
      <c r="L48" s="164">
        <f t="shared" si="7"/>
        <v>18.900966183574834</v>
      </c>
      <c r="M48" s="163">
        <f>('Pivot Table for Data Exchange'!$C$246)*100</f>
        <v>18.900966183574834</v>
      </c>
      <c r="N48" s="163">
        <f>('Pivot Table for Data Exchange'!$C$249)*100</f>
        <v>0</v>
      </c>
      <c r="O48" s="171">
        <f>('Pivot Table for Data Exchange'!$C$252)*100</f>
        <v>0</v>
      </c>
      <c r="P48" s="163">
        <f>('Pivot Table for Data Exchange'!$C$255)*100</f>
        <v>0</v>
      </c>
      <c r="Q48" s="168">
        <f t="shared" si="3"/>
        <v>100</v>
      </c>
      <c r="R48" s="168">
        <f t="shared" si="2"/>
        <v>100</v>
      </c>
      <c r="S48" s="169"/>
      <c r="T48" s="143"/>
      <c r="U48" s="169"/>
      <c r="V48" s="169"/>
      <c r="W48" s="169"/>
      <c r="X48" s="169"/>
      <c r="Y48" s="169"/>
      <c r="Z48" s="169"/>
      <c r="AA48" s="169"/>
      <c r="AB48" s="169"/>
      <c r="AC48" s="169"/>
      <c r="AD48" s="169"/>
      <c r="AE48" s="169"/>
      <c r="AF48" s="169"/>
      <c r="AG48" s="169"/>
      <c r="AH48" s="169"/>
      <c r="AI48" s="169"/>
      <c r="AJ48" s="169"/>
      <c r="AK48" s="169"/>
      <c r="AL48" s="169"/>
      <c r="AM48" s="169"/>
      <c r="AN48" s="169"/>
      <c r="AO48" s="169"/>
    </row>
    <row r="49" spans="1:41" ht="15.75" customHeight="1">
      <c r="A49" s="134" t="s">
        <v>625</v>
      </c>
      <c r="B49" s="163">
        <f>('Pivot Table for Data Exchange'!$C$258)*100</f>
        <v>49.269347236723796</v>
      </c>
      <c r="C49" s="163">
        <f>('Pivot Table for Data Exchange'!$C$261)*100</f>
        <v>0.92192252725226098</v>
      </c>
      <c r="D49" s="164">
        <f t="shared" si="6"/>
        <v>49.808730236023941</v>
      </c>
      <c r="E49" s="163">
        <f>('Pivot Table for Data Exchange'!$C$264)*100</f>
        <v>49.766603325308076</v>
      </c>
      <c r="F49" s="163">
        <f>('Pivot Table for Data Exchange'!$C$267)*100</f>
        <v>4.2126910715863046E-2</v>
      </c>
      <c r="G49" s="171">
        <f>('Pivot Table for Data Exchange'!$C$270)*100</f>
        <v>0</v>
      </c>
      <c r="H49" s="163">
        <f>('Pivot Table for Data Exchange'!$C$273)*100</f>
        <v>0</v>
      </c>
      <c r="I49" s="169" t="s">
        <v>625</v>
      </c>
      <c r="J49" s="163">
        <f>('Pivot Table for Data Exchange'!$C$276)*100</f>
        <v>51.175270652231887</v>
      </c>
      <c r="K49" s="163">
        <f>('Pivot Table for Data Exchange'!$C$279)*100</f>
        <v>7.846914831209002</v>
      </c>
      <c r="L49" s="164">
        <f t="shared" si="7"/>
        <v>40.977814516559114</v>
      </c>
      <c r="M49" s="163">
        <f>('Pivot Table for Data Exchange'!$C$282)*100</f>
        <v>40.876486587382004</v>
      </c>
      <c r="N49" s="163">
        <f>('Pivot Table for Data Exchange'!$C$285)*100</f>
        <v>0.10132792917711055</v>
      </c>
      <c r="O49" s="171">
        <f>('Pivot Table for Data Exchange'!$C$288)*100</f>
        <v>0</v>
      </c>
      <c r="P49" s="163">
        <f>('Pivot Table for Data Exchange'!$C$291)*100</f>
        <v>0</v>
      </c>
      <c r="Q49" s="168">
        <f t="shared" si="3"/>
        <v>100</v>
      </c>
      <c r="R49" s="168">
        <f t="shared" si="2"/>
        <v>100</v>
      </c>
      <c r="S49" s="169"/>
      <c r="U49" s="169"/>
      <c r="V49" s="169"/>
      <c r="W49" s="169"/>
      <c r="X49" s="169"/>
      <c r="Y49" s="169"/>
      <c r="Z49" s="169"/>
      <c r="AA49" s="169"/>
      <c r="AB49" s="169"/>
      <c r="AC49" s="169"/>
      <c r="AD49" s="169"/>
      <c r="AE49" s="169"/>
      <c r="AF49" s="169"/>
      <c r="AG49" s="169"/>
      <c r="AH49" s="169"/>
      <c r="AI49" s="169"/>
      <c r="AJ49" s="169"/>
      <c r="AK49" s="169"/>
      <c r="AL49" s="169"/>
      <c r="AM49" s="169"/>
      <c r="AN49" s="169"/>
      <c r="AO49" s="169"/>
    </row>
    <row r="50" spans="1:41" ht="12" customHeight="1">
      <c r="B50" s="163"/>
      <c r="C50" s="163"/>
      <c r="D50" s="164"/>
      <c r="E50" s="163"/>
      <c r="F50" s="163"/>
      <c r="G50" s="171"/>
      <c r="H50" s="163"/>
      <c r="I50" s="169"/>
      <c r="J50" s="163"/>
      <c r="K50" s="163"/>
      <c r="L50" s="164"/>
      <c r="M50" s="163"/>
      <c r="N50" s="163"/>
      <c r="O50" s="171"/>
      <c r="P50" s="163"/>
      <c r="Q50" s="168">
        <f t="shared" si="3"/>
        <v>0</v>
      </c>
      <c r="R50" s="168">
        <f t="shared" si="2"/>
        <v>0</v>
      </c>
      <c r="S50" s="169"/>
      <c r="U50" s="169"/>
      <c r="V50" s="169"/>
      <c r="W50" s="169"/>
      <c r="X50" s="169"/>
      <c r="Y50" s="169"/>
      <c r="Z50" s="169"/>
      <c r="AA50" s="169"/>
      <c r="AB50" s="169"/>
      <c r="AC50" s="169"/>
      <c r="AD50" s="169"/>
      <c r="AE50" s="169"/>
      <c r="AF50" s="169"/>
      <c r="AG50" s="169"/>
      <c r="AH50" s="169"/>
      <c r="AI50" s="169"/>
      <c r="AJ50" s="169"/>
      <c r="AK50" s="169"/>
      <c r="AL50" s="169"/>
      <c r="AM50" s="169"/>
      <c r="AN50" s="169"/>
      <c r="AO50" s="169"/>
    </row>
    <row r="51" spans="1:41" ht="15.75" customHeight="1">
      <c r="A51" s="134" t="s">
        <v>626</v>
      </c>
      <c r="B51" s="163">
        <f>('Pivot Table for Data Exchange'!$C$294)*100</f>
        <v>51.340709418623</v>
      </c>
      <c r="C51" s="163">
        <f>('Pivot Table for Data Exchange'!$C$297)*100</f>
        <v>3.3545602070669713</v>
      </c>
      <c r="D51" s="164">
        <f t="shared" ref="D51:D53" si="8">SUM(E51:G51)</f>
        <v>44.989873927135704</v>
      </c>
      <c r="E51" s="163">
        <f>('Pivot Table for Data Exchange'!$C$300)*100</f>
        <v>44.348580105994436</v>
      </c>
      <c r="F51" s="163">
        <f>('Pivot Table for Data Exchange'!$C$303)*100</f>
        <v>0.64129382114127131</v>
      </c>
      <c r="G51" s="174">
        <f>('Pivot Table for Data Exchange'!$C$306)*100</f>
        <v>0</v>
      </c>
      <c r="H51" s="163">
        <f>('Pivot Table for Data Exchange'!$C$309)*100</f>
        <v>0.31485644717432626</v>
      </c>
      <c r="I51" s="169" t="s">
        <v>626</v>
      </c>
      <c r="J51" s="163">
        <f>('Pivot Table for Data Exchange'!$C$312)*100</f>
        <v>52.648458074929913</v>
      </c>
      <c r="K51" s="163">
        <f>('Pivot Table for Data Exchange'!$C$315)*100</f>
        <v>2.082979356044516</v>
      </c>
      <c r="L51" s="164">
        <f t="shared" ref="L51:L53" si="9">SUM(M51:O51)</f>
        <v>45.239890408631389</v>
      </c>
      <c r="M51" s="163">
        <f>('Pivot Table for Data Exchange'!$C$318)*100</f>
        <v>44.646801461218253</v>
      </c>
      <c r="N51" s="163">
        <f>('Pivot Table for Data Exchange'!$C$321)*100</f>
        <v>0.593088947413134</v>
      </c>
      <c r="O51" s="170">
        <f>('Pivot Table for Data Exchange'!$C$324)*100</f>
        <v>0</v>
      </c>
      <c r="P51" s="175">
        <f>('Pivot Table for Data Exchange'!$C$327)*100</f>
        <v>2.8672160394189111E-2</v>
      </c>
      <c r="Q51" s="168">
        <f t="shared" si="3"/>
        <v>100</v>
      </c>
      <c r="R51" s="168">
        <f t="shared" si="2"/>
        <v>100.00000000000001</v>
      </c>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row>
    <row r="52" spans="1:41" ht="15.75" customHeight="1">
      <c r="A52" s="134" t="s">
        <v>627</v>
      </c>
      <c r="B52" s="163">
        <f>('Pivot Table for Data Exchange'!$C$330)*100</f>
        <v>48.036893919795645</v>
      </c>
      <c r="C52" s="163">
        <f>('Pivot Table for Data Exchange'!$C$333)*100</f>
        <v>0.34991373357424105</v>
      </c>
      <c r="D52" s="164">
        <f t="shared" si="8"/>
        <v>51.613192346630107</v>
      </c>
      <c r="E52" s="163">
        <f>('Pivot Table for Data Exchange'!$C$336)*100</f>
        <v>51.610422043465242</v>
      </c>
      <c r="F52" s="175">
        <f>('Pivot Table for Data Exchange'!$C$339)*100</f>
        <v>2.7703031648676668E-3</v>
      </c>
      <c r="G52" s="170">
        <f>('Pivot Table for Data Exchange'!$C$342)*100</f>
        <v>0</v>
      </c>
      <c r="H52" s="163">
        <f>('Pivot Table for Data Exchange'!$C$345)*100</f>
        <v>0</v>
      </c>
      <c r="I52" s="169" t="s">
        <v>627</v>
      </c>
      <c r="J52" s="163">
        <f>('Pivot Table for Data Exchange'!$C$348)*100</f>
        <v>52.042528724430625</v>
      </c>
      <c r="K52" s="163">
        <f>('Pivot Table for Data Exchange'!$C$351)*100</f>
        <v>1.5308001910089364</v>
      </c>
      <c r="L52" s="164">
        <f t="shared" si="9"/>
        <v>46.426671084560432</v>
      </c>
      <c r="M52" s="163">
        <f>('Pivot Table for Data Exchange'!$C$354)*100</f>
        <v>46.414391938643249</v>
      </c>
      <c r="N52" s="172">
        <f>('Pivot Table for Data Exchange'!$C$357)*100</f>
        <v>1.2279145917183982E-2</v>
      </c>
      <c r="O52" s="171">
        <f>('Pivot Table for Data Exchange'!$C$360)*100</f>
        <v>0</v>
      </c>
      <c r="P52" s="163">
        <f>('Pivot Table for Data Exchange'!$C$363)*100</f>
        <v>0</v>
      </c>
      <c r="Q52" s="168">
        <f t="shared" si="3"/>
        <v>100</v>
      </c>
      <c r="R52" s="168">
        <f t="shared" si="2"/>
        <v>100</v>
      </c>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row>
    <row r="53" spans="1:41" ht="15.75" customHeight="1">
      <c r="A53" s="134" t="s">
        <v>628</v>
      </c>
      <c r="B53" s="163">
        <f>('Pivot Table for Data Exchange'!$C$366)*100</f>
        <v>0</v>
      </c>
      <c r="C53" s="163">
        <f>('Pivot Table for Data Exchange'!$C$369)*100</f>
        <v>0</v>
      </c>
      <c r="D53" s="164">
        <f t="shared" si="8"/>
        <v>0</v>
      </c>
      <c r="E53" s="163">
        <f>('Pivot Table for Data Exchange'!$C$372)*100</f>
        <v>0</v>
      </c>
      <c r="F53" s="163">
        <f>('Pivot Table for Data Exchange'!$C$375)*100</f>
        <v>0</v>
      </c>
      <c r="G53" s="171">
        <f>('Pivot Table for Data Exchange'!$C$378)*100</f>
        <v>0</v>
      </c>
      <c r="H53" s="163">
        <f>('Pivot Table for Data Exchange'!$C$381)*100</f>
        <v>0</v>
      </c>
      <c r="I53" s="169" t="s">
        <v>628</v>
      </c>
      <c r="J53" s="163">
        <f>('Pivot Table for Data Exchange'!$C$384)*100</f>
        <v>0</v>
      </c>
      <c r="K53" s="163">
        <f>('Pivot Table for Data Exchange'!$C$387)*100</f>
        <v>0</v>
      </c>
      <c r="L53" s="164">
        <f t="shared" si="9"/>
        <v>0</v>
      </c>
      <c r="M53" s="163">
        <f>('Pivot Table for Data Exchange'!$C$390)*100</f>
        <v>0</v>
      </c>
      <c r="N53" s="163">
        <f>('Pivot Table for Data Exchange'!$C$393)*100</f>
        <v>0</v>
      </c>
      <c r="O53" s="171">
        <f>('Pivot Table for Data Exchange'!$C$396)*100</f>
        <v>0</v>
      </c>
      <c r="P53" s="163">
        <f>('Pivot Table for Data Exchange'!$C$399)*100</f>
        <v>0</v>
      </c>
      <c r="Q53" s="168">
        <f t="shared" si="3"/>
        <v>0</v>
      </c>
      <c r="R53" s="168">
        <f t="shared" si="2"/>
        <v>0</v>
      </c>
      <c r="S53" s="169"/>
      <c r="T53" s="143"/>
      <c r="U53" s="169"/>
      <c r="V53" s="169"/>
      <c r="W53" s="169"/>
      <c r="X53" s="169"/>
      <c r="Y53" s="169"/>
      <c r="Z53" s="169"/>
      <c r="AA53" s="169"/>
      <c r="AB53" s="169"/>
      <c r="AC53" s="169"/>
      <c r="AD53" s="169"/>
      <c r="AE53" s="169"/>
      <c r="AF53" s="169"/>
      <c r="AG53" s="169"/>
      <c r="AH53" s="169"/>
      <c r="AI53" s="169"/>
      <c r="AJ53" s="169"/>
      <c r="AK53" s="169"/>
      <c r="AL53" s="169"/>
      <c r="AM53" s="169"/>
      <c r="AN53" s="169"/>
      <c r="AO53" s="169"/>
    </row>
    <row r="54" spans="1:41" ht="15.75" customHeight="1">
      <c r="A54" s="134" t="s">
        <v>629</v>
      </c>
      <c r="B54" s="163">
        <f>('Pivot Table for Data Exchange'!$C$402)*100</f>
        <v>56.016524697619765</v>
      </c>
      <c r="C54" s="163">
        <f>('Pivot Table for Data Exchange'!$C$405)*100</f>
        <v>1.2682388211608457</v>
      </c>
      <c r="D54" s="164">
        <f>SUM(E54:G54)</f>
        <v>42.715236481219392</v>
      </c>
      <c r="E54" s="163">
        <f>('Pivot Table for Data Exchange'!$C$408)*100</f>
        <v>42.713481693855748</v>
      </c>
      <c r="F54" s="163">
        <f>('Pivot Table for Data Exchange'!$C$411)*100</f>
        <v>1.7547873636412107E-3</v>
      </c>
      <c r="G54" s="171">
        <f>('Pivot Table for Data Exchange'!$C$414)*100</f>
        <v>0</v>
      </c>
      <c r="H54" s="163">
        <f>('Pivot Table for Data Exchange'!$C$417)*100</f>
        <v>0</v>
      </c>
      <c r="I54" s="169" t="s">
        <v>629</v>
      </c>
      <c r="J54" s="163">
        <f>('Pivot Table for Data Exchange'!$C$420)*100</f>
        <v>47.973456265377429</v>
      </c>
      <c r="K54" s="163">
        <f>('Pivot Table for Data Exchange'!$C$423)*100</f>
        <v>7.4766600132568879</v>
      </c>
      <c r="L54" s="164">
        <f>SUM(M54:O54)</f>
        <v>44.549883721365688</v>
      </c>
      <c r="M54" s="163">
        <f>('Pivot Table for Data Exchange'!$C$426)*100</f>
        <v>42.08762278536949</v>
      </c>
      <c r="N54" s="163">
        <f>('Pivot Table for Data Exchange'!$C$429)*100</f>
        <v>2.4622609359961953</v>
      </c>
      <c r="O54" s="171">
        <f>('Pivot Table for Data Exchange'!$C$432)*100</f>
        <v>0</v>
      </c>
      <c r="P54" s="163">
        <f>('Pivot Table for Data Exchange'!$C$435)*100</f>
        <v>0</v>
      </c>
      <c r="Q54" s="168">
        <f t="shared" si="3"/>
        <v>100</v>
      </c>
      <c r="R54" s="168">
        <f t="shared" si="2"/>
        <v>100</v>
      </c>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row>
    <row r="55" spans="1:41" ht="14.25" customHeight="1">
      <c r="B55" s="163"/>
      <c r="C55" s="163"/>
      <c r="D55" s="164"/>
      <c r="E55" s="163"/>
      <c r="F55" s="163"/>
      <c r="G55" s="171"/>
      <c r="H55" s="163"/>
      <c r="I55" s="169"/>
      <c r="J55" s="163"/>
      <c r="K55" s="163"/>
      <c r="L55" s="164"/>
      <c r="M55" s="163"/>
      <c r="N55" s="163"/>
      <c r="O55" s="171"/>
      <c r="P55" s="163"/>
      <c r="Q55" s="168">
        <f t="shared" si="3"/>
        <v>0</v>
      </c>
      <c r="R55" s="168">
        <f t="shared" si="2"/>
        <v>0</v>
      </c>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row>
    <row r="56" spans="1:41" ht="15.75" customHeight="1">
      <c r="A56" s="134" t="s">
        <v>630</v>
      </c>
      <c r="B56" s="163">
        <f>('Pivot Table for Data Exchange'!$C$438)*100</f>
        <v>75.382897343957254</v>
      </c>
      <c r="C56" s="163">
        <f>('Pivot Table for Data Exchange'!$C$441)*100</f>
        <v>1.8676191650124276</v>
      </c>
      <c r="D56" s="164">
        <f>SUM(E56:G56)</f>
        <v>22.247876472027567</v>
      </c>
      <c r="E56" s="163">
        <f>('Pivot Table for Data Exchange'!$C$444)*100</f>
        <v>19.638287342724627</v>
      </c>
      <c r="F56" s="190">
        <f>('Pivot Table for Data Exchange'!$C$447)*100</f>
        <v>0</v>
      </c>
      <c r="G56" s="171">
        <f>('Pivot Table for Data Exchange'!$C$450)*100</f>
        <v>2.6095891293029383</v>
      </c>
      <c r="H56" s="163">
        <f>('Pivot Table for Data Exchange'!$C$453)*100</f>
        <v>0.50160701900274673</v>
      </c>
      <c r="I56" s="169" t="s">
        <v>630</v>
      </c>
      <c r="J56" s="163">
        <f>('Pivot Table for Data Exchange'!$C$456)*100</f>
        <v>54.294937970294967</v>
      </c>
      <c r="K56" s="163">
        <f>('Pivot Table for Data Exchange'!$C$459)*100</f>
        <v>1.10573394358549</v>
      </c>
      <c r="L56" s="164">
        <f>SUM(M56:O56)</f>
        <v>41.746379362815588</v>
      </c>
      <c r="M56" s="163">
        <f>('Pivot Table for Data Exchange'!$C$462)*100</f>
        <v>39.084979800812739</v>
      </c>
      <c r="N56" s="163">
        <f>('Pivot Table for Data Exchange'!$C$465)*100</f>
        <v>0.17722772868045902</v>
      </c>
      <c r="O56" s="171">
        <f>('Pivot Table for Data Exchange'!$C$468)*100</f>
        <v>2.4841718333223932</v>
      </c>
      <c r="P56" s="163">
        <f>('Pivot Table for Data Exchange'!$C$471)*100</f>
        <v>2.8529487233039545</v>
      </c>
      <c r="Q56" s="168">
        <f t="shared" si="3"/>
        <v>100</v>
      </c>
      <c r="R56" s="168">
        <f t="shared" si="2"/>
        <v>100</v>
      </c>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row>
    <row r="57" spans="1:41" ht="15.75" customHeight="1">
      <c r="A57" s="134" t="s">
        <v>631</v>
      </c>
      <c r="B57" s="163">
        <f>('Pivot Table for Data Exchange'!$C$474)*100</f>
        <v>45.451672303711426</v>
      </c>
      <c r="C57" s="163">
        <f>('Pivot Table for Data Exchange'!$C$477)*100</f>
        <v>0.64897248281352726</v>
      </c>
      <c r="D57" s="164">
        <f>SUM(E57:G57)</f>
        <v>53.899355213475047</v>
      </c>
      <c r="E57" s="163">
        <f>('Pivot Table for Data Exchange'!$C$480)*100</f>
        <v>50.629769909140329</v>
      </c>
      <c r="F57" s="163">
        <f>('Pivot Table for Data Exchange'!$C$483)*100</f>
        <v>2.7935375854988664</v>
      </c>
      <c r="G57" s="171">
        <f>('Pivot Table for Data Exchange'!$C$486)*100</f>
        <v>0.47604771883584857</v>
      </c>
      <c r="H57" s="163">
        <f>('Pivot Table for Data Exchange'!$C$489)*100</f>
        <v>0</v>
      </c>
      <c r="I57" s="169" t="s">
        <v>631</v>
      </c>
      <c r="J57" s="163">
        <f>('Pivot Table for Data Exchange'!$C$492)*100</f>
        <v>50.246541267308885</v>
      </c>
      <c r="K57" s="163">
        <f>('Pivot Table for Data Exchange'!$C$495)*100</f>
        <v>1.0902162925795569</v>
      </c>
      <c r="L57" s="164">
        <f>SUM(M57:O57)</f>
        <v>48.66324244011156</v>
      </c>
      <c r="M57" s="163">
        <f>('Pivot Table for Data Exchange'!$C$498)*100</f>
        <v>46.298303515972286</v>
      </c>
      <c r="N57" s="163">
        <f>('Pivot Table for Data Exchange'!$C$501)*100</f>
        <v>1.8426276625543474</v>
      </c>
      <c r="O57" s="171">
        <f>('Pivot Table for Data Exchange'!$C$504)*100</f>
        <v>0.52231126158492769</v>
      </c>
      <c r="P57" s="163">
        <f>('Pivot Table for Data Exchange'!$C$507)*100</f>
        <v>0</v>
      </c>
      <c r="Q57" s="168">
        <f t="shared" si="3"/>
        <v>100</v>
      </c>
      <c r="R57" s="168">
        <f t="shared" si="2"/>
        <v>100</v>
      </c>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row>
    <row r="58" spans="1:41" ht="15.75" customHeight="1">
      <c r="A58" s="134" t="s">
        <v>632</v>
      </c>
      <c r="B58" s="163">
        <f>('Pivot Table for Data Exchange'!$C$510)*100</f>
        <v>54.887822444914903</v>
      </c>
      <c r="C58" s="163">
        <f>('Pivot Table for Data Exchange'!$C$513)*100</f>
        <v>1.0278120041859367</v>
      </c>
      <c r="D58" s="164">
        <f t="shared" ref="D58" si="10">SUM(E58:G58)</f>
        <v>44.08436555089915</v>
      </c>
      <c r="E58" s="163">
        <f>('Pivot Table for Data Exchange'!$C$516)*100</f>
        <v>27.633857740848082</v>
      </c>
      <c r="F58" s="163">
        <f>('Pivot Table for Data Exchange'!$C$519)*100</f>
        <v>16.450357106688333</v>
      </c>
      <c r="G58" s="171">
        <f>('Pivot Table for Data Exchange'!$C$522)*100</f>
        <v>1.5070336273455471E-4</v>
      </c>
      <c r="H58" s="163">
        <f>('Pivot Table for Data Exchange'!$C$525)*100</f>
        <v>0</v>
      </c>
      <c r="I58" s="169" t="s">
        <v>632</v>
      </c>
      <c r="J58" s="163">
        <f>('Pivot Table for Data Exchange'!$C$528)*100</f>
        <v>56.913535332776974</v>
      </c>
      <c r="K58" s="163">
        <f>('Pivot Table for Data Exchange'!$C$531)*100</f>
        <v>4.2576930073163588</v>
      </c>
      <c r="L58" s="164">
        <f t="shared" ref="L58" si="11">SUM(M58:O58)</f>
        <v>38.828771659906657</v>
      </c>
      <c r="M58" s="163">
        <f>('Pivot Table for Data Exchange'!$C$534)*100</f>
        <v>24.287908221287562</v>
      </c>
      <c r="N58" s="163">
        <f>('Pivot Table for Data Exchange'!$C$537)*100</f>
        <v>14.279951733417388</v>
      </c>
      <c r="O58" s="171">
        <f>('Pivot Table for Data Exchange'!$C$540)*100</f>
        <v>0.2609117052017102</v>
      </c>
      <c r="P58" s="163">
        <f>('Pivot Table for Data Exchange'!$C$543)*100</f>
        <v>0</v>
      </c>
      <c r="Q58" s="168">
        <f t="shared" si="3"/>
        <v>100</v>
      </c>
      <c r="R58" s="168">
        <f t="shared" si="2"/>
        <v>100</v>
      </c>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row>
    <row r="59" spans="1:41" ht="15.75" customHeight="1">
      <c r="A59" s="140" t="s">
        <v>633</v>
      </c>
      <c r="B59" s="176">
        <f>('Pivot Table for Data Exchange'!$C$546)*100</f>
        <v>54.967438271347177</v>
      </c>
      <c r="C59" s="176">
        <f>('Pivot Table for Data Exchange'!$C$549)*100</f>
        <v>1.5809015732183751</v>
      </c>
      <c r="D59" s="177">
        <f>SUM(E59:G59)</f>
        <v>43.451660155434439</v>
      </c>
      <c r="E59" s="176">
        <f>('Pivot Table for Data Exchange'!$C$552)*100</f>
        <v>43.312861507009245</v>
      </c>
      <c r="F59" s="191">
        <f>('Pivot Table for Data Exchange'!$C$555)*100</f>
        <v>0</v>
      </c>
      <c r="G59" s="178">
        <f>('Pivot Table for Data Exchange'!$C$558)*100</f>
        <v>0.13879864842519488</v>
      </c>
      <c r="H59" s="176">
        <f>('Pivot Table for Data Exchange'!$C$561)*100</f>
        <v>0</v>
      </c>
      <c r="I59" s="179" t="s">
        <v>633</v>
      </c>
      <c r="J59" s="176">
        <f>('Pivot Table for Data Exchange'!$C$564)*100</f>
        <v>57.700773181330774</v>
      </c>
      <c r="K59" s="176">
        <f>('Pivot Table for Data Exchange'!$C$567)*100</f>
        <v>1.3691517579998873</v>
      </c>
      <c r="L59" s="177">
        <f>SUM(M59:O59)</f>
        <v>40.930075060669338</v>
      </c>
      <c r="M59" s="176">
        <f>('Pivot Table for Data Exchange'!$C$570)*100</f>
        <v>40.027089564873862</v>
      </c>
      <c r="N59" s="176">
        <f>('Pivot Table for Data Exchange'!$C$573)*100</f>
        <v>2.3703369264631187E-2</v>
      </c>
      <c r="O59" s="178">
        <f>('Pivot Table for Data Exchange'!$C$576)*100</f>
        <v>0.87928212653084259</v>
      </c>
      <c r="P59" s="176">
        <f>('Pivot Table for Data Exchange'!$C$579)*100</f>
        <v>0</v>
      </c>
      <c r="Q59" s="168">
        <f t="shared" si="3"/>
        <v>100</v>
      </c>
      <c r="R59" s="168">
        <f t="shared" si="2"/>
        <v>100</v>
      </c>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row>
    <row r="60" spans="1:41" s="181" customFormat="1" ht="13.5" customHeight="1">
      <c r="A60" s="182" t="s">
        <v>658</v>
      </c>
      <c r="B60" s="183"/>
      <c r="C60" s="183"/>
      <c r="D60" s="184"/>
      <c r="E60" s="183"/>
      <c r="F60" s="184"/>
      <c r="G60" s="184"/>
      <c r="H60" s="183"/>
      <c r="I60" s="182" t="s">
        <v>658</v>
      </c>
      <c r="J60" s="183"/>
      <c r="K60" s="183"/>
      <c r="L60" s="184"/>
      <c r="M60" s="183"/>
      <c r="N60" s="184"/>
      <c r="O60" s="184"/>
      <c r="P60" s="183"/>
      <c r="Q60" s="168"/>
      <c r="R60" s="168"/>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row>
    <row r="61" spans="1:41" s="181" customFormat="1" ht="24" customHeight="1">
      <c r="A61" s="633" t="s">
        <v>659</v>
      </c>
      <c r="B61" s="650"/>
      <c r="C61" s="650"/>
      <c r="D61" s="650"/>
      <c r="E61" s="650"/>
      <c r="F61" s="650"/>
      <c r="G61" s="650"/>
      <c r="H61" s="650"/>
      <c r="I61" s="633" t="s">
        <v>659</v>
      </c>
      <c r="J61" s="650"/>
      <c r="K61" s="650"/>
      <c r="L61" s="650"/>
      <c r="M61" s="650"/>
      <c r="N61" s="650"/>
      <c r="O61" s="650"/>
      <c r="P61" s="650"/>
      <c r="Q61" s="168"/>
      <c r="R61" s="168"/>
    </row>
    <row r="62" spans="1:41" s="181" customFormat="1" ht="13.5" customHeight="1">
      <c r="A62" s="192"/>
      <c r="B62" s="193"/>
      <c r="I62" s="192"/>
      <c r="P62" s="194"/>
      <c r="Q62" s="168"/>
      <c r="R62" s="168"/>
    </row>
    <row r="63" spans="1:41" s="181" customFormat="1" ht="13.5" customHeight="1">
      <c r="H63" s="187" t="s">
        <v>992</v>
      </c>
      <c r="P63" s="187" t="s">
        <v>992</v>
      </c>
      <c r="Q63" s="168"/>
      <c r="R63" s="168"/>
    </row>
    <row r="64" spans="1:41" ht="18">
      <c r="A64" s="129" t="s">
        <v>660</v>
      </c>
      <c r="B64" s="130"/>
      <c r="C64" s="130"/>
      <c r="D64" s="130"/>
      <c r="E64" s="130"/>
      <c r="F64" s="130"/>
      <c r="G64" s="130"/>
      <c r="H64" s="130"/>
      <c r="I64" s="129" t="s">
        <v>661</v>
      </c>
      <c r="J64" s="131"/>
      <c r="K64" s="131"/>
      <c r="L64" s="130"/>
      <c r="M64" s="131"/>
      <c r="N64" s="131"/>
      <c r="O64" s="131"/>
      <c r="P64" s="131"/>
      <c r="Q64" s="168"/>
      <c r="R64" s="168"/>
    </row>
    <row r="65" spans="1:41">
      <c r="A65" s="135"/>
      <c r="B65" s="131"/>
      <c r="C65" s="131"/>
      <c r="D65" s="131"/>
      <c r="E65" s="131"/>
      <c r="F65" s="131"/>
      <c r="G65" s="131"/>
      <c r="H65" s="131"/>
      <c r="I65" s="135"/>
      <c r="J65" s="131"/>
      <c r="K65" s="131"/>
      <c r="L65" s="131"/>
      <c r="M65" s="131"/>
      <c r="N65" s="131"/>
      <c r="O65" s="131"/>
      <c r="P65" s="131"/>
      <c r="Q65" s="168"/>
      <c r="R65" s="168"/>
    </row>
    <row r="66" spans="1:41" ht="15.75">
      <c r="A66" s="137" t="s">
        <v>639</v>
      </c>
      <c r="B66" s="131"/>
      <c r="C66" s="131"/>
      <c r="D66" s="131"/>
      <c r="E66" s="131"/>
      <c r="F66" s="131"/>
      <c r="G66" s="131"/>
      <c r="H66" s="131"/>
      <c r="I66" s="137" t="s">
        <v>640</v>
      </c>
      <c r="J66" s="131"/>
      <c r="K66" s="131"/>
      <c r="L66" s="131"/>
      <c r="M66" s="131"/>
      <c r="N66" s="131"/>
      <c r="O66" s="131"/>
      <c r="P66" s="131"/>
      <c r="Q66" s="168"/>
      <c r="R66" s="168"/>
    </row>
    <row r="67" spans="1:41" ht="15.75">
      <c r="A67" s="137" t="s">
        <v>865</v>
      </c>
      <c r="B67" s="131"/>
      <c r="C67" s="131"/>
      <c r="D67" s="131"/>
      <c r="E67" s="131"/>
      <c r="F67" s="131"/>
      <c r="G67" s="131"/>
      <c r="H67" s="131"/>
      <c r="I67" s="137" t="s">
        <v>865</v>
      </c>
      <c r="J67" s="131"/>
      <c r="K67" s="131"/>
      <c r="L67" s="131"/>
      <c r="M67" s="131"/>
      <c r="N67" s="131"/>
      <c r="O67" s="131"/>
      <c r="P67" s="131"/>
      <c r="Q67" s="168"/>
      <c r="R67" s="168"/>
    </row>
    <row r="68" spans="1:41">
      <c r="A68" s="140"/>
      <c r="B68" s="141"/>
      <c r="C68" s="141"/>
      <c r="D68" s="141"/>
      <c r="E68" s="141"/>
      <c r="F68" s="141"/>
      <c r="G68" s="141"/>
      <c r="H68" s="141"/>
      <c r="I68" s="142"/>
      <c r="L68" s="143"/>
      <c r="P68" s="140"/>
      <c r="Q68" s="168"/>
      <c r="R68" s="168"/>
    </row>
    <row r="69" spans="1:41" s="150" customFormat="1">
      <c r="A69" s="145"/>
      <c r="B69" s="146" t="s">
        <v>641</v>
      </c>
      <c r="C69" s="146"/>
      <c r="D69" s="146"/>
      <c r="E69" s="146"/>
      <c r="F69" s="146"/>
      <c r="G69" s="146"/>
      <c r="H69" s="147"/>
      <c r="I69" s="145"/>
      <c r="J69" s="146" t="s">
        <v>641</v>
      </c>
      <c r="K69" s="146"/>
      <c r="L69" s="146"/>
      <c r="M69" s="146"/>
      <c r="N69" s="146"/>
      <c r="O69" s="146"/>
      <c r="P69" s="147"/>
      <c r="Q69" s="168"/>
      <c r="R69" s="168"/>
    </row>
    <row r="70" spans="1:41" s="150" customFormat="1">
      <c r="A70" s="145"/>
      <c r="B70" s="146" t="s">
        <v>642</v>
      </c>
      <c r="C70" s="146"/>
      <c r="D70" s="639" t="s">
        <v>643</v>
      </c>
      <c r="E70" s="637"/>
      <c r="F70" s="637"/>
      <c r="G70" s="637"/>
      <c r="H70" s="153" t="s">
        <v>533</v>
      </c>
      <c r="I70" s="145"/>
      <c r="J70" s="146" t="s">
        <v>642</v>
      </c>
      <c r="K70" s="146"/>
      <c r="L70" s="639" t="s">
        <v>643</v>
      </c>
      <c r="M70" s="637"/>
      <c r="N70" s="637"/>
      <c r="O70" s="637"/>
      <c r="P70" s="153" t="s">
        <v>533</v>
      </c>
      <c r="Q70" s="168"/>
      <c r="R70" s="168"/>
    </row>
    <row r="71" spans="1:41" s="150" customFormat="1" ht="40.5" customHeight="1">
      <c r="A71" s="145"/>
      <c r="B71" s="154" t="s">
        <v>644</v>
      </c>
      <c r="C71" s="155" t="s">
        <v>645</v>
      </c>
      <c r="D71" s="156" t="s">
        <v>646</v>
      </c>
      <c r="E71" s="157" t="s">
        <v>8</v>
      </c>
      <c r="F71" s="154" t="s">
        <v>647</v>
      </c>
      <c r="G71" s="158" t="s">
        <v>656</v>
      </c>
      <c r="H71" s="159" t="s">
        <v>649</v>
      </c>
      <c r="I71" s="145"/>
      <c r="J71" s="154" t="s">
        <v>644</v>
      </c>
      <c r="K71" s="155" t="s">
        <v>645</v>
      </c>
      <c r="L71" s="156" t="s">
        <v>646</v>
      </c>
      <c r="M71" s="157" t="s">
        <v>8</v>
      </c>
      <c r="N71" s="154" t="s">
        <v>647</v>
      </c>
      <c r="O71" s="158" t="s">
        <v>656</v>
      </c>
      <c r="P71" s="159" t="s">
        <v>649</v>
      </c>
      <c r="Q71" s="168"/>
      <c r="R71" s="168"/>
      <c r="T71" s="188"/>
    </row>
    <row r="72" spans="1:41" ht="15.75" customHeight="1">
      <c r="A72" s="189" t="s">
        <v>618</v>
      </c>
      <c r="B72" s="163">
        <f>('Pivot Table for Data Exchange'!$D$6)*100</f>
        <v>66.164897561623519</v>
      </c>
      <c r="C72" s="175">
        <f>('Pivot Table for Data Exchange'!$D$9)*100</f>
        <v>5.4456705812035815E-2</v>
      </c>
      <c r="D72" s="164">
        <f>SUM(E72:G72)</f>
        <v>33.780645732564444</v>
      </c>
      <c r="E72" s="163">
        <f>('Pivot Table for Data Exchange'!$D$12)*100</f>
        <v>33.780645732564444</v>
      </c>
      <c r="F72" s="163">
        <f>('Pivot Table for Data Exchange'!$D$15)*100</f>
        <v>0</v>
      </c>
      <c r="G72" s="167">
        <f>('Pivot Table for Data Exchange'!$D$18)*100</f>
        <v>0</v>
      </c>
      <c r="H72" s="163">
        <f>('Pivot Table for Data Exchange'!$D$21)*100</f>
        <v>0</v>
      </c>
      <c r="I72" s="166" t="s">
        <v>618</v>
      </c>
      <c r="J72" s="163">
        <f>('Pivot Table for Data Exchange'!$D$24)*100</f>
        <v>53.060654429369514</v>
      </c>
      <c r="K72" s="163">
        <f>('Pivot Table for Data Exchange'!$D$27)*100</f>
        <v>0</v>
      </c>
      <c r="L72" s="164">
        <f>SUM(M72:O72)</f>
        <v>46.939345570630486</v>
      </c>
      <c r="M72" s="163">
        <f>('Pivot Table for Data Exchange'!$D$30)*100</f>
        <v>46.939345570630486</v>
      </c>
      <c r="N72" s="163">
        <f>('Pivot Table for Data Exchange'!$D$33)*100</f>
        <v>0</v>
      </c>
      <c r="O72" s="167">
        <f>('Pivot Table for Data Exchange'!$D$36)*100</f>
        <v>0</v>
      </c>
      <c r="P72" s="163">
        <f>('Pivot Table for Data Exchange'!$D$39)*100</f>
        <v>0</v>
      </c>
      <c r="Q72" s="168">
        <f t="shared" si="3"/>
        <v>100</v>
      </c>
      <c r="R72" s="168">
        <f t="shared" si="2"/>
        <v>100</v>
      </c>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row>
    <row r="73" spans="1:41" ht="15.75" customHeight="1">
      <c r="A73" s="134" t="s">
        <v>619</v>
      </c>
      <c r="B73" s="163">
        <f>('Pivot Table for Data Exchange'!$D$42)*100</f>
        <v>47.017884505164162</v>
      </c>
      <c r="C73" s="163">
        <f>('Pivot Table for Data Exchange'!$D$45)*100</f>
        <v>7.6901032833097442</v>
      </c>
      <c r="D73" s="164">
        <f>SUM(E73:G73)</f>
        <v>45.292012211526092</v>
      </c>
      <c r="E73" s="163">
        <f>('Pivot Table for Data Exchange'!$D$48)*100</f>
        <v>45.292012211526092</v>
      </c>
      <c r="F73" s="163">
        <f>('Pivot Table for Data Exchange'!$D$51)*100</f>
        <v>0</v>
      </c>
      <c r="G73" s="171">
        <f>('Pivot Table for Data Exchange'!$D$54)*100</f>
        <v>0</v>
      </c>
      <c r="H73" s="163">
        <f>('Pivot Table for Data Exchange'!$D$57)*100</f>
        <v>0</v>
      </c>
      <c r="I73" s="169" t="s">
        <v>619</v>
      </c>
      <c r="J73" s="163">
        <f>('Pivot Table for Data Exchange'!$D$60)*100</f>
        <v>33.315995510416379</v>
      </c>
      <c r="K73" s="163">
        <f>('Pivot Table for Data Exchange'!$D$63)*100</f>
        <v>33.362533877193464</v>
      </c>
      <c r="L73" s="164">
        <f t="shared" ref="L73:L75" si="12">SUM(M73:O73)</f>
        <v>33.321470612390158</v>
      </c>
      <c r="M73" s="163">
        <f>('Pivot Table for Data Exchange'!$D$66)*100</f>
        <v>33.321470612390158</v>
      </c>
      <c r="N73" s="163">
        <f>('Pivot Table for Data Exchange'!$D$69)*100</f>
        <v>0</v>
      </c>
      <c r="O73" s="171">
        <f>('Pivot Table for Data Exchange'!$D$72)*100</f>
        <v>0</v>
      </c>
      <c r="P73" s="163">
        <f>('Pivot Table for Data Exchange'!$D$75)*100</f>
        <v>0</v>
      </c>
      <c r="Q73" s="168">
        <f t="shared" si="3"/>
        <v>100</v>
      </c>
      <c r="R73" s="168">
        <f t="shared" si="2"/>
        <v>100</v>
      </c>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row>
    <row r="74" spans="1:41" ht="15.75" customHeight="1">
      <c r="A74" s="134" t="s">
        <v>620</v>
      </c>
      <c r="B74" s="163">
        <f>('Pivot Table for Data Exchange'!$D$78)*100</f>
        <v>0</v>
      </c>
      <c r="C74" s="163">
        <f>('Pivot Table for Data Exchange'!$D$81)*100</f>
        <v>0</v>
      </c>
      <c r="D74" s="164">
        <f t="shared" ref="D73:D75" si="13">SUM(E74:G74)</f>
        <v>0</v>
      </c>
      <c r="E74" s="163">
        <f>('Pivot Table for Data Exchange'!$D$84)*100</f>
        <v>0</v>
      </c>
      <c r="F74" s="163">
        <f>('Pivot Table for Data Exchange'!$D$87)*100</f>
        <v>0</v>
      </c>
      <c r="G74" s="171">
        <f>('Pivot Table for Data Exchange'!$D$90)*100</f>
        <v>0</v>
      </c>
      <c r="H74" s="163">
        <f>('Pivot Table for Data Exchange'!$D$93)*100</f>
        <v>0</v>
      </c>
      <c r="I74" s="169" t="s">
        <v>620</v>
      </c>
      <c r="J74" s="163">
        <f>('Pivot Table for Data Exchange'!$D$96)*100</f>
        <v>0</v>
      </c>
      <c r="K74" s="163">
        <f>('Pivot Table for Data Exchange'!$D$99)*100</f>
        <v>0</v>
      </c>
      <c r="L74" s="164">
        <f t="shared" si="12"/>
        <v>0</v>
      </c>
      <c r="M74" s="163">
        <f>('Pivot Table for Data Exchange'!$D$102)*100</f>
        <v>0</v>
      </c>
      <c r="N74" s="163">
        <f>('Pivot Table for Data Exchange'!$D$105)*100</f>
        <v>0</v>
      </c>
      <c r="O74" s="171">
        <f>('Pivot Table for Data Exchange'!$D$108)*100</f>
        <v>0</v>
      </c>
      <c r="P74" s="163">
        <f>('Pivot Table for Data Exchange'!$D$111)*100</f>
        <v>0</v>
      </c>
      <c r="Q74" s="168">
        <f t="shared" si="3"/>
        <v>0</v>
      </c>
      <c r="R74" s="168">
        <f t="shared" si="2"/>
        <v>0</v>
      </c>
      <c r="S74" s="169"/>
      <c r="T74" s="143"/>
      <c r="U74" s="169"/>
      <c r="V74" s="169"/>
      <c r="W74" s="169"/>
      <c r="X74" s="169"/>
      <c r="Y74" s="169"/>
      <c r="Z74" s="169"/>
      <c r="AA74" s="169"/>
      <c r="AB74" s="169"/>
      <c r="AC74" s="169"/>
      <c r="AD74" s="169"/>
      <c r="AE74" s="169"/>
      <c r="AF74" s="169"/>
      <c r="AG74" s="169"/>
      <c r="AH74" s="169"/>
      <c r="AI74" s="169"/>
      <c r="AJ74" s="169"/>
      <c r="AK74" s="169"/>
      <c r="AL74" s="169"/>
      <c r="AM74" s="169"/>
      <c r="AN74" s="169"/>
      <c r="AO74" s="169"/>
    </row>
    <row r="75" spans="1:41" ht="15.75" customHeight="1">
      <c r="A75" s="134" t="s">
        <v>621</v>
      </c>
      <c r="B75" s="163">
        <f>('Pivot Table for Data Exchange'!$D$114)*100</f>
        <v>0</v>
      </c>
      <c r="C75" s="163">
        <f>('Pivot Table for Data Exchange'!$D$117)*100</f>
        <v>0</v>
      </c>
      <c r="D75" s="164">
        <f t="shared" si="13"/>
        <v>0</v>
      </c>
      <c r="E75" s="163">
        <f>('Pivot Table for Data Exchange'!$D$120)*100</f>
        <v>0</v>
      </c>
      <c r="F75" s="163">
        <f>('Pivot Table for Data Exchange'!$D$123)*100</f>
        <v>0</v>
      </c>
      <c r="G75" s="171">
        <f>('Pivot Table for Data Exchange'!$D$126)*100</f>
        <v>0</v>
      </c>
      <c r="H75" s="163">
        <f>('Pivot Table for Data Exchange'!$D$129)*100</f>
        <v>0</v>
      </c>
      <c r="I75" s="169" t="s">
        <v>621</v>
      </c>
      <c r="J75" s="163">
        <f>('Pivot Table for Data Exchange'!$D$132)*100</f>
        <v>0</v>
      </c>
      <c r="K75" s="163">
        <f>('Pivot Table for Data Exchange'!$D$135)*100</f>
        <v>0</v>
      </c>
      <c r="L75" s="164">
        <f t="shared" si="12"/>
        <v>0</v>
      </c>
      <c r="M75" s="163">
        <f>('Pivot Table for Data Exchange'!$D$138)*100</f>
        <v>0</v>
      </c>
      <c r="N75" s="163">
        <f>('Pivot Table for Data Exchange'!$D$141)*100</f>
        <v>0</v>
      </c>
      <c r="O75" s="171">
        <f>('Pivot Table for Data Exchange'!$D$144)*100</f>
        <v>0</v>
      </c>
      <c r="P75" s="163">
        <f>('Pivot Table for Data Exchange'!$D$147)*100</f>
        <v>0</v>
      </c>
      <c r="Q75" s="168">
        <f t="shared" ref="Q75:Q138" si="14">SUM(B75,C75,D75,H75)</f>
        <v>0</v>
      </c>
      <c r="R75" s="168">
        <f t="shared" ref="R75:R138" si="15">SUM(J75,K75,L75,P75)</f>
        <v>0</v>
      </c>
      <c r="S75" s="169"/>
      <c r="U75" s="169"/>
      <c r="V75" s="169"/>
      <c r="W75" s="169"/>
      <c r="X75" s="169"/>
      <c r="Y75" s="169"/>
      <c r="Z75" s="169"/>
      <c r="AA75" s="169"/>
      <c r="AB75" s="169"/>
      <c r="AC75" s="169"/>
      <c r="AD75" s="169"/>
      <c r="AE75" s="169"/>
      <c r="AF75" s="169"/>
      <c r="AG75" s="169"/>
      <c r="AH75" s="169"/>
      <c r="AI75" s="169"/>
      <c r="AJ75" s="169"/>
      <c r="AK75" s="169"/>
      <c r="AL75" s="169"/>
      <c r="AM75" s="169"/>
      <c r="AN75" s="169"/>
      <c r="AO75" s="169"/>
    </row>
    <row r="76" spans="1:41" ht="9" customHeight="1">
      <c r="B76" s="163"/>
      <c r="C76" s="163"/>
      <c r="D76" s="164"/>
      <c r="E76" s="163"/>
      <c r="F76" s="163"/>
      <c r="G76" s="171"/>
      <c r="H76" s="163"/>
      <c r="I76" s="169"/>
      <c r="J76" s="163"/>
      <c r="K76" s="163"/>
      <c r="L76" s="164"/>
      <c r="M76" s="163"/>
      <c r="N76" s="163"/>
      <c r="O76" s="171"/>
      <c r="P76" s="163"/>
      <c r="Q76" s="168">
        <f t="shared" si="14"/>
        <v>0</v>
      </c>
      <c r="R76" s="168">
        <f t="shared" si="15"/>
        <v>0</v>
      </c>
      <c r="S76" s="169"/>
      <c r="U76" s="169"/>
      <c r="V76" s="169"/>
      <c r="W76" s="169"/>
      <c r="X76" s="169"/>
      <c r="Y76" s="169"/>
      <c r="Z76" s="169"/>
      <c r="AA76" s="169"/>
      <c r="AB76" s="169"/>
      <c r="AC76" s="169"/>
      <c r="AD76" s="169"/>
      <c r="AE76" s="169"/>
      <c r="AF76" s="169"/>
      <c r="AG76" s="169"/>
      <c r="AH76" s="169"/>
      <c r="AI76" s="169"/>
      <c r="AJ76" s="169"/>
      <c r="AK76" s="169"/>
      <c r="AL76" s="169"/>
      <c r="AM76" s="169"/>
      <c r="AN76" s="169"/>
      <c r="AO76" s="169"/>
    </row>
    <row r="77" spans="1:41" ht="15.75" customHeight="1">
      <c r="A77" s="134" t="s">
        <v>622</v>
      </c>
      <c r="B77" s="163">
        <f>('Pivot Table for Data Exchange'!$D$150)*100</f>
        <v>42.303874243451311</v>
      </c>
      <c r="C77" s="163">
        <f>('Pivot Table for Data Exchange'!$D$153)*100</f>
        <v>0.74485968493016286</v>
      </c>
      <c r="D77" s="164">
        <f t="shared" ref="D77:D80" si="16">SUM(E77:G77)</f>
        <v>56.951266071618534</v>
      </c>
      <c r="E77" s="163">
        <f>('Pivot Table for Data Exchange'!$D$156)*100</f>
        <v>56.951266071618534</v>
      </c>
      <c r="F77" s="163">
        <f>('Pivot Table for Data Exchange'!$D$159)*100</f>
        <v>0</v>
      </c>
      <c r="G77" s="171">
        <f>('Pivot Table for Data Exchange'!$D$162)*100</f>
        <v>0</v>
      </c>
      <c r="H77" s="163">
        <f>('Pivot Table for Data Exchange'!$D$165)*100</f>
        <v>0</v>
      </c>
      <c r="I77" s="169" t="s">
        <v>622</v>
      </c>
      <c r="J77" s="163">
        <f>('Pivot Table for Data Exchange'!$D$168)*100</f>
        <v>38.817247419851839</v>
      </c>
      <c r="K77" s="163">
        <f>('Pivot Table for Data Exchange'!$D$171)*100</f>
        <v>0.76302613234145733</v>
      </c>
      <c r="L77" s="164">
        <f t="shared" ref="L77:L80" si="17">SUM(M77:O77)</f>
        <v>60.419726447806696</v>
      </c>
      <c r="M77" s="163">
        <f>('Pivot Table for Data Exchange'!$D$174)*100</f>
        <v>60.419726447806696</v>
      </c>
      <c r="N77" s="163">
        <f>('Pivot Table for Data Exchange'!$D$177)*100</f>
        <v>0</v>
      </c>
      <c r="O77" s="171">
        <f>('Pivot Table for Data Exchange'!$D$180)*100</f>
        <v>0</v>
      </c>
      <c r="P77" s="163">
        <f>('Pivot Table for Data Exchange'!$D$183)*100</f>
        <v>0</v>
      </c>
      <c r="Q77" s="168">
        <f t="shared" si="14"/>
        <v>100</v>
      </c>
      <c r="R77" s="168">
        <f t="shared" si="15"/>
        <v>100</v>
      </c>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row>
    <row r="78" spans="1:41" ht="15.75" customHeight="1">
      <c r="A78" s="134" t="s">
        <v>623</v>
      </c>
      <c r="B78" s="163">
        <f>('Pivot Table for Data Exchange'!$D$186)*100</f>
        <v>0</v>
      </c>
      <c r="C78" s="163">
        <f>('Pivot Table for Data Exchange'!$D$189)*100</f>
        <v>0</v>
      </c>
      <c r="D78" s="164">
        <f t="shared" si="16"/>
        <v>0</v>
      </c>
      <c r="E78" s="163">
        <f>('Pivot Table for Data Exchange'!$D$192)*100</f>
        <v>0</v>
      </c>
      <c r="F78" s="163">
        <f>('Pivot Table for Data Exchange'!$D$195)*100</f>
        <v>0</v>
      </c>
      <c r="G78" s="171">
        <f>('Pivot Table for Data Exchange'!$D$198)*100</f>
        <v>0</v>
      </c>
      <c r="H78" s="163">
        <f>('Pivot Table for Data Exchange'!$D$201)*100</f>
        <v>0</v>
      </c>
      <c r="I78" s="169" t="s">
        <v>623</v>
      </c>
      <c r="J78" s="163">
        <f>('Pivot Table for Data Exchange'!$D$204)*100</f>
        <v>0</v>
      </c>
      <c r="K78" s="163">
        <f>('Pivot Table for Data Exchange'!$D$207)*100</f>
        <v>0</v>
      </c>
      <c r="L78" s="164">
        <f t="shared" si="17"/>
        <v>0</v>
      </c>
      <c r="M78" s="163">
        <f>('Pivot Table for Data Exchange'!$D$210)*100</f>
        <v>0</v>
      </c>
      <c r="N78" s="163">
        <f>('Pivot Table for Data Exchange'!$D$213)*100</f>
        <v>0</v>
      </c>
      <c r="O78" s="171">
        <f>('Pivot Table for Data Exchange'!$D$216)*100</f>
        <v>0</v>
      </c>
      <c r="P78" s="163">
        <f>('Pivot Table for Data Exchange'!$D$219)*100</f>
        <v>0</v>
      </c>
      <c r="Q78" s="168">
        <f t="shared" si="14"/>
        <v>0</v>
      </c>
      <c r="R78" s="168">
        <f t="shared" si="15"/>
        <v>0</v>
      </c>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row>
    <row r="79" spans="1:41" ht="15.75" customHeight="1">
      <c r="A79" s="134" t="s">
        <v>624</v>
      </c>
      <c r="B79" s="163">
        <f>('Pivot Table for Data Exchange'!$D$222)*100</f>
        <v>72.036381856758965</v>
      </c>
      <c r="C79" s="163">
        <f>('Pivot Table for Data Exchange'!$D$225)*100</f>
        <v>0</v>
      </c>
      <c r="D79" s="164">
        <f t="shared" si="16"/>
        <v>27.963618143241035</v>
      </c>
      <c r="E79" s="163">
        <f>('Pivot Table for Data Exchange'!$D$228)*100</f>
        <v>27.963618143241035</v>
      </c>
      <c r="F79" s="163">
        <f>('Pivot Table for Data Exchange'!$D$231)*100</f>
        <v>0</v>
      </c>
      <c r="G79" s="171">
        <f>('Pivot Table for Data Exchange'!$D$234)*100</f>
        <v>0</v>
      </c>
      <c r="H79" s="163">
        <f>('Pivot Table for Data Exchange'!$D$237)*100</f>
        <v>0</v>
      </c>
      <c r="I79" s="169" t="s">
        <v>624</v>
      </c>
      <c r="J79" s="163">
        <f>('Pivot Table for Data Exchange'!$D$240)*100</f>
        <v>70.729974668528939</v>
      </c>
      <c r="K79" s="163">
        <f>('Pivot Table for Data Exchange'!$D$243)*100</f>
        <v>0</v>
      </c>
      <c r="L79" s="164">
        <f t="shared" si="17"/>
        <v>29.270025331471068</v>
      </c>
      <c r="M79" s="163">
        <f>('Pivot Table for Data Exchange'!$D$246)*100</f>
        <v>29.270025331471068</v>
      </c>
      <c r="N79" s="163">
        <f>('Pivot Table for Data Exchange'!$D$249)*100</f>
        <v>0</v>
      </c>
      <c r="O79" s="171">
        <f>('Pivot Table for Data Exchange'!$D$252)*100</f>
        <v>0</v>
      </c>
      <c r="P79" s="163">
        <f>('Pivot Table for Data Exchange'!$D$255)*100</f>
        <v>0</v>
      </c>
      <c r="Q79" s="168">
        <f t="shared" si="14"/>
        <v>100</v>
      </c>
      <c r="R79" s="168">
        <f t="shared" si="15"/>
        <v>100</v>
      </c>
      <c r="S79" s="169"/>
      <c r="T79" s="143"/>
      <c r="U79" s="169"/>
      <c r="V79" s="169"/>
      <c r="W79" s="169"/>
      <c r="X79" s="169"/>
      <c r="Y79" s="169"/>
      <c r="Z79" s="169"/>
      <c r="AA79" s="169"/>
      <c r="AB79" s="169"/>
      <c r="AC79" s="169"/>
      <c r="AD79" s="169"/>
      <c r="AE79" s="169"/>
      <c r="AF79" s="169"/>
      <c r="AG79" s="169"/>
      <c r="AH79" s="169"/>
      <c r="AI79" s="169"/>
      <c r="AJ79" s="169"/>
      <c r="AK79" s="169"/>
      <c r="AL79" s="169"/>
      <c r="AM79" s="169"/>
      <c r="AN79" s="169"/>
      <c r="AO79" s="169"/>
    </row>
    <row r="80" spans="1:41" ht="15.75" customHeight="1">
      <c r="A80" s="134" t="s">
        <v>625</v>
      </c>
      <c r="B80" s="163">
        <f>('Pivot Table for Data Exchange'!$D$258)*100</f>
        <v>53.748487599067928</v>
      </c>
      <c r="C80" s="163">
        <f>('Pivot Table for Data Exchange'!$D$261)*100</f>
        <v>0.74690694490478293</v>
      </c>
      <c r="D80" s="164">
        <f t="shared" si="16"/>
        <v>45.504605456027292</v>
      </c>
      <c r="E80" s="163">
        <f>('Pivot Table for Data Exchange'!$D$264)*100</f>
        <v>45.504605456027292</v>
      </c>
      <c r="F80" s="163">
        <f>('Pivot Table for Data Exchange'!$D$267)*100</f>
        <v>0</v>
      </c>
      <c r="G80" s="171">
        <f>('Pivot Table for Data Exchange'!$D$270)*100</f>
        <v>0</v>
      </c>
      <c r="H80" s="163">
        <f>('Pivot Table for Data Exchange'!$D$273)*100</f>
        <v>0</v>
      </c>
      <c r="I80" s="169" t="s">
        <v>625</v>
      </c>
      <c r="J80" s="163">
        <f>('Pivot Table for Data Exchange'!$D$276)*100</f>
        <v>49.937276850332921</v>
      </c>
      <c r="K80" s="163">
        <f>('Pivot Table for Data Exchange'!$D$279)*100</f>
        <v>1.6854836115667922</v>
      </c>
      <c r="L80" s="164">
        <f t="shared" si="17"/>
        <v>48.377239538100291</v>
      </c>
      <c r="M80" s="163">
        <f>('Pivot Table for Data Exchange'!$D$282)*100</f>
        <v>48.377239538100291</v>
      </c>
      <c r="N80" s="163">
        <f>('Pivot Table for Data Exchange'!$D$285)*100</f>
        <v>0</v>
      </c>
      <c r="O80" s="171">
        <f>('Pivot Table for Data Exchange'!$D$288)*100</f>
        <v>0</v>
      </c>
      <c r="P80" s="163">
        <f>('Pivot Table for Data Exchange'!$D$291)*100</f>
        <v>0</v>
      </c>
      <c r="Q80" s="168">
        <f t="shared" si="14"/>
        <v>100</v>
      </c>
      <c r="R80" s="168">
        <f t="shared" si="15"/>
        <v>100</v>
      </c>
      <c r="S80" s="169"/>
      <c r="U80" s="169"/>
      <c r="V80" s="169"/>
      <c r="W80" s="169"/>
      <c r="X80" s="169"/>
      <c r="Y80" s="169"/>
      <c r="Z80" s="169"/>
      <c r="AA80" s="169"/>
      <c r="AB80" s="169"/>
      <c r="AC80" s="169"/>
      <c r="AD80" s="169"/>
      <c r="AE80" s="169"/>
      <c r="AF80" s="169"/>
      <c r="AG80" s="169"/>
      <c r="AH80" s="169"/>
      <c r="AI80" s="169"/>
      <c r="AJ80" s="169"/>
      <c r="AK80" s="169"/>
      <c r="AL80" s="169"/>
      <c r="AM80" s="169"/>
      <c r="AN80" s="169"/>
      <c r="AO80" s="169"/>
    </row>
    <row r="81" spans="1:41" ht="8.25" customHeight="1">
      <c r="B81" s="163"/>
      <c r="C81" s="163"/>
      <c r="D81" s="164"/>
      <c r="E81" s="163"/>
      <c r="F81" s="163"/>
      <c r="G81" s="171"/>
      <c r="H81" s="163"/>
      <c r="I81" s="169"/>
      <c r="J81" s="163"/>
      <c r="K81" s="163"/>
      <c r="L81" s="164"/>
      <c r="M81" s="163"/>
      <c r="N81" s="163"/>
      <c r="O81" s="171"/>
      <c r="P81" s="163"/>
      <c r="Q81" s="168">
        <f t="shared" si="14"/>
        <v>0</v>
      </c>
      <c r="R81" s="168">
        <f t="shared" si="15"/>
        <v>0</v>
      </c>
      <c r="S81" s="169"/>
      <c r="U81" s="169"/>
      <c r="V81" s="169"/>
      <c r="W81" s="169"/>
      <c r="X81" s="169"/>
      <c r="Y81" s="169"/>
      <c r="Z81" s="169"/>
      <c r="AA81" s="169"/>
      <c r="AB81" s="169"/>
      <c r="AC81" s="169"/>
      <c r="AD81" s="169"/>
      <c r="AE81" s="169"/>
      <c r="AF81" s="169"/>
      <c r="AG81" s="169"/>
      <c r="AH81" s="169"/>
      <c r="AI81" s="169"/>
      <c r="AJ81" s="169"/>
      <c r="AK81" s="169"/>
      <c r="AL81" s="169"/>
      <c r="AM81" s="169"/>
      <c r="AN81" s="169"/>
      <c r="AO81" s="169"/>
    </row>
    <row r="82" spans="1:41" ht="15.75" customHeight="1">
      <c r="A82" s="134" t="s">
        <v>626</v>
      </c>
      <c r="B82" s="163">
        <f>('Pivot Table for Data Exchange'!$D$294)*100</f>
        <v>35.596442623508466</v>
      </c>
      <c r="C82" s="163">
        <f>('Pivot Table for Data Exchange'!$D$297)*100</f>
        <v>0.7884283214338359</v>
      </c>
      <c r="D82" s="164">
        <f t="shared" ref="D82:D84" si="18">SUM(E82:G82)</f>
        <v>63.615129055057693</v>
      </c>
      <c r="E82" s="163">
        <f>('Pivot Table for Data Exchange'!$D$300)*100</f>
        <v>63.615129055057693</v>
      </c>
      <c r="F82" s="163">
        <f>('Pivot Table for Data Exchange'!$D$303)*100</f>
        <v>0</v>
      </c>
      <c r="G82" s="171">
        <f>('Pivot Table for Data Exchange'!$D$306)*100</f>
        <v>0</v>
      </c>
      <c r="H82" s="163">
        <f>('Pivot Table for Data Exchange'!$D$309)*100</f>
        <v>0</v>
      </c>
      <c r="I82" s="169" t="s">
        <v>626</v>
      </c>
      <c r="J82" s="163">
        <f>('Pivot Table for Data Exchange'!$D$312)*100</f>
        <v>21.679438058748403</v>
      </c>
      <c r="K82" s="163">
        <f>('Pivot Table for Data Exchange'!$D$315)*100</f>
        <v>8.4784627888076169</v>
      </c>
      <c r="L82" s="164">
        <f t="shared" ref="L82:L84" si="19">SUM(M82:O82)</f>
        <v>69.842099152443978</v>
      </c>
      <c r="M82" s="163">
        <f>('Pivot Table for Data Exchange'!$D$318)*100</f>
        <v>69.842099152443978</v>
      </c>
      <c r="N82" s="163">
        <f>('Pivot Table for Data Exchange'!$D$321)*100</f>
        <v>0</v>
      </c>
      <c r="O82" s="171">
        <f>('Pivot Table for Data Exchange'!$D$324)*100</f>
        <v>0</v>
      </c>
      <c r="P82" s="172">
        <f>('Pivot Table for Data Exchange'!$D$327)*100</f>
        <v>0</v>
      </c>
      <c r="Q82" s="168">
        <f t="shared" si="14"/>
        <v>100</v>
      </c>
      <c r="R82" s="168">
        <f t="shared" si="15"/>
        <v>100</v>
      </c>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row>
    <row r="83" spans="1:41" ht="15.75" customHeight="1">
      <c r="A83" s="134" t="s">
        <v>627</v>
      </c>
      <c r="B83" s="163">
        <f>('Pivot Table for Data Exchange'!$D$330)*100</f>
        <v>50.219066736835252</v>
      </c>
      <c r="C83" s="163">
        <f>('Pivot Table for Data Exchange'!$D$333)*100</f>
        <v>0.23949755933079342</v>
      </c>
      <c r="D83" s="164">
        <f t="shared" si="18"/>
        <v>49.541435703833955</v>
      </c>
      <c r="E83" s="163">
        <f>('Pivot Table for Data Exchange'!$D$336)*100</f>
        <v>49.491540378973376</v>
      </c>
      <c r="F83" s="175">
        <f>('Pivot Table for Data Exchange'!$D$339)*100</f>
        <v>4.9895324860581951E-2</v>
      </c>
      <c r="G83" s="171">
        <f>('Pivot Table for Data Exchange'!$D$342)*100</f>
        <v>0</v>
      </c>
      <c r="H83" s="163">
        <f>('Pivot Table for Data Exchange'!$D$345)*100</f>
        <v>0</v>
      </c>
      <c r="I83" s="169" t="s">
        <v>627</v>
      </c>
      <c r="J83" s="163">
        <f>('Pivot Table for Data Exchange'!$D$348)*100</f>
        <v>30.595199972304204</v>
      </c>
      <c r="K83" s="163">
        <f>('Pivot Table for Data Exchange'!$D$351)*100</f>
        <v>0.92434720142633342</v>
      </c>
      <c r="L83" s="164">
        <f t="shared" si="19"/>
        <v>68.480452826269456</v>
      </c>
      <c r="M83" s="163">
        <f>('Pivot Table for Data Exchange'!$D$354)*100</f>
        <v>68.430254195480387</v>
      </c>
      <c r="N83" s="175">
        <f>('Pivot Table for Data Exchange'!$D$357)*100</f>
        <v>5.0198630789070553E-2</v>
      </c>
      <c r="O83" s="171">
        <f>('Pivot Table for Data Exchange'!$D$360)*100</f>
        <v>0</v>
      </c>
      <c r="P83" s="163">
        <f>('Pivot Table for Data Exchange'!$D$363)*100</f>
        <v>0</v>
      </c>
      <c r="Q83" s="168">
        <f t="shared" si="14"/>
        <v>100</v>
      </c>
      <c r="R83" s="168">
        <f t="shared" si="15"/>
        <v>100</v>
      </c>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row>
    <row r="84" spans="1:41" ht="15.75" customHeight="1">
      <c r="A84" s="134" t="s">
        <v>628</v>
      </c>
      <c r="B84" s="163">
        <f>('Pivot Table for Data Exchange'!$D$366)*100</f>
        <v>0</v>
      </c>
      <c r="C84" s="163">
        <f>('Pivot Table for Data Exchange'!$D$369)*100</f>
        <v>0</v>
      </c>
      <c r="D84" s="164">
        <f t="shared" si="18"/>
        <v>0</v>
      </c>
      <c r="E84" s="163">
        <f>('Pivot Table for Data Exchange'!$D$372)*100</f>
        <v>0</v>
      </c>
      <c r="F84" s="163">
        <f>('Pivot Table for Data Exchange'!$D$375)*100</f>
        <v>0</v>
      </c>
      <c r="G84" s="171">
        <f>('Pivot Table for Data Exchange'!$D$378)*100</f>
        <v>0</v>
      </c>
      <c r="H84" s="163">
        <f>('Pivot Table for Data Exchange'!$D$381)*100</f>
        <v>0</v>
      </c>
      <c r="I84" s="169" t="s">
        <v>628</v>
      </c>
      <c r="J84" s="163">
        <f>('Pivot Table for Data Exchange'!$D$384)*100</f>
        <v>0</v>
      </c>
      <c r="K84" s="163">
        <f>('Pivot Table for Data Exchange'!$D$387)*100</f>
        <v>0</v>
      </c>
      <c r="L84" s="164">
        <f t="shared" si="19"/>
        <v>0</v>
      </c>
      <c r="M84" s="163">
        <f>('Pivot Table for Data Exchange'!$D$390)*100</f>
        <v>0</v>
      </c>
      <c r="N84" s="163">
        <f>('Pivot Table for Data Exchange'!$D$393)*100</f>
        <v>0</v>
      </c>
      <c r="O84" s="171">
        <f>('Pivot Table for Data Exchange'!$D$396)*100</f>
        <v>0</v>
      </c>
      <c r="P84" s="163">
        <f>('Pivot Table for Data Exchange'!$D$399)*100</f>
        <v>0</v>
      </c>
      <c r="Q84" s="168">
        <f t="shared" si="14"/>
        <v>0</v>
      </c>
      <c r="R84" s="168">
        <f t="shared" si="15"/>
        <v>0</v>
      </c>
      <c r="S84" s="169"/>
      <c r="T84" s="143"/>
      <c r="U84" s="169"/>
      <c r="V84" s="169"/>
      <c r="W84" s="169"/>
      <c r="X84" s="169"/>
      <c r="Y84" s="169"/>
      <c r="Z84" s="169"/>
      <c r="AA84" s="169"/>
      <c r="AB84" s="169"/>
      <c r="AC84" s="169"/>
      <c r="AD84" s="169"/>
      <c r="AE84" s="169"/>
      <c r="AF84" s="169"/>
      <c r="AG84" s="169"/>
      <c r="AH84" s="169"/>
      <c r="AI84" s="169"/>
      <c r="AJ84" s="169"/>
      <c r="AK84" s="169"/>
      <c r="AL84" s="169"/>
      <c r="AM84" s="169"/>
      <c r="AN84" s="169"/>
      <c r="AO84" s="169"/>
    </row>
    <row r="85" spans="1:41" ht="15.75" customHeight="1">
      <c r="A85" s="134" t="s">
        <v>629</v>
      </c>
      <c r="B85" s="163">
        <f>('Pivot Table for Data Exchange'!$D$402)*100</f>
        <v>0</v>
      </c>
      <c r="C85" s="163">
        <f>('Pivot Table for Data Exchange'!$D$405)*100</f>
        <v>0</v>
      </c>
      <c r="D85" s="164">
        <f>SUM(E85:G85)</f>
        <v>0</v>
      </c>
      <c r="E85" s="163">
        <f>('Pivot Table for Data Exchange'!$D$408)*100</f>
        <v>0</v>
      </c>
      <c r="F85" s="163">
        <f>('Pivot Table for Data Exchange'!$D$411)*100</f>
        <v>0</v>
      </c>
      <c r="G85" s="171">
        <f>('Pivot Table for Data Exchange'!$D$414)*100</f>
        <v>0</v>
      </c>
      <c r="H85" s="163">
        <f>('Pivot Table for Data Exchange'!$D$417)*100</f>
        <v>0</v>
      </c>
      <c r="I85" s="169" t="s">
        <v>629</v>
      </c>
      <c r="J85" s="163">
        <f>('Pivot Table for Data Exchange'!$D$420)*100</f>
        <v>0</v>
      </c>
      <c r="K85" s="163">
        <f>('Pivot Table for Data Exchange'!$D$423)*100</f>
        <v>0</v>
      </c>
      <c r="L85" s="164">
        <f>SUM(M85:O85)</f>
        <v>0</v>
      </c>
      <c r="M85" s="163">
        <f>('Pivot Table for Data Exchange'!$D$426)*100</f>
        <v>0</v>
      </c>
      <c r="N85" s="163">
        <f>('Pivot Table for Data Exchange'!$D$429)*100</f>
        <v>0</v>
      </c>
      <c r="O85" s="171">
        <f>('Pivot Table for Data Exchange'!$D$432)*100</f>
        <v>0</v>
      </c>
      <c r="P85" s="163">
        <f>('Pivot Table for Data Exchange'!$D$435)*100</f>
        <v>0</v>
      </c>
      <c r="Q85" s="168">
        <f t="shared" si="14"/>
        <v>0</v>
      </c>
      <c r="R85" s="168">
        <f t="shared" si="15"/>
        <v>0</v>
      </c>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row>
    <row r="86" spans="1:41" ht="8.25" customHeight="1">
      <c r="B86" s="163"/>
      <c r="C86" s="163"/>
      <c r="D86" s="164"/>
      <c r="E86" s="163"/>
      <c r="F86" s="163"/>
      <c r="G86" s="171"/>
      <c r="H86" s="163"/>
      <c r="I86" s="169"/>
      <c r="J86" s="163"/>
      <c r="K86" s="163"/>
      <c r="L86" s="164"/>
      <c r="M86" s="163"/>
      <c r="N86" s="163"/>
      <c r="O86" s="171"/>
      <c r="P86" s="163"/>
      <c r="Q86" s="168">
        <f t="shared" si="14"/>
        <v>0</v>
      </c>
      <c r="R86" s="168">
        <f t="shared" si="15"/>
        <v>0</v>
      </c>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row>
    <row r="87" spans="1:41" ht="15.75" customHeight="1">
      <c r="A87" s="134" t="s">
        <v>630</v>
      </c>
      <c r="B87" s="163">
        <f>('Pivot Table for Data Exchange'!$D$438)*100</f>
        <v>53.213890060452698</v>
      </c>
      <c r="C87" s="163">
        <f>('Pivot Table for Data Exchange'!$D$441)*100</f>
        <v>3.098664417264164</v>
      </c>
      <c r="D87" s="164">
        <f>SUM(E87:G87)</f>
        <v>43.149388443694647</v>
      </c>
      <c r="E87" s="163">
        <f>('Pivot Table for Data Exchange'!$D$444)*100</f>
        <v>38.335442148179389</v>
      </c>
      <c r="F87" s="163">
        <f>('Pivot Table for Data Exchange'!$D$447)*100</f>
        <v>0.81428370589062293</v>
      </c>
      <c r="G87" s="171">
        <f>('Pivot Table for Data Exchange'!$D$450)*100</f>
        <v>3.9996625896246307</v>
      </c>
      <c r="H87" s="163">
        <f>('Pivot Table for Data Exchange'!$D$453)*100</f>
        <v>0.53805707858849994</v>
      </c>
      <c r="I87" s="169" t="s">
        <v>630</v>
      </c>
      <c r="J87" s="163">
        <f>('Pivot Table for Data Exchange'!$D$456)*100</f>
        <v>34.479692547841807</v>
      </c>
      <c r="K87" s="163">
        <f>('Pivot Table for Data Exchange'!$D$459)*100</f>
        <v>2.8532192572540729</v>
      </c>
      <c r="L87" s="164">
        <f>SUM(M87:O87)</f>
        <v>59.237890119443989</v>
      </c>
      <c r="M87" s="163">
        <f>('Pivot Table for Data Exchange'!$D$462)*100</f>
        <v>55.289026763749895</v>
      </c>
      <c r="N87" s="163">
        <f>('Pivot Table for Data Exchange'!$D$465)*100</f>
        <v>0.10077159426589868</v>
      </c>
      <c r="O87" s="171">
        <f>('Pivot Table for Data Exchange'!$D$468)*100</f>
        <v>3.8480917614281909</v>
      </c>
      <c r="P87" s="163">
        <f>('Pivot Table for Data Exchange'!$D$471)*100</f>
        <v>3.4291980754601408</v>
      </c>
      <c r="Q87" s="168">
        <f t="shared" si="14"/>
        <v>100</v>
      </c>
      <c r="R87" s="168">
        <f t="shared" si="15"/>
        <v>100</v>
      </c>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row>
    <row r="88" spans="1:41" ht="15.75" customHeight="1">
      <c r="A88" s="134" t="s">
        <v>631</v>
      </c>
      <c r="B88" s="163">
        <f>('Pivot Table for Data Exchange'!$D$474)*100</f>
        <v>46.281597167304831</v>
      </c>
      <c r="C88" s="163">
        <f>('Pivot Table for Data Exchange'!$D$477)*100</f>
        <v>1.4596888988608652</v>
      </c>
      <c r="D88" s="164">
        <f>SUM(E88:G88)</f>
        <v>52.258713933834294</v>
      </c>
      <c r="E88" s="163">
        <f>('Pivot Table for Data Exchange'!$D$480)*100</f>
        <v>52.234867015113672</v>
      </c>
      <c r="F88" s="163">
        <f>('Pivot Table for Data Exchange'!$D$483)*100</f>
        <v>1.5632298904267802E-2</v>
      </c>
      <c r="G88" s="170">
        <f>('Pivot Table for Data Exchange'!$D$486)*100</f>
        <v>8.2146198163603346E-3</v>
      </c>
      <c r="H88" s="163">
        <f>('Pivot Table for Data Exchange'!$D$489)*100</f>
        <v>0</v>
      </c>
      <c r="I88" s="169" t="s">
        <v>631</v>
      </c>
      <c r="J88" s="163">
        <f>('Pivot Table for Data Exchange'!$D$492)*100</f>
        <v>36.132134940282121</v>
      </c>
      <c r="K88" s="163">
        <f>('Pivot Table for Data Exchange'!$D$495)*100</f>
        <v>3.1710381852110059</v>
      </c>
      <c r="L88" s="164">
        <f>SUM(M88:O88)</f>
        <v>60.696826874506883</v>
      </c>
      <c r="M88" s="163">
        <f>('Pivot Table for Data Exchange'!$D$498)*100</f>
        <v>60.265589059166835</v>
      </c>
      <c r="N88" s="163">
        <f>('Pivot Table for Data Exchange'!$D$501)*100</f>
        <v>0.25590395043896086</v>
      </c>
      <c r="O88" s="171">
        <f>('Pivot Table for Data Exchange'!$D$504)*100</f>
        <v>0.17533386490108249</v>
      </c>
      <c r="P88" s="163">
        <f>('Pivot Table for Data Exchange'!$D$507)*100</f>
        <v>0</v>
      </c>
      <c r="Q88" s="168">
        <f t="shared" si="14"/>
        <v>100</v>
      </c>
      <c r="R88" s="168">
        <f t="shared" si="15"/>
        <v>100</v>
      </c>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row>
    <row r="89" spans="1:41" ht="15.75" customHeight="1">
      <c r="A89" s="134" t="s">
        <v>632</v>
      </c>
      <c r="B89" s="163">
        <f>('Pivot Table for Data Exchange'!$D$510)*100</f>
        <v>54.63107125234734</v>
      </c>
      <c r="C89" s="163">
        <f>('Pivot Table for Data Exchange'!$D$513)*100</f>
        <v>2.211551678721229</v>
      </c>
      <c r="D89" s="164">
        <f t="shared" ref="D89" si="20">SUM(E89:G89)</f>
        <v>43.157377068931432</v>
      </c>
      <c r="E89" s="163">
        <f>('Pivot Table for Data Exchange'!$D$516)*100</f>
        <v>34.284171493694153</v>
      </c>
      <c r="F89" s="163">
        <f>('Pivot Table for Data Exchange'!$D$519)*100</f>
        <v>8.8732055752372805</v>
      </c>
      <c r="G89" s="171">
        <f>('Pivot Table for Data Exchange'!$D$522)*100</f>
        <v>0</v>
      </c>
      <c r="H89" s="163">
        <f>('Pivot Table for Data Exchange'!$D$525)*100</f>
        <v>0</v>
      </c>
      <c r="I89" s="169" t="s">
        <v>632</v>
      </c>
      <c r="J89" s="163">
        <f>('Pivot Table for Data Exchange'!$D$528)*100</f>
        <v>45.706422461313139</v>
      </c>
      <c r="K89" s="163">
        <f>('Pivot Table for Data Exchange'!$D$531)*100</f>
        <v>5.5565838074468683</v>
      </c>
      <c r="L89" s="164">
        <f t="shared" ref="L89" si="21">SUM(M89:O89)</f>
        <v>48.736993731239991</v>
      </c>
      <c r="M89" s="163">
        <f>('Pivot Table for Data Exchange'!$D$534)*100</f>
        <v>41.633740252842671</v>
      </c>
      <c r="N89" s="175">
        <f>('Pivot Table for Data Exchange'!$D$537)*100</f>
        <v>7.1032534783973214</v>
      </c>
      <c r="O89" s="171">
        <f>('Pivot Table for Data Exchange'!$D$540)*100</f>
        <v>0</v>
      </c>
      <c r="P89" s="163">
        <f>('Pivot Table for Data Exchange'!$D$543)*100</f>
        <v>0</v>
      </c>
      <c r="Q89" s="168">
        <f t="shared" si="14"/>
        <v>100</v>
      </c>
      <c r="R89" s="168">
        <f t="shared" si="15"/>
        <v>100</v>
      </c>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row>
    <row r="90" spans="1:41" ht="15.75" customHeight="1">
      <c r="A90" s="140" t="s">
        <v>633</v>
      </c>
      <c r="B90" s="176">
        <f>('Pivot Table for Data Exchange'!$D$546)*100</f>
        <v>0</v>
      </c>
      <c r="C90" s="176">
        <f>('Pivot Table for Data Exchange'!$D$549)*100</f>
        <v>0</v>
      </c>
      <c r="D90" s="177">
        <f>SUM(E90:G90)</f>
        <v>0</v>
      </c>
      <c r="E90" s="176">
        <f>('Pivot Table for Data Exchange'!$D$552)*100</f>
        <v>0</v>
      </c>
      <c r="F90" s="176">
        <f>('Pivot Table for Data Exchange'!$D$555)*100</f>
        <v>0</v>
      </c>
      <c r="G90" s="178">
        <f>('Pivot Table for Data Exchange'!$D$558)*100</f>
        <v>0</v>
      </c>
      <c r="H90" s="176">
        <f>('Pivot Table for Data Exchange'!$D$561)*100</f>
        <v>0</v>
      </c>
      <c r="I90" s="179" t="s">
        <v>633</v>
      </c>
      <c r="J90" s="176">
        <f>('Pivot Table for Data Exchange'!$D$564)*100</f>
        <v>0</v>
      </c>
      <c r="K90" s="176">
        <f>('Pivot Table for Data Exchange'!$D$567)*100</f>
        <v>0</v>
      </c>
      <c r="L90" s="177">
        <f>SUM(M90:O90)</f>
        <v>0</v>
      </c>
      <c r="M90" s="176">
        <f>('Pivot Table for Data Exchange'!$D$570)*100</f>
        <v>0</v>
      </c>
      <c r="N90" s="176">
        <f>('Pivot Table for Data Exchange'!$D$573)*100</f>
        <v>0</v>
      </c>
      <c r="O90" s="178">
        <f>('Pivot Table for Data Exchange'!$D$576)*100</f>
        <v>0</v>
      </c>
      <c r="P90" s="176">
        <f>('Pivot Table for Data Exchange'!$D$579)*100</f>
        <v>0</v>
      </c>
      <c r="Q90" s="168">
        <f t="shared" si="14"/>
        <v>0</v>
      </c>
      <c r="R90" s="168">
        <f t="shared" si="15"/>
        <v>0</v>
      </c>
      <c r="S90" s="169"/>
      <c r="T90" s="169"/>
      <c r="U90" s="169"/>
      <c r="V90" s="169"/>
      <c r="W90" s="169"/>
      <c r="X90" s="169"/>
      <c r="Y90" s="169"/>
      <c r="Z90" s="169"/>
      <c r="AA90" s="169"/>
      <c r="AB90" s="169"/>
      <c r="AC90" s="169"/>
      <c r="AD90" s="169"/>
      <c r="AE90" s="169"/>
      <c r="AF90" s="169"/>
      <c r="AG90" s="169"/>
      <c r="AH90" s="169"/>
      <c r="AI90" s="169"/>
      <c r="AJ90" s="169"/>
      <c r="AK90" s="169"/>
      <c r="AL90" s="169"/>
      <c r="AM90" s="169"/>
      <c r="AN90" s="169"/>
      <c r="AO90" s="169"/>
    </row>
    <row r="91" spans="1:41" s="181" customFormat="1" ht="11.25" customHeight="1">
      <c r="A91" s="182" t="s">
        <v>658</v>
      </c>
      <c r="B91" s="183"/>
      <c r="C91" s="183"/>
      <c r="D91" s="184"/>
      <c r="E91" s="183"/>
      <c r="F91" s="184"/>
      <c r="G91" s="184"/>
      <c r="H91" s="183"/>
      <c r="I91" s="182" t="s">
        <v>658</v>
      </c>
      <c r="J91" s="183"/>
      <c r="K91" s="183"/>
      <c r="L91" s="184"/>
      <c r="M91" s="183"/>
      <c r="N91" s="184"/>
      <c r="O91" s="184"/>
      <c r="P91" s="183"/>
      <c r="Q91" s="168"/>
      <c r="R91" s="168"/>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row>
    <row r="92" spans="1:41" s="181" customFormat="1" ht="10.5" customHeight="1">
      <c r="A92" s="186"/>
      <c r="B92" s="195"/>
      <c r="C92" s="195"/>
      <c r="D92" s="136"/>
      <c r="E92" s="195"/>
      <c r="F92" s="195"/>
      <c r="G92" s="195"/>
      <c r="H92" s="195"/>
      <c r="I92" s="186"/>
      <c r="J92" s="195"/>
      <c r="K92" s="195"/>
      <c r="L92" s="136"/>
      <c r="M92" s="195"/>
      <c r="N92" s="195"/>
      <c r="O92" s="195"/>
      <c r="P92" s="195"/>
      <c r="Q92" s="168"/>
      <c r="R92" s="168"/>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row>
    <row r="93" spans="1:41" s="181" customFormat="1" ht="13.5" customHeight="1">
      <c r="A93" s="192"/>
      <c r="B93" s="193"/>
      <c r="H93" s="187" t="s">
        <v>992</v>
      </c>
      <c r="I93" s="192"/>
      <c r="P93" s="187" t="s">
        <v>992</v>
      </c>
      <c r="Q93" s="168"/>
      <c r="R93" s="168"/>
    </row>
    <row r="94" spans="1:41" ht="18">
      <c r="A94" s="129" t="s">
        <v>662</v>
      </c>
      <c r="B94" s="130"/>
      <c r="C94" s="130"/>
      <c r="D94" s="130"/>
      <c r="E94" s="130"/>
      <c r="F94" s="130"/>
      <c r="G94" s="130"/>
      <c r="H94" s="130"/>
      <c r="I94" s="129" t="s">
        <v>663</v>
      </c>
      <c r="J94" s="131"/>
      <c r="K94" s="131"/>
      <c r="L94" s="130"/>
      <c r="M94" s="131"/>
      <c r="N94" s="131"/>
      <c r="O94" s="131"/>
      <c r="P94" s="131"/>
      <c r="Q94" s="168"/>
      <c r="R94" s="168"/>
    </row>
    <row r="95" spans="1:41">
      <c r="A95" s="135"/>
      <c r="B95" s="131"/>
      <c r="C95" s="131"/>
      <c r="D95" s="131"/>
      <c r="E95" s="131"/>
      <c r="F95" s="131"/>
      <c r="G95" s="131"/>
      <c r="H95" s="131"/>
      <c r="I95" s="135"/>
      <c r="J95" s="131"/>
      <c r="K95" s="131"/>
      <c r="L95" s="131"/>
      <c r="M95" s="131"/>
      <c r="N95" s="131"/>
      <c r="O95" s="131"/>
      <c r="P95" s="131"/>
      <c r="Q95" s="168"/>
      <c r="R95" s="168"/>
    </row>
    <row r="96" spans="1:41" ht="15.75">
      <c r="A96" s="137" t="s">
        <v>639</v>
      </c>
      <c r="B96" s="131"/>
      <c r="C96" s="131"/>
      <c r="D96" s="131"/>
      <c r="E96" s="131"/>
      <c r="F96" s="131"/>
      <c r="G96" s="131"/>
      <c r="H96" s="131"/>
      <c r="I96" s="137" t="s">
        <v>640</v>
      </c>
      <c r="J96" s="131"/>
      <c r="K96" s="131"/>
      <c r="L96" s="131"/>
      <c r="M96" s="131"/>
      <c r="N96" s="131"/>
      <c r="O96" s="131"/>
      <c r="P96" s="131"/>
      <c r="Q96" s="168"/>
      <c r="R96" s="168"/>
    </row>
    <row r="97" spans="1:41" ht="15.75">
      <c r="A97" s="137" t="s">
        <v>866</v>
      </c>
      <c r="B97" s="131"/>
      <c r="C97" s="131"/>
      <c r="D97" s="131"/>
      <c r="E97" s="131"/>
      <c r="F97" s="131"/>
      <c r="G97" s="131"/>
      <c r="H97" s="131"/>
      <c r="I97" s="137" t="s">
        <v>866</v>
      </c>
      <c r="J97" s="131"/>
      <c r="K97" s="131"/>
      <c r="L97" s="131"/>
      <c r="M97" s="131"/>
      <c r="N97" s="131"/>
      <c r="O97" s="131"/>
      <c r="P97" s="131"/>
      <c r="Q97" s="168"/>
      <c r="R97" s="168"/>
    </row>
    <row r="98" spans="1:41">
      <c r="A98" s="140"/>
      <c r="B98" s="141"/>
      <c r="C98" s="141"/>
      <c r="D98" s="141"/>
      <c r="E98" s="141"/>
      <c r="F98" s="141"/>
      <c r="G98" s="141"/>
      <c r="H98" s="141"/>
      <c r="I98" s="142"/>
      <c r="L98" s="143"/>
      <c r="P98" s="140"/>
      <c r="Q98" s="168"/>
      <c r="R98" s="168"/>
    </row>
    <row r="99" spans="1:41" s="150" customFormat="1">
      <c r="A99" s="145"/>
      <c r="B99" s="637" t="s">
        <v>641</v>
      </c>
      <c r="C99" s="637"/>
      <c r="D99" s="637"/>
      <c r="E99" s="637"/>
      <c r="F99" s="637"/>
      <c r="G99" s="637"/>
      <c r="H99" s="637"/>
      <c r="I99" s="145"/>
      <c r="J99" s="146" t="s">
        <v>641</v>
      </c>
      <c r="K99" s="146"/>
      <c r="L99" s="146"/>
      <c r="M99" s="146"/>
      <c r="N99" s="146"/>
      <c r="O99" s="146"/>
      <c r="P99" s="147"/>
      <c r="Q99" s="168"/>
      <c r="R99" s="168"/>
    </row>
    <row r="100" spans="1:41" s="150" customFormat="1">
      <c r="A100" s="145"/>
      <c r="B100" s="146" t="s">
        <v>642</v>
      </c>
      <c r="C100" s="146"/>
      <c r="D100" s="639" t="s">
        <v>643</v>
      </c>
      <c r="E100" s="637"/>
      <c r="F100" s="637"/>
      <c r="G100" s="637"/>
      <c r="H100" s="153" t="s">
        <v>533</v>
      </c>
      <c r="I100" s="145"/>
      <c r="J100" s="146" t="s">
        <v>642</v>
      </c>
      <c r="K100" s="146"/>
      <c r="L100" s="639" t="s">
        <v>643</v>
      </c>
      <c r="M100" s="637"/>
      <c r="N100" s="637"/>
      <c r="O100" s="637"/>
      <c r="P100" s="153" t="s">
        <v>533</v>
      </c>
      <c r="Q100" s="168"/>
      <c r="R100" s="168"/>
    </row>
    <row r="101" spans="1:41" s="150" customFormat="1" ht="40.5" customHeight="1">
      <c r="A101" s="145"/>
      <c r="B101" s="154" t="s">
        <v>644</v>
      </c>
      <c r="C101" s="155" t="s">
        <v>645</v>
      </c>
      <c r="D101" s="156" t="s">
        <v>646</v>
      </c>
      <c r="E101" s="157" t="s">
        <v>8</v>
      </c>
      <c r="F101" s="154" t="s">
        <v>647</v>
      </c>
      <c r="G101" s="158" t="s">
        <v>656</v>
      </c>
      <c r="H101" s="159" t="s">
        <v>649</v>
      </c>
      <c r="I101" s="145"/>
      <c r="J101" s="154" t="s">
        <v>644</v>
      </c>
      <c r="K101" s="155" t="s">
        <v>645</v>
      </c>
      <c r="L101" s="156" t="s">
        <v>646</v>
      </c>
      <c r="M101" s="157" t="s">
        <v>8</v>
      </c>
      <c r="N101" s="154" t="s">
        <v>647</v>
      </c>
      <c r="O101" s="158" t="s">
        <v>656</v>
      </c>
      <c r="P101" s="159" t="s">
        <v>649</v>
      </c>
      <c r="Q101" s="168"/>
      <c r="R101" s="168"/>
      <c r="T101" s="188"/>
    </row>
    <row r="102" spans="1:41" ht="15.75" customHeight="1">
      <c r="A102" s="189" t="s">
        <v>618</v>
      </c>
      <c r="B102" s="163">
        <f>('Pivot Table for Data Exchange'!$E$6)*100</f>
        <v>51.180811651972633</v>
      </c>
      <c r="C102" s="163">
        <f>('Pivot Table for Data Exchange'!$E$9)*100</f>
        <v>0.29620790409634373</v>
      </c>
      <c r="D102" s="164">
        <f>SUM(E102:G102)</f>
        <v>48.522980443931019</v>
      </c>
      <c r="E102" s="163">
        <f>('Pivot Table for Data Exchange'!$E$12)*100</f>
        <v>47.588021352358346</v>
      </c>
      <c r="F102" s="163">
        <f>('Pivot Table for Data Exchange'!$E$15)*100</f>
        <v>0</v>
      </c>
      <c r="G102" s="196">
        <f>('Pivot Table for Data Exchange'!$E$18)*100</f>
        <v>0.93495909157267354</v>
      </c>
      <c r="H102" s="163">
        <f>('Pivot Table for Data Exchange'!$E$21)*100</f>
        <v>0</v>
      </c>
      <c r="I102" s="166" t="s">
        <v>618</v>
      </c>
      <c r="J102" s="163">
        <f>('Pivot Table for Data Exchange'!$E$24)*100</f>
        <v>19.783228750713064</v>
      </c>
      <c r="K102" s="163">
        <f>('Pivot Table for Data Exchange'!$E$27)*100</f>
        <v>0.99329720479178552</v>
      </c>
      <c r="L102" s="164">
        <f>SUM(M102:O102)</f>
        <v>79.223474044495148</v>
      </c>
      <c r="M102" s="163">
        <f>('Pivot Table for Data Exchange'!$E$30)*100</f>
        <v>78.446948088990297</v>
      </c>
      <c r="N102" s="175">
        <f>('Pivot Table for Data Exchange'!$E$33)*100</f>
        <v>0</v>
      </c>
      <c r="O102" s="167">
        <f>('Pivot Table for Data Exchange'!$E$36)*100</f>
        <v>0.77652595550484882</v>
      </c>
      <c r="P102" s="163">
        <f>('Pivot Table for Data Exchange'!$E$39)*100</f>
        <v>0</v>
      </c>
      <c r="Q102" s="168">
        <f>SUM(B102,C102,D102,H102)</f>
        <v>100</v>
      </c>
      <c r="R102" s="168">
        <f t="shared" si="15"/>
        <v>100</v>
      </c>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row>
    <row r="103" spans="1:41" ht="15.75" customHeight="1">
      <c r="A103" s="134" t="s">
        <v>619</v>
      </c>
      <c r="B103" s="163">
        <f>('Pivot Table for Data Exchange'!$E$42)*100</f>
        <v>67.680817535496857</v>
      </c>
      <c r="C103" s="163">
        <f>('Pivot Table for Data Exchange'!$E$45)*100</f>
        <v>4.5447093112274279</v>
      </c>
      <c r="D103" s="164">
        <f t="shared" ref="D103:D105" si="22">SUM(E103:G103)</f>
        <v>27.774473153275714</v>
      </c>
      <c r="E103" s="163">
        <f>('Pivot Table for Data Exchange'!$E$48)*100</f>
        <v>26.717866516355183</v>
      </c>
      <c r="F103" s="163">
        <f>('Pivot Table for Data Exchange'!$E$51)*100</f>
        <v>0.28156304071824317</v>
      </c>
      <c r="G103" s="171">
        <f>('Pivot Table for Data Exchange'!$E$54)*100</f>
        <v>0.77504359620228636</v>
      </c>
      <c r="H103" s="175">
        <f>('Pivot Table for Data Exchange'!$E$57)*100</f>
        <v>0</v>
      </c>
      <c r="I103" s="169" t="s">
        <v>619</v>
      </c>
      <c r="J103" s="163">
        <f>('Pivot Table for Data Exchange'!$E$60)*100</f>
        <v>24.754402643849879</v>
      </c>
      <c r="K103" s="163">
        <f>('Pivot Table for Data Exchange'!$E$63)*100</f>
        <v>2.7162841233192993E-2</v>
      </c>
      <c r="L103" s="164">
        <f t="shared" ref="L103:L105" si="23">SUM(M103:O103)</f>
        <v>75.218434514916922</v>
      </c>
      <c r="M103" s="163">
        <f>('Pivot Table for Data Exchange'!$E$66)*100</f>
        <v>72.84491957858792</v>
      </c>
      <c r="N103" s="163">
        <f>('Pivot Table for Data Exchange'!$E$69)*100</f>
        <v>1.3057565821384918</v>
      </c>
      <c r="O103" s="171">
        <f>('Pivot Table for Data Exchange'!$E$72)*100</f>
        <v>1.0677583541905151</v>
      </c>
      <c r="P103" s="163">
        <f>('Pivot Table for Data Exchange'!$E$75)*100</f>
        <v>0</v>
      </c>
      <c r="Q103" s="168">
        <f t="shared" si="14"/>
        <v>100</v>
      </c>
      <c r="R103" s="168">
        <f t="shared" si="15"/>
        <v>100</v>
      </c>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row>
    <row r="104" spans="1:41" ht="15.75" customHeight="1">
      <c r="A104" s="134" t="s">
        <v>620</v>
      </c>
      <c r="B104" s="163">
        <f>('Pivot Table for Data Exchange'!$E$78)*100</f>
        <v>79.296311481633325</v>
      </c>
      <c r="C104" s="163">
        <f>('Pivot Table for Data Exchange'!$E$81)*100</f>
        <v>0</v>
      </c>
      <c r="D104" s="164">
        <f t="shared" si="22"/>
        <v>20.703688518366665</v>
      </c>
      <c r="E104" s="163">
        <f>('Pivot Table for Data Exchange'!$E$84)*100</f>
        <v>20.703688518366665</v>
      </c>
      <c r="F104" s="163">
        <f>('Pivot Table for Data Exchange'!$E$87)*100</f>
        <v>0</v>
      </c>
      <c r="G104" s="171">
        <f>('Pivot Table for Data Exchange'!$E$90)*100</f>
        <v>0</v>
      </c>
      <c r="H104" s="163">
        <f>('Pivot Table for Data Exchange'!$E$93)*100</f>
        <v>0</v>
      </c>
      <c r="I104" s="169" t="s">
        <v>620</v>
      </c>
      <c r="J104" s="163">
        <f>('Pivot Table for Data Exchange'!$E$96)*100</f>
        <v>54.222792388283089</v>
      </c>
      <c r="K104" s="163">
        <f>('Pivot Table for Data Exchange'!$E$99)*100</f>
        <v>0</v>
      </c>
      <c r="L104" s="164">
        <f t="shared" si="23"/>
        <v>45.777207611716911</v>
      </c>
      <c r="M104" s="163">
        <f>('Pivot Table for Data Exchange'!$E$102)*100</f>
        <v>45.777207611716911</v>
      </c>
      <c r="N104" s="163">
        <f>('Pivot Table for Data Exchange'!$E$105)*100</f>
        <v>0</v>
      </c>
      <c r="O104" s="171">
        <f>('Pivot Table for Data Exchange'!$E$108)*100</f>
        <v>0</v>
      </c>
      <c r="P104" s="163">
        <f>('Pivot Table for Data Exchange'!$E$111)*100</f>
        <v>0</v>
      </c>
      <c r="Q104" s="168">
        <f t="shared" si="14"/>
        <v>99.999999999999986</v>
      </c>
      <c r="R104" s="168">
        <f t="shared" si="15"/>
        <v>100</v>
      </c>
      <c r="S104" s="169"/>
      <c r="T104" s="143"/>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row>
    <row r="105" spans="1:41" ht="15.75" customHeight="1">
      <c r="A105" s="134" t="s">
        <v>657</v>
      </c>
      <c r="B105" s="163">
        <f>('Pivot Table for Data Exchange'!$E$114)*100</f>
        <v>0</v>
      </c>
      <c r="C105" s="163">
        <f>('Pivot Table for Data Exchange'!$E$117)*100</f>
        <v>0</v>
      </c>
      <c r="D105" s="164">
        <f t="shared" si="22"/>
        <v>0</v>
      </c>
      <c r="E105" s="163">
        <f>('Pivot Table for Data Exchange'!$E$120)*100</f>
        <v>0</v>
      </c>
      <c r="F105" s="163">
        <f>('Pivot Table for Data Exchange'!$E$123)*100</f>
        <v>0</v>
      </c>
      <c r="G105" s="171">
        <f>('Pivot Table for Data Exchange'!$E$126)*100</f>
        <v>0</v>
      </c>
      <c r="H105" s="163">
        <f>('Pivot Table for Data Exchange'!$E$129)*100</f>
        <v>0</v>
      </c>
      <c r="I105" s="169" t="s">
        <v>657</v>
      </c>
      <c r="J105" s="163">
        <f>('Pivot Table for Data Exchange'!$E$132)*100</f>
        <v>0</v>
      </c>
      <c r="K105" s="163">
        <f>('Pivot Table for Data Exchange'!$E$135)*100</f>
        <v>0</v>
      </c>
      <c r="L105" s="164">
        <f t="shared" si="23"/>
        <v>0</v>
      </c>
      <c r="M105" s="163">
        <f>('Pivot Table for Data Exchange'!$E$138)*100</f>
        <v>0</v>
      </c>
      <c r="N105" s="163">
        <f>('Pivot Table for Data Exchange'!$E$141)*100</f>
        <v>0</v>
      </c>
      <c r="O105" s="171">
        <f>('Pivot Table for Data Exchange'!$E$144)*100</f>
        <v>0</v>
      </c>
      <c r="P105" s="163">
        <f>('Pivot Table for Data Exchange'!$E$147)*100</f>
        <v>0</v>
      </c>
      <c r="Q105" s="168">
        <f t="shared" si="14"/>
        <v>0</v>
      </c>
      <c r="R105" s="168">
        <f t="shared" si="15"/>
        <v>0</v>
      </c>
      <c r="S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row>
    <row r="106" spans="1:41" ht="11.25" customHeight="1">
      <c r="B106" s="163"/>
      <c r="C106" s="163"/>
      <c r="D106" s="164"/>
      <c r="E106" s="163"/>
      <c r="F106" s="163"/>
      <c r="G106" s="171"/>
      <c r="H106" s="163"/>
      <c r="I106" s="169"/>
      <c r="J106" s="163"/>
      <c r="K106" s="163"/>
      <c r="L106" s="164"/>
      <c r="M106" s="163"/>
      <c r="N106" s="163"/>
      <c r="O106" s="171"/>
      <c r="P106" s="163"/>
      <c r="Q106" s="168">
        <f t="shared" si="14"/>
        <v>0</v>
      </c>
      <c r="R106" s="168">
        <f t="shared" si="15"/>
        <v>0</v>
      </c>
      <c r="S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row>
    <row r="107" spans="1:41" ht="15.75" customHeight="1">
      <c r="A107" s="134" t="s">
        <v>622</v>
      </c>
      <c r="B107" s="163">
        <f>('Pivot Table for Data Exchange'!$E$150)*100</f>
        <v>50.187404824352988</v>
      </c>
      <c r="C107" s="163">
        <f>('Pivot Table for Data Exchange'!$E$153)*100</f>
        <v>0.70729302687554485</v>
      </c>
      <c r="D107" s="164">
        <f t="shared" ref="D107:D110" si="24">SUM(E107:G107)</f>
        <v>49.105302148771457</v>
      </c>
      <c r="E107" s="163">
        <f>('Pivot Table for Data Exchange'!$E$156)*100</f>
        <v>49.089026411592812</v>
      </c>
      <c r="F107" s="163">
        <f>('Pivot Table for Data Exchange'!$E$159)*100</f>
        <v>1.2580957761655858E-2</v>
      </c>
      <c r="G107" s="171">
        <f>('Pivot Table for Data Exchange'!$E$162)*100</f>
        <v>3.6947794169918695E-3</v>
      </c>
      <c r="H107" s="163">
        <f>('Pivot Table for Data Exchange'!$E$165)*100</f>
        <v>0</v>
      </c>
      <c r="I107" s="169" t="s">
        <v>622</v>
      </c>
      <c r="J107" s="163">
        <f>('Pivot Table for Data Exchange'!$E$168)*100</f>
        <v>20.360750107496685</v>
      </c>
      <c r="K107" s="163">
        <f>('Pivot Table for Data Exchange'!$E$171)*100</f>
        <v>0.54143229463745102</v>
      </c>
      <c r="L107" s="164">
        <f t="shared" ref="L107:L110" si="25">SUM(M107:O107)</f>
        <v>79.097817597865856</v>
      </c>
      <c r="M107" s="163">
        <f>('Pivot Table for Data Exchange'!$E$174)*100</f>
        <v>79.07807330835314</v>
      </c>
      <c r="N107" s="163">
        <f>('Pivot Table for Data Exchange'!$E$177)*100</f>
        <v>1.9744289512710934E-2</v>
      </c>
      <c r="O107" s="171">
        <f>('Pivot Table for Data Exchange'!$E$180)*100</f>
        <v>0</v>
      </c>
      <c r="P107" s="163">
        <f>('Pivot Table for Data Exchange'!$E$183)*100</f>
        <v>0</v>
      </c>
      <c r="Q107" s="168">
        <f t="shared" si="14"/>
        <v>100</v>
      </c>
      <c r="R107" s="168">
        <f t="shared" si="15"/>
        <v>100</v>
      </c>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row>
    <row r="108" spans="1:41" ht="15.75" customHeight="1">
      <c r="A108" s="134" t="s">
        <v>623</v>
      </c>
      <c r="B108" s="163">
        <f>('Pivot Table for Data Exchange'!$E$186)*100</f>
        <v>57.196989849492475</v>
      </c>
      <c r="C108" s="163">
        <f>('Pivot Table for Data Exchange'!$E$189)*100</f>
        <v>6.6142807140357016</v>
      </c>
      <c r="D108" s="164">
        <f t="shared" si="24"/>
        <v>36.188729436471824</v>
      </c>
      <c r="E108" s="163">
        <f>('Pivot Table for Data Exchange'!$E$192)*100</f>
        <v>35.111305565278258</v>
      </c>
      <c r="F108" s="163">
        <f>('Pivot Table for Data Exchange'!$E$195)*100</f>
        <v>1.0704935246762339</v>
      </c>
      <c r="G108" s="171">
        <f>('Pivot Table for Data Exchange'!$E$198)*100</f>
        <v>6.9303465173258657E-3</v>
      </c>
      <c r="H108" s="163">
        <f>('Pivot Table for Data Exchange'!$E$201)*100</f>
        <v>0</v>
      </c>
      <c r="I108" s="169" t="s">
        <v>623</v>
      </c>
      <c r="J108" s="163">
        <f>('Pivot Table for Data Exchange'!$E$204)*100</f>
        <v>24.143307222545911</v>
      </c>
      <c r="K108" s="163">
        <f>('Pivot Table for Data Exchange'!$E$207)*100</f>
        <v>3.6323126389158626</v>
      </c>
      <c r="L108" s="164">
        <f t="shared" si="25"/>
        <v>72.224380138538223</v>
      </c>
      <c r="M108" s="163">
        <f>('Pivot Table for Data Exchange'!$E$210)*100</f>
        <v>72.141839839451023</v>
      </c>
      <c r="N108" s="163">
        <f>('Pivot Table for Data Exchange'!$E$213)*100</f>
        <v>8.0921861850197452E-2</v>
      </c>
      <c r="O108" s="170">
        <f>('Pivot Table for Data Exchange'!$E$216)*100</f>
        <v>1.6184372370039489E-3</v>
      </c>
      <c r="P108" s="163">
        <f>('Pivot Table for Data Exchange'!$E$219)*100</f>
        <v>0</v>
      </c>
      <c r="Q108" s="168">
        <f t="shared" si="14"/>
        <v>100</v>
      </c>
      <c r="R108" s="168">
        <f t="shared" si="15"/>
        <v>100</v>
      </c>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row>
    <row r="109" spans="1:41" ht="15.75" customHeight="1">
      <c r="A109" s="134" t="s">
        <v>624</v>
      </c>
      <c r="B109" s="163">
        <f>('Pivot Table for Data Exchange'!$E$222)*100</f>
        <v>60.041296219418108</v>
      </c>
      <c r="C109" s="163">
        <f>('Pivot Table for Data Exchange'!$E$225)*100</f>
        <v>0</v>
      </c>
      <c r="D109" s="164">
        <f t="shared" si="24"/>
        <v>39.958703780581907</v>
      </c>
      <c r="E109" s="163">
        <f>('Pivot Table for Data Exchange'!$E$228)*100</f>
        <v>39.958703780581907</v>
      </c>
      <c r="F109" s="163">
        <f>('Pivot Table for Data Exchange'!$E$231)*100</f>
        <v>0</v>
      </c>
      <c r="G109" s="171">
        <f>('Pivot Table for Data Exchange'!$E$234)*100</f>
        <v>0</v>
      </c>
      <c r="H109" s="163">
        <f>('Pivot Table for Data Exchange'!$E$237)*100</f>
        <v>0</v>
      </c>
      <c r="I109" s="169" t="s">
        <v>624</v>
      </c>
      <c r="J109" s="163">
        <f>('Pivot Table for Data Exchange'!$E$240)*100</f>
        <v>40.222567864178949</v>
      </c>
      <c r="K109" s="163">
        <f>('Pivot Table for Data Exchange'!$E$243)*100</f>
        <v>0</v>
      </c>
      <c r="L109" s="164">
        <f t="shared" si="25"/>
        <v>59.777432135821066</v>
      </c>
      <c r="M109" s="163">
        <f>('Pivot Table for Data Exchange'!$E$246)*100</f>
        <v>59.777432135821066</v>
      </c>
      <c r="N109" s="163">
        <f>('Pivot Table for Data Exchange'!$E$249)*100</f>
        <v>0</v>
      </c>
      <c r="O109" s="171">
        <f>('Pivot Table for Data Exchange'!$E$252)*100</f>
        <v>0</v>
      </c>
      <c r="P109" s="163">
        <f>('Pivot Table for Data Exchange'!$E$255)*100</f>
        <v>0</v>
      </c>
      <c r="Q109" s="168">
        <f t="shared" si="14"/>
        <v>100.00000000000001</v>
      </c>
      <c r="R109" s="168">
        <f t="shared" si="15"/>
        <v>100.00000000000001</v>
      </c>
      <c r="S109" s="169"/>
      <c r="T109" s="143"/>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row>
    <row r="110" spans="1:41" ht="15.75" customHeight="1">
      <c r="A110" s="134" t="s">
        <v>625</v>
      </c>
      <c r="B110" s="163">
        <f>('Pivot Table for Data Exchange'!$E$258)*100</f>
        <v>53.339994315196513</v>
      </c>
      <c r="C110" s="163">
        <f>('Pivot Table for Data Exchange'!$E$261)*100</f>
        <v>1.2766690496903506</v>
      </c>
      <c r="D110" s="164">
        <f t="shared" si="24"/>
        <v>45.383336635113139</v>
      </c>
      <c r="E110" s="163">
        <f>('Pivot Table for Data Exchange'!$E$264)*100</f>
        <v>45.383336635113139</v>
      </c>
      <c r="F110" s="163">
        <f>('Pivot Table for Data Exchange'!$E$267)*100</f>
        <v>0</v>
      </c>
      <c r="G110" s="171">
        <f>('Pivot Table for Data Exchange'!$E$270)*100</f>
        <v>0</v>
      </c>
      <c r="H110" s="163">
        <f>('Pivot Table for Data Exchange'!$E$273)*100</f>
        <v>0</v>
      </c>
      <c r="I110" s="169" t="s">
        <v>625</v>
      </c>
      <c r="J110" s="163">
        <f>('Pivot Table for Data Exchange'!$E$276)*100</f>
        <v>54.649336486430421</v>
      </c>
      <c r="K110" s="163">
        <f>('Pivot Table for Data Exchange'!$E$279)*100</f>
        <v>5.1220047059381351</v>
      </c>
      <c r="L110" s="164">
        <f t="shared" si="25"/>
        <v>40.228658807631447</v>
      </c>
      <c r="M110" s="163">
        <f>('Pivot Table for Data Exchange'!$E$282)*100</f>
        <v>40.228658807631447</v>
      </c>
      <c r="N110" s="163">
        <f>('Pivot Table for Data Exchange'!$E$285)*100</f>
        <v>0</v>
      </c>
      <c r="O110" s="171">
        <f>('Pivot Table for Data Exchange'!$E$288)*100</f>
        <v>0</v>
      </c>
      <c r="P110" s="163">
        <f>('Pivot Table for Data Exchange'!$E$291)*100</f>
        <v>0</v>
      </c>
      <c r="Q110" s="168">
        <f t="shared" si="14"/>
        <v>100</v>
      </c>
      <c r="R110" s="168">
        <f t="shared" si="15"/>
        <v>100</v>
      </c>
      <c r="S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row>
    <row r="111" spans="1:41" ht="11.25" customHeight="1">
      <c r="B111" s="163"/>
      <c r="C111" s="163"/>
      <c r="D111" s="164"/>
      <c r="E111" s="163"/>
      <c r="F111" s="163"/>
      <c r="G111" s="171"/>
      <c r="H111" s="163"/>
      <c r="I111" s="169"/>
      <c r="J111" s="163"/>
      <c r="K111" s="163"/>
      <c r="L111" s="164"/>
      <c r="M111" s="163"/>
      <c r="N111" s="163"/>
      <c r="O111" s="171"/>
      <c r="P111" s="163"/>
      <c r="Q111" s="168">
        <f t="shared" si="14"/>
        <v>0</v>
      </c>
      <c r="R111" s="168">
        <f t="shared" si="15"/>
        <v>0</v>
      </c>
      <c r="S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row>
    <row r="112" spans="1:41" ht="15.75" customHeight="1">
      <c r="A112" s="134" t="s">
        <v>626</v>
      </c>
      <c r="B112" s="163">
        <f>('Pivot Table for Data Exchange'!$E$294)*100</f>
        <v>0</v>
      </c>
      <c r="C112" s="163">
        <f>('Pivot Table for Data Exchange'!$E$297)*100</f>
        <v>0</v>
      </c>
      <c r="D112" s="164">
        <f t="shared" ref="D112:D114" si="26">SUM(E112:G112)</f>
        <v>0</v>
      </c>
      <c r="E112" s="163">
        <f>('Pivot Table for Data Exchange'!$E$300)*100</f>
        <v>0</v>
      </c>
      <c r="F112" s="163">
        <f>('Pivot Table for Data Exchange'!$E$303)*100</f>
        <v>0</v>
      </c>
      <c r="G112" s="171">
        <f>('Pivot Table for Data Exchange'!$E$306)*100</f>
        <v>0</v>
      </c>
      <c r="H112" s="163">
        <f>('Pivot Table for Data Exchange'!$E$309)*100</f>
        <v>0</v>
      </c>
      <c r="I112" s="169" t="s">
        <v>626</v>
      </c>
      <c r="J112" s="163">
        <f>('Pivot Table for Data Exchange'!$E$312)*100</f>
        <v>0</v>
      </c>
      <c r="K112" s="163">
        <f>('Pivot Table for Data Exchange'!$E$315)*100</f>
        <v>0</v>
      </c>
      <c r="L112" s="164">
        <f t="shared" ref="L112:L114" si="27">SUM(M112:O112)</f>
        <v>0</v>
      </c>
      <c r="M112" s="163">
        <f>('Pivot Table for Data Exchange'!$E$318)*100</f>
        <v>0</v>
      </c>
      <c r="N112" s="163">
        <f>('Pivot Table for Data Exchange'!$E$321)*100</f>
        <v>0</v>
      </c>
      <c r="O112" s="171">
        <f>('Pivot Table for Data Exchange'!$E$324)*100</f>
        <v>0</v>
      </c>
      <c r="P112" s="163">
        <f>('Pivot Table for Data Exchange'!$E$327)*100</f>
        <v>0</v>
      </c>
      <c r="Q112" s="168">
        <f t="shared" si="14"/>
        <v>0</v>
      </c>
      <c r="R112" s="168">
        <f t="shared" si="15"/>
        <v>0</v>
      </c>
      <c r="S112" s="169"/>
      <c r="T112" s="169"/>
      <c r="U112" s="169"/>
      <c r="V112" s="169"/>
      <c r="W112" s="169"/>
      <c r="X112" s="169"/>
      <c r="Y112" s="169"/>
      <c r="Z112" s="169"/>
      <c r="AA112" s="169"/>
      <c r="AB112" s="169"/>
      <c r="AC112" s="169"/>
      <c r="AD112" s="169"/>
      <c r="AE112" s="169"/>
      <c r="AF112" s="169"/>
      <c r="AG112" s="169"/>
      <c r="AH112" s="169"/>
      <c r="AI112" s="169"/>
      <c r="AJ112" s="169"/>
      <c r="AK112" s="169"/>
      <c r="AL112" s="169"/>
      <c r="AM112" s="169"/>
      <c r="AN112" s="169"/>
      <c r="AO112" s="169"/>
    </row>
    <row r="113" spans="1:41" ht="15.75" customHeight="1">
      <c r="A113" s="134" t="s">
        <v>627</v>
      </c>
      <c r="B113" s="163">
        <f>('Pivot Table for Data Exchange'!$E$330)*100</f>
        <v>43.160791293425611</v>
      </c>
      <c r="C113" s="163">
        <f>('Pivot Table for Data Exchange'!$E$333)*100</f>
        <v>3.5052203680233993</v>
      </c>
      <c r="D113" s="164">
        <f t="shared" si="26"/>
        <v>53.333988338550995</v>
      </c>
      <c r="E113" s="163">
        <f>('Pivot Table for Data Exchange'!$E$336)*100</f>
        <v>53.322749579960238</v>
      </c>
      <c r="F113" s="175">
        <f>('Pivot Table for Data Exchange'!$E$339)*100</f>
        <v>1.1238758590758631E-2</v>
      </c>
      <c r="G113" s="170">
        <f>('Pivot Table for Data Exchange'!$E$342)*100</f>
        <v>0</v>
      </c>
      <c r="H113" s="163">
        <f>('Pivot Table for Data Exchange'!$E$345)*100</f>
        <v>0</v>
      </c>
      <c r="I113" s="169" t="s">
        <v>627</v>
      </c>
      <c r="J113" s="163">
        <f>('Pivot Table for Data Exchange'!$E$348)*100</f>
        <v>26.5019789484003</v>
      </c>
      <c r="K113" s="163">
        <f>('Pivot Table for Data Exchange'!$E$351)*100</f>
        <v>9.5645088164295604</v>
      </c>
      <c r="L113" s="164">
        <f t="shared" si="27"/>
        <v>63.933512235170141</v>
      </c>
      <c r="M113" s="163">
        <f>('Pivot Table for Data Exchange'!$E$354)*100</f>
        <v>63.933512235170141</v>
      </c>
      <c r="N113" s="175">
        <f>('Pivot Table for Data Exchange'!$E$357)*100</f>
        <v>0</v>
      </c>
      <c r="O113" s="171">
        <f>('Pivot Table for Data Exchange'!$E$360)*100</f>
        <v>0</v>
      </c>
      <c r="P113" s="163">
        <f>('Pivot Table for Data Exchange'!$E$363)*100</f>
        <v>0</v>
      </c>
      <c r="Q113" s="168">
        <f t="shared" si="14"/>
        <v>100</v>
      </c>
      <c r="R113" s="168">
        <f t="shared" si="15"/>
        <v>100</v>
      </c>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row>
    <row r="114" spans="1:41" ht="15.75" customHeight="1">
      <c r="A114" s="134" t="s">
        <v>628</v>
      </c>
      <c r="B114" s="163">
        <f>('Pivot Table for Data Exchange'!$E$366)*100</f>
        <v>0</v>
      </c>
      <c r="C114" s="163">
        <f>('Pivot Table for Data Exchange'!$E$369)*100</f>
        <v>0</v>
      </c>
      <c r="D114" s="164">
        <f t="shared" si="26"/>
        <v>0</v>
      </c>
      <c r="E114" s="163">
        <f>('Pivot Table for Data Exchange'!$E$372)*100</f>
        <v>0</v>
      </c>
      <c r="F114" s="163">
        <f>('Pivot Table for Data Exchange'!$E$375)*100</f>
        <v>0</v>
      </c>
      <c r="G114" s="171">
        <f>('Pivot Table for Data Exchange'!$E$378)*100</f>
        <v>0</v>
      </c>
      <c r="H114" s="163">
        <f>('Pivot Table for Data Exchange'!$E$381)*100</f>
        <v>0</v>
      </c>
      <c r="I114" s="169" t="s">
        <v>628</v>
      </c>
      <c r="J114" s="163">
        <f>('Pivot Table for Data Exchange'!$E$384)*100</f>
        <v>0</v>
      </c>
      <c r="K114" s="163">
        <f>('Pivot Table for Data Exchange'!$E$387)*100</f>
        <v>0</v>
      </c>
      <c r="L114" s="164">
        <f t="shared" si="27"/>
        <v>0</v>
      </c>
      <c r="M114" s="163">
        <f>('Pivot Table for Data Exchange'!$E$390)*100</f>
        <v>0</v>
      </c>
      <c r="N114" s="163">
        <f>('Pivot Table for Data Exchange'!$E$393)*100</f>
        <v>0</v>
      </c>
      <c r="O114" s="171">
        <f>('Pivot Table for Data Exchange'!$E$396)*100</f>
        <v>0</v>
      </c>
      <c r="P114" s="163">
        <f>('Pivot Table for Data Exchange'!$E$399)*100</f>
        <v>0</v>
      </c>
      <c r="Q114" s="168">
        <f t="shared" si="14"/>
        <v>0</v>
      </c>
      <c r="R114" s="168">
        <f t="shared" si="15"/>
        <v>0</v>
      </c>
      <c r="S114" s="169"/>
      <c r="T114" s="143"/>
      <c r="U114" s="169"/>
      <c r="V114" s="169"/>
      <c r="W114" s="169"/>
      <c r="X114" s="169"/>
      <c r="Y114" s="169"/>
      <c r="Z114" s="169"/>
      <c r="AA114" s="169"/>
      <c r="AB114" s="169"/>
      <c r="AC114" s="169"/>
      <c r="AD114" s="169"/>
      <c r="AE114" s="169"/>
      <c r="AF114" s="169"/>
      <c r="AG114" s="169"/>
      <c r="AH114" s="169"/>
      <c r="AI114" s="169"/>
      <c r="AJ114" s="169"/>
      <c r="AK114" s="169"/>
      <c r="AL114" s="169"/>
      <c r="AM114" s="169"/>
      <c r="AN114" s="169"/>
      <c r="AO114" s="169"/>
    </row>
    <row r="115" spans="1:41" ht="15.75" customHeight="1">
      <c r="A115" s="134" t="s">
        <v>629</v>
      </c>
      <c r="B115" s="163">
        <f>('Pivot Table for Data Exchange'!$E$402)*100</f>
        <v>69.13703625780208</v>
      </c>
      <c r="C115" s="163">
        <f>('Pivot Table for Data Exchange'!$E$405)*100</f>
        <v>1.1544365741714784</v>
      </c>
      <c r="D115" s="164">
        <f>SUM(E115:G115)</f>
        <v>29.708527168026432</v>
      </c>
      <c r="E115" s="163">
        <f>('Pivot Table for Data Exchange'!$E$408)*100</f>
        <v>29.708527168026432</v>
      </c>
      <c r="F115" s="175">
        <f>('Pivot Table for Data Exchange'!$E$411)*100</f>
        <v>0</v>
      </c>
      <c r="G115" s="171">
        <f>('Pivot Table for Data Exchange'!$E$414)*100</f>
        <v>0</v>
      </c>
      <c r="H115" s="163">
        <f>('Pivot Table for Data Exchange'!$E$417)*100</f>
        <v>0</v>
      </c>
      <c r="I115" s="169" t="s">
        <v>629</v>
      </c>
      <c r="J115" s="163">
        <f>('Pivot Table for Data Exchange'!$E$420)*100</f>
        <v>31.419108917078049</v>
      </c>
      <c r="K115" s="163">
        <f>('Pivot Table for Data Exchange'!$E$423)*100</f>
        <v>3.4660167885188193</v>
      </c>
      <c r="L115" s="164">
        <f>SUM(M115:O115)</f>
        <v>65.114874294403137</v>
      </c>
      <c r="M115" s="163">
        <f>('Pivot Table for Data Exchange'!$E$426)*100</f>
        <v>65.114874294403137</v>
      </c>
      <c r="N115" s="163">
        <f>('Pivot Table for Data Exchange'!$E$429)*100</f>
        <v>0</v>
      </c>
      <c r="O115" s="170">
        <f>('Pivot Table for Data Exchange'!$E$432)*100</f>
        <v>0</v>
      </c>
      <c r="P115" s="163">
        <f>('Pivot Table for Data Exchange'!$E$435)*100</f>
        <v>0</v>
      </c>
      <c r="Q115" s="168">
        <f t="shared" si="14"/>
        <v>100</v>
      </c>
      <c r="R115" s="168">
        <f t="shared" si="15"/>
        <v>100</v>
      </c>
      <c r="S115" s="169"/>
      <c r="T115" s="169"/>
      <c r="U115" s="169"/>
      <c r="V115" s="169"/>
      <c r="W115" s="169"/>
      <c r="X115" s="169"/>
      <c r="Y115" s="169"/>
      <c r="Z115" s="169"/>
      <c r="AA115" s="169"/>
      <c r="AB115" s="169"/>
      <c r="AC115" s="169"/>
      <c r="AD115" s="169"/>
      <c r="AE115" s="169"/>
      <c r="AF115" s="169"/>
      <c r="AG115" s="169"/>
      <c r="AH115" s="169"/>
      <c r="AI115" s="169"/>
      <c r="AJ115" s="169"/>
      <c r="AK115" s="169"/>
      <c r="AL115" s="169"/>
      <c r="AM115" s="169"/>
      <c r="AN115" s="169"/>
      <c r="AO115" s="169"/>
    </row>
    <row r="116" spans="1:41" ht="11.25" customHeight="1">
      <c r="B116" s="163"/>
      <c r="C116" s="163"/>
      <c r="D116" s="164"/>
      <c r="E116" s="163"/>
      <c r="F116" s="163"/>
      <c r="G116" s="171"/>
      <c r="H116" s="163"/>
      <c r="I116" s="169"/>
      <c r="J116" s="163"/>
      <c r="K116" s="163"/>
      <c r="L116" s="164"/>
      <c r="M116" s="163"/>
      <c r="N116" s="163"/>
      <c r="O116" s="171"/>
      <c r="P116" s="163"/>
      <c r="Q116" s="168">
        <f t="shared" si="14"/>
        <v>0</v>
      </c>
      <c r="R116" s="168">
        <f t="shared" si="15"/>
        <v>0</v>
      </c>
      <c r="S116" s="169"/>
      <c r="T116" s="169"/>
      <c r="U116" s="169"/>
      <c r="V116" s="169"/>
      <c r="W116" s="169"/>
      <c r="X116" s="169"/>
      <c r="Y116" s="169"/>
      <c r="Z116" s="169"/>
      <c r="AA116" s="169"/>
      <c r="AB116" s="169"/>
      <c r="AC116" s="169"/>
      <c r="AD116" s="169"/>
      <c r="AE116" s="169"/>
      <c r="AF116" s="169"/>
      <c r="AG116" s="169"/>
      <c r="AH116" s="169"/>
      <c r="AI116" s="169"/>
      <c r="AJ116" s="169"/>
      <c r="AK116" s="169"/>
      <c r="AL116" s="169"/>
      <c r="AM116" s="169"/>
      <c r="AN116" s="169"/>
      <c r="AO116" s="169"/>
    </row>
    <row r="117" spans="1:41" ht="15.75" customHeight="1">
      <c r="A117" s="134" t="s">
        <v>630</v>
      </c>
      <c r="B117" s="163">
        <f>('Pivot Table for Data Exchange'!$E$438)*100</f>
        <v>39.3609366910486</v>
      </c>
      <c r="C117" s="163">
        <f>('Pivot Table for Data Exchange'!$E$441)*100</f>
        <v>1.6504931699611041</v>
      </c>
      <c r="D117" s="164">
        <f>SUM(E117:G117)</f>
        <v>58.326540907220327</v>
      </c>
      <c r="E117" s="163">
        <f>('Pivot Table for Data Exchange'!$E$444)*100</f>
        <v>42.279998406988014</v>
      </c>
      <c r="F117" s="163">
        <f>('Pivot Table for Data Exchange'!$E$447)*100</f>
        <v>0</v>
      </c>
      <c r="G117" s="171">
        <f>('Pivot Table for Data Exchange'!$E$450)*100</f>
        <v>16.046542500232313</v>
      </c>
      <c r="H117" s="163">
        <f>('Pivot Table for Data Exchange'!$E$453)*100</f>
        <v>0.66202923176996908</v>
      </c>
      <c r="I117" s="169" t="s">
        <v>630</v>
      </c>
      <c r="J117" s="163">
        <f>('Pivot Table for Data Exchange'!$E$456)*100</f>
        <v>20.328498616131522</v>
      </c>
      <c r="K117" s="163">
        <f>('Pivot Table for Data Exchange'!$E$459)*100</f>
        <v>8.16709266625327E-2</v>
      </c>
      <c r="L117" s="164">
        <f>SUM(M117:O117)</f>
        <v>76.98241050227621</v>
      </c>
      <c r="M117" s="163">
        <f>('Pivot Table for Data Exchange'!$E$462)*100</f>
        <v>68.850103601082907</v>
      </c>
      <c r="N117" s="163">
        <f>('Pivot Table for Data Exchange'!$E$465)*100</f>
        <v>0</v>
      </c>
      <c r="O117" s="171">
        <f>('Pivot Table for Data Exchange'!$E$468)*100</f>
        <v>8.1323069011933029</v>
      </c>
      <c r="P117" s="163">
        <f>('Pivot Table for Data Exchange'!$E$471)*100</f>
        <v>2.6074199549297479</v>
      </c>
      <c r="Q117" s="168">
        <f t="shared" si="14"/>
        <v>100</v>
      </c>
      <c r="R117" s="168">
        <f t="shared" si="15"/>
        <v>100.00000000000001</v>
      </c>
      <c r="S117" s="169"/>
      <c r="T117" s="169"/>
      <c r="U117" s="169"/>
      <c r="V117" s="169"/>
      <c r="W117" s="169"/>
      <c r="X117" s="169"/>
      <c r="Y117" s="169"/>
      <c r="Z117" s="169"/>
      <c r="AA117" s="169"/>
      <c r="AB117" s="169"/>
      <c r="AC117" s="169"/>
      <c r="AD117" s="169"/>
      <c r="AE117" s="169"/>
      <c r="AF117" s="169"/>
      <c r="AG117" s="169"/>
      <c r="AH117" s="169"/>
      <c r="AI117" s="169"/>
      <c r="AJ117" s="169"/>
      <c r="AK117" s="169"/>
      <c r="AL117" s="169"/>
      <c r="AM117" s="169"/>
      <c r="AN117" s="169"/>
      <c r="AO117" s="169"/>
    </row>
    <row r="118" spans="1:41" ht="15.75" customHeight="1">
      <c r="A118" s="134" t="s">
        <v>631</v>
      </c>
      <c r="B118" s="163">
        <f>('Pivot Table for Data Exchange'!$E$474)*100</f>
        <v>41.172952328925284</v>
      </c>
      <c r="C118" s="163">
        <f>('Pivot Table for Data Exchange'!$E$477)*100</f>
        <v>1.3141823796115761</v>
      </c>
      <c r="D118" s="164">
        <f>SUM(E118:G118)</f>
        <v>57.512865291463143</v>
      </c>
      <c r="E118" s="163">
        <f>('Pivot Table for Data Exchange'!$E$480)*100</f>
        <v>55.305425360969132</v>
      </c>
      <c r="F118" s="163">
        <f>('Pivot Table for Data Exchange'!$E$483)*100</f>
        <v>0.52746968556675566</v>
      </c>
      <c r="G118" s="171">
        <f>('Pivot Table for Data Exchange'!$E$486)*100</f>
        <v>1.6799702449272542</v>
      </c>
      <c r="H118" s="163">
        <f>('Pivot Table for Data Exchange'!$E$489)*100</f>
        <v>0</v>
      </c>
      <c r="I118" s="169" t="s">
        <v>631</v>
      </c>
      <c r="J118" s="163">
        <f>('Pivot Table for Data Exchange'!$E$492)*100</f>
        <v>18.87238594796052</v>
      </c>
      <c r="K118" s="163">
        <f>('Pivot Table for Data Exchange'!$E$495)*100</f>
        <v>1.4061701980813031</v>
      </c>
      <c r="L118" s="164">
        <f>SUM(M118:O118)</f>
        <v>79.721443853958178</v>
      </c>
      <c r="M118" s="163">
        <f>('Pivot Table for Data Exchange'!$E$498)*100</f>
        <v>77.526813444682176</v>
      </c>
      <c r="N118" s="163">
        <f>('Pivot Table for Data Exchange'!$E$501)*100</f>
        <v>0.42901511491476291</v>
      </c>
      <c r="O118" s="171">
        <f>('Pivot Table for Data Exchange'!$E$504)*100</f>
        <v>1.7656152943612395</v>
      </c>
      <c r="P118" s="163">
        <f>('Pivot Table for Data Exchange'!$E$507)*100</f>
        <v>0</v>
      </c>
      <c r="Q118" s="168">
        <f t="shared" si="14"/>
        <v>100</v>
      </c>
      <c r="R118" s="168">
        <f t="shared" si="15"/>
        <v>100</v>
      </c>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row>
    <row r="119" spans="1:41" ht="15.75" customHeight="1">
      <c r="A119" s="134" t="s">
        <v>632</v>
      </c>
      <c r="B119" s="163">
        <f>('Pivot Table for Data Exchange'!$E$510)*100</f>
        <v>56.871040753411293</v>
      </c>
      <c r="C119" s="163">
        <f>('Pivot Table for Data Exchange'!$E$513)*100</f>
        <v>2.5093114108684436</v>
      </c>
      <c r="D119" s="164">
        <f t="shared" ref="D119" si="28">SUM(E119:G119)</f>
        <v>40.619647835720258</v>
      </c>
      <c r="E119" s="163">
        <f>('Pivot Table for Data Exchange'!$E$516)*100</f>
        <v>40.105406471809943</v>
      </c>
      <c r="F119" s="163">
        <f>('Pivot Table for Data Exchange'!$E$519)*100</f>
        <v>0.51424136391031561</v>
      </c>
      <c r="G119" s="171">
        <f>('Pivot Table for Data Exchange'!$E$522)*100</f>
        <v>0</v>
      </c>
      <c r="H119" s="163">
        <f>('Pivot Table for Data Exchange'!$E$525)*100</f>
        <v>0</v>
      </c>
      <c r="I119" s="169" t="s">
        <v>632</v>
      </c>
      <c r="J119" s="163">
        <f>('Pivot Table for Data Exchange'!$E$528)*100</f>
        <v>37.490430534796396</v>
      </c>
      <c r="K119" s="163">
        <f>('Pivot Table for Data Exchange'!$E$531)*100</f>
        <v>12.426330307559574</v>
      </c>
      <c r="L119" s="164">
        <f t="shared" ref="L119" si="29">SUM(M119:O119)</f>
        <v>50.08323915764403</v>
      </c>
      <c r="M119" s="163">
        <f>('Pivot Table for Data Exchange'!$E$534)*100</f>
        <v>49.746637016514164</v>
      </c>
      <c r="N119" s="163">
        <f>('Pivot Table for Data Exchange'!$E$537)*100</f>
        <v>0.33660214112986525</v>
      </c>
      <c r="O119" s="171">
        <f>('Pivot Table for Data Exchange'!$E$540)*100</f>
        <v>0</v>
      </c>
      <c r="P119" s="163">
        <f>('Pivot Table for Data Exchange'!$E$543)*100</f>
        <v>0</v>
      </c>
      <c r="Q119" s="168">
        <f t="shared" si="14"/>
        <v>100</v>
      </c>
      <c r="R119" s="168">
        <f t="shared" si="15"/>
        <v>100</v>
      </c>
      <c r="S119" s="169"/>
      <c r="T119" s="169"/>
      <c r="U119" s="169"/>
      <c r="V119" s="169"/>
      <c r="W119" s="169"/>
      <c r="X119" s="169"/>
      <c r="Y119" s="169"/>
      <c r="Z119" s="169"/>
      <c r="AA119" s="169"/>
      <c r="AB119" s="169"/>
      <c r="AC119" s="169"/>
      <c r="AD119" s="169"/>
      <c r="AE119" s="169"/>
      <c r="AF119" s="169"/>
      <c r="AG119" s="169"/>
      <c r="AH119" s="169"/>
      <c r="AI119" s="169"/>
      <c r="AJ119" s="169"/>
      <c r="AK119" s="169"/>
      <c r="AL119" s="169"/>
      <c r="AM119" s="169"/>
      <c r="AN119" s="169"/>
      <c r="AO119" s="169"/>
    </row>
    <row r="120" spans="1:41" ht="15.75" customHeight="1">
      <c r="A120" s="140" t="s">
        <v>633</v>
      </c>
      <c r="B120" s="176">
        <f>('Pivot Table for Data Exchange'!$E$546)*100</f>
        <v>45.206670952615056</v>
      </c>
      <c r="C120" s="176">
        <f>('Pivot Table for Data Exchange'!$E$549)*100</f>
        <v>6.5780903998957934</v>
      </c>
      <c r="D120" s="177">
        <f>SUM(E120:G120)</f>
        <v>48.215238647489144</v>
      </c>
      <c r="E120" s="176">
        <f>('Pivot Table for Data Exchange'!$E$552)*100</f>
        <v>46.848357263211852</v>
      </c>
      <c r="F120" s="197">
        <f>('Pivot Table for Data Exchange'!$E$555)*100</f>
        <v>1.3668813842772924</v>
      </c>
      <c r="G120" s="178">
        <f>('Pivot Table for Data Exchange'!$E$558)*100</f>
        <v>0</v>
      </c>
      <c r="H120" s="176">
        <f>('Pivot Table for Data Exchange'!$E$561)*100</f>
        <v>0</v>
      </c>
      <c r="I120" s="179" t="s">
        <v>633</v>
      </c>
      <c r="J120" s="176">
        <f>('Pivot Table for Data Exchange'!$E$564)*100</f>
        <v>29.455602279553833</v>
      </c>
      <c r="K120" s="176">
        <f>('Pivot Table for Data Exchange'!$E$567)*100</f>
        <v>9.3000600737120678</v>
      </c>
      <c r="L120" s="177">
        <f>SUM(M120:O120)</f>
        <v>61.244337646734095</v>
      </c>
      <c r="M120" s="176">
        <f>('Pivot Table for Data Exchange'!$E$570)*100</f>
        <v>59.977918851780288</v>
      </c>
      <c r="N120" s="176">
        <f>('Pivot Table for Data Exchange'!$E$573)*100</f>
        <v>1.2664187949538082</v>
      </c>
      <c r="O120" s="178">
        <f>('Pivot Table for Data Exchange'!$E$576)*100</f>
        <v>0</v>
      </c>
      <c r="P120" s="176">
        <f>('Pivot Table for Data Exchange'!$E$579)*100</f>
        <v>0</v>
      </c>
      <c r="Q120" s="168">
        <f t="shared" si="14"/>
        <v>100</v>
      </c>
      <c r="R120" s="168">
        <f t="shared" si="15"/>
        <v>100</v>
      </c>
      <c r="S120" s="169"/>
      <c r="T120" s="169"/>
      <c r="U120" s="169"/>
      <c r="V120" s="169"/>
      <c r="W120" s="169"/>
      <c r="X120" s="169"/>
      <c r="Y120" s="169"/>
      <c r="Z120" s="169"/>
      <c r="AA120" s="169"/>
      <c r="AB120" s="169"/>
      <c r="AC120" s="169"/>
      <c r="AD120" s="169"/>
      <c r="AE120" s="169"/>
      <c r="AF120" s="169"/>
      <c r="AG120" s="169"/>
      <c r="AH120" s="169"/>
      <c r="AI120" s="169"/>
      <c r="AJ120" s="169"/>
      <c r="AK120" s="169"/>
      <c r="AL120" s="169"/>
      <c r="AM120" s="169"/>
      <c r="AN120" s="169"/>
      <c r="AO120" s="169"/>
    </row>
    <row r="121" spans="1:41" s="181" customFormat="1" ht="12" customHeight="1">
      <c r="A121" s="182" t="s">
        <v>658</v>
      </c>
      <c r="B121" s="183"/>
      <c r="C121" s="183"/>
      <c r="D121" s="184"/>
      <c r="E121" s="183"/>
      <c r="F121" s="184"/>
      <c r="G121" s="184"/>
      <c r="H121" s="183"/>
      <c r="I121" s="182" t="s">
        <v>658</v>
      </c>
      <c r="J121" s="183"/>
      <c r="K121" s="183"/>
      <c r="L121" s="184"/>
      <c r="M121" s="183"/>
      <c r="N121" s="184"/>
      <c r="O121" s="184"/>
      <c r="P121" s="183"/>
      <c r="Q121" s="168"/>
      <c r="R121" s="168"/>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row>
    <row r="122" spans="1:41" s="181" customFormat="1" ht="28.5" customHeight="1">
      <c r="A122" s="633" t="s">
        <v>664</v>
      </c>
      <c r="B122" s="650"/>
      <c r="C122" s="650"/>
      <c r="D122" s="650"/>
      <c r="E122" s="650"/>
      <c r="F122" s="650"/>
      <c r="G122" s="650"/>
      <c r="H122" s="650"/>
      <c r="I122" s="633" t="s">
        <v>664</v>
      </c>
      <c r="J122" s="650"/>
      <c r="K122" s="650"/>
      <c r="L122" s="650"/>
      <c r="M122" s="650"/>
      <c r="N122" s="650"/>
      <c r="O122" s="650"/>
      <c r="P122" s="650"/>
      <c r="Q122" s="168"/>
      <c r="R122" s="168"/>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row>
    <row r="123" spans="1:41" s="181" customFormat="1" ht="13.5" customHeight="1">
      <c r="A123" s="192"/>
      <c r="B123" s="193"/>
      <c r="I123" s="192"/>
      <c r="P123" s="194"/>
      <c r="Q123" s="168"/>
      <c r="R123" s="168"/>
    </row>
    <row r="124" spans="1:41" s="181" customFormat="1" ht="13.5" customHeight="1">
      <c r="H124" s="187" t="s">
        <v>992</v>
      </c>
      <c r="I124" s="192"/>
      <c r="P124" s="187" t="s">
        <v>992</v>
      </c>
      <c r="Q124" s="168"/>
      <c r="R124" s="168"/>
    </row>
    <row r="125" spans="1:41" ht="18">
      <c r="A125" s="129" t="s">
        <v>665</v>
      </c>
      <c r="B125" s="130"/>
      <c r="C125" s="130"/>
      <c r="D125" s="130"/>
      <c r="E125" s="130"/>
      <c r="F125" s="130"/>
      <c r="G125" s="130"/>
      <c r="H125" s="130"/>
      <c r="I125" s="129" t="s">
        <v>666</v>
      </c>
      <c r="J125" s="131"/>
      <c r="K125" s="131"/>
      <c r="L125" s="130"/>
      <c r="M125" s="131"/>
      <c r="N125" s="131"/>
      <c r="O125" s="131"/>
      <c r="P125" s="131"/>
      <c r="Q125" s="168"/>
      <c r="R125" s="168"/>
    </row>
    <row r="126" spans="1:41">
      <c r="A126" s="135"/>
      <c r="B126" s="131"/>
      <c r="C126" s="131"/>
      <c r="D126" s="131"/>
      <c r="E126" s="131"/>
      <c r="F126" s="131"/>
      <c r="G126" s="131"/>
      <c r="H126" s="131"/>
      <c r="I126" s="135"/>
      <c r="J126" s="131"/>
      <c r="K126" s="131"/>
      <c r="L126" s="131"/>
      <c r="M126" s="131"/>
      <c r="N126" s="131"/>
      <c r="O126" s="131"/>
      <c r="P126" s="131"/>
      <c r="Q126" s="168"/>
      <c r="R126" s="168"/>
    </row>
    <row r="127" spans="1:41" ht="15.75">
      <c r="A127" s="137" t="s">
        <v>639</v>
      </c>
      <c r="B127" s="131"/>
      <c r="C127" s="131"/>
      <c r="D127" s="131"/>
      <c r="E127" s="131"/>
      <c r="F127" s="131"/>
      <c r="G127" s="131"/>
      <c r="H127" s="131"/>
      <c r="I127" s="137" t="s">
        <v>640</v>
      </c>
      <c r="J127" s="131"/>
      <c r="K127" s="131"/>
      <c r="L127" s="131"/>
      <c r="M127" s="131"/>
      <c r="N127" s="131"/>
      <c r="O127" s="131"/>
      <c r="P127" s="131"/>
      <c r="Q127" s="168"/>
      <c r="R127" s="168"/>
    </row>
    <row r="128" spans="1:41" ht="15.75">
      <c r="A128" s="137" t="s">
        <v>867</v>
      </c>
      <c r="B128" s="131"/>
      <c r="C128" s="131"/>
      <c r="D128" s="131"/>
      <c r="E128" s="131"/>
      <c r="F128" s="131"/>
      <c r="G128" s="131"/>
      <c r="H128" s="131"/>
      <c r="I128" s="137" t="s">
        <v>867</v>
      </c>
      <c r="J128" s="131"/>
      <c r="K128" s="131"/>
      <c r="L128" s="131"/>
      <c r="M128" s="131"/>
      <c r="N128" s="131"/>
      <c r="O128" s="131"/>
      <c r="P128" s="131"/>
      <c r="Q128" s="168"/>
      <c r="R128" s="168"/>
    </row>
    <row r="129" spans="1:41">
      <c r="A129" s="140"/>
      <c r="B129" s="141"/>
      <c r="C129" s="141"/>
      <c r="D129" s="141"/>
      <c r="E129" s="141"/>
      <c r="F129" s="141"/>
      <c r="G129" s="141"/>
      <c r="H129" s="141"/>
      <c r="I129" s="142"/>
      <c r="L129" s="143"/>
      <c r="P129" s="140"/>
      <c r="Q129" s="168"/>
      <c r="R129" s="168"/>
    </row>
    <row r="130" spans="1:41" s="150" customFormat="1">
      <c r="A130" s="145"/>
      <c r="B130" s="146" t="s">
        <v>641</v>
      </c>
      <c r="C130" s="146"/>
      <c r="D130" s="146"/>
      <c r="E130" s="146"/>
      <c r="F130" s="146"/>
      <c r="G130" s="146"/>
      <c r="H130" s="147"/>
      <c r="I130" s="145"/>
      <c r="J130" s="146" t="s">
        <v>641</v>
      </c>
      <c r="K130" s="146"/>
      <c r="L130" s="146"/>
      <c r="M130" s="146"/>
      <c r="N130" s="146"/>
      <c r="O130" s="146"/>
      <c r="P130" s="147"/>
      <c r="Q130" s="168"/>
      <c r="R130" s="168"/>
    </row>
    <row r="131" spans="1:41" s="150" customFormat="1">
      <c r="A131" s="145"/>
      <c r="B131" s="146" t="s">
        <v>642</v>
      </c>
      <c r="C131" s="146"/>
      <c r="D131" s="639" t="s">
        <v>643</v>
      </c>
      <c r="E131" s="637"/>
      <c r="F131" s="637"/>
      <c r="G131" s="637"/>
      <c r="H131" s="153" t="s">
        <v>533</v>
      </c>
      <c r="I131" s="145"/>
      <c r="J131" s="146" t="s">
        <v>642</v>
      </c>
      <c r="K131" s="146"/>
      <c r="L131" s="639" t="s">
        <v>643</v>
      </c>
      <c r="M131" s="637"/>
      <c r="N131" s="637"/>
      <c r="O131" s="637"/>
      <c r="P131" s="153" t="s">
        <v>533</v>
      </c>
      <c r="Q131" s="168"/>
      <c r="R131" s="168"/>
    </row>
    <row r="132" spans="1:41" s="150" customFormat="1" ht="40.5" customHeight="1">
      <c r="A132" s="145"/>
      <c r="B132" s="154" t="s">
        <v>644</v>
      </c>
      <c r="C132" s="155" t="s">
        <v>645</v>
      </c>
      <c r="D132" s="156" t="s">
        <v>646</v>
      </c>
      <c r="E132" s="157" t="s">
        <v>8</v>
      </c>
      <c r="F132" s="154" t="s">
        <v>647</v>
      </c>
      <c r="G132" s="158" t="s">
        <v>656</v>
      </c>
      <c r="H132" s="159" t="s">
        <v>649</v>
      </c>
      <c r="I132" s="145"/>
      <c r="J132" s="154" t="s">
        <v>644</v>
      </c>
      <c r="K132" s="155" t="s">
        <v>645</v>
      </c>
      <c r="L132" s="156" t="s">
        <v>646</v>
      </c>
      <c r="M132" s="157" t="s">
        <v>8</v>
      </c>
      <c r="N132" s="154" t="s">
        <v>647</v>
      </c>
      <c r="O132" s="158" t="s">
        <v>656</v>
      </c>
      <c r="P132" s="159" t="s">
        <v>649</v>
      </c>
      <c r="Q132" s="168"/>
      <c r="R132" s="168"/>
      <c r="T132" s="188"/>
    </row>
    <row r="133" spans="1:41" ht="15.75" customHeight="1">
      <c r="A133" s="189" t="s">
        <v>618</v>
      </c>
      <c r="B133" s="163">
        <f>('Pivot Table for Data Exchange'!$F$6)*100</f>
        <v>50.551167483424621</v>
      </c>
      <c r="C133" s="163">
        <f>('Pivot Table for Data Exchange'!$F$9)*100</f>
        <v>0.1210723551455751</v>
      </c>
      <c r="D133" s="164">
        <f>SUM(E133:G133)</f>
        <v>49.327760161429808</v>
      </c>
      <c r="E133" s="163">
        <f>('Pivot Table for Data Exchange'!$F$12)*100</f>
        <v>49.327760161429808</v>
      </c>
      <c r="F133" s="163">
        <f>('Pivot Table for Data Exchange'!$F$15)*100</f>
        <v>0</v>
      </c>
      <c r="G133" s="167">
        <f>('Pivot Table for Data Exchange'!$F$18)*100</f>
        <v>0</v>
      </c>
      <c r="H133" s="163">
        <f>('Pivot Table for Data Exchange'!$F$21)*100</f>
        <v>0</v>
      </c>
      <c r="I133" s="166" t="s">
        <v>618</v>
      </c>
      <c r="J133" s="163">
        <f>('Pivot Table for Data Exchange'!$F$24)*100</f>
        <v>8.4188348522060021</v>
      </c>
      <c r="K133" s="163">
        <f>('Pivot Table for Data Exchange'!$F$27)*100</f>
        <v>0</v>
      </c>
      <c r="L133" s="164">
        <f>SUM(M133:O133)</f>
        <v>91.581165147793996</v>
      </c>
      <c r="M133" s="163">
        <f>('Pivot Table for Data Exchange'!$F$30)*100</f>
        <v>91.581165147793996</v>
      </c>
      <c r="N133" s="163">
        <f>('Pivot Table for Data Exchange'!$F$33)*100</f>
        <v>0</v>
      </c>
      <c r="O133" s="167">
        <f>('Pivot Table for Data Exchange'!$F$36)*100</f>
        <v>0</v>
      </c>
      <c r="P133" s="163">
        <f>('Pivot Table for Data Exchange'!$F$39)*100</f>
        <v>0</v>
      </c>
      <c r="Q133" s="168">
        <f t="shared" si="14"/>
        <v>100</v>
      </c>
      <c r="R133" s="168">
        <f t="shared" si="15"/>
        <v>100</v>
      </c>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row>
    <row r="134" spans="1:41" ht="15.75" customHeight="1">
      <c r="A134" s="134" t="s">
        <v>619</v>
      </c>
      <c r="B134" s="163">
        <f>('Pivot Table for Data Exchange'!$F$42)*100</f>
        <v>60.04176023322696</v>
      </c>
      <c r="C134" s="163">
        <f>('Pivot Table for Data Exchange'!$F$45)*100</f>
        <v>8.1720048851593585</v>
      </c>
      <c r="D134" s="164">
        <f t="shared" ref="D134:D136" si="30">SUM(E134:G134)</f>
        <v>31.78623488161368</v>
      </c>
      <c r="E134" s="163">
        <f>('Pivot Table for Data Exchange'!$F$48)*100</f>
        <v>31.78623488161368</v>
      </c>
      <c r="F134" s="163">
        <f>('Pivot Table for Data Exchange'!$F$51)*100</f>
        <v>0</v>
      </c>
      <c r="G134" s="171">
        <f>('Pivot Table for Data Exchange'!$F$54)*100</f>
        <v>0</v>
      </c>
      <c r="H134" s="163">
        <f>('Pivot Table for Data Exchange'!$F$57)*100</f>
        <v>0</v>
      </c>
      <c r="I134" s="169" t="s">
        <v>619</v>
      </c>
      <c r="J134" s="163">
        <f>('Pivot Table for Data Exchange'!$F$60)*100</f>
        <v>9.316672437128199</v>
      </c>
      <c r="K134" s="163">
        <f>('Pivot Table for Data Exchange'!$F$63)*100</f>
        <v>4.711844134588147</v>
      </c>
      <c r="L134" s="164">
        <f t="shared" ref="L134:L136" si="31">SUM(M134:O134)</f>
        <v>85.971483428283662</v>
      </c>
      <c r="M134" s="163">
        <f>('Pivot Table for Data Exchange'!$F$66)*100</f>
        <v>85.971483428283662</v>
      </c>
      <c r="N134" s="163">
        <f>('Pivot Table for Data Exchange'!$F$69)*100</f>
        <v>0</v>
      </c>
      <c r="O134" s="171">
        <f>('Pivot Table for Data Exchange'!$F$72)*100</f>
        <v>0</v>
      </c>
      <c r="P134" s="163">
        <f>('Pivot Table for Data Exchange'!$F$75)*100</f>
        <v>0</v>
      </c>
      <c r="Q134" s="168">
        <f t="shared" si="14"/>
        <v>100</v>
      </c>
      <c r="R134" s="168">
        <f t="shared" si="15"/>
        <v>100</v>
      </c>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row>
    <row r="135" spans="1:41" ht="15.75" customHeight="1">
      <c r="A135" s="134" t="s">
        <v>620</v>
      </c>
      <c r="B135" s="163">
        <f>('Pivot Table for Data Exchange'!$F$78)*100</f>
        <v>0</v>
      </c>
      <c r="C135" s="163">
        <f>('Pivot Table for Data Exchange'!$F$81)*100</f>
        <v>0</v>
      </c>
      <c r="D135" s="164">
        <f t="shared" si="30"/>
        <v>0</v>
      </c>
      <c r="E135" s="163">
        <f>('Pivot Table for Data Exchange'!$F$84)*100</f>
        <v>0</v>
      </c>
      <c r="F135" s="163">
        <f>('Pivot Table for Data Exchange'!$F$87)*100</f>
        <v>0</v>
      </c>
      <c r="G135" s="171">
        <f>('Pivot Table for Data Exchange'!$F$90)*100</f>
        <v>0</v>
      </c>
      <c r="H135" s="163">
        <f>('Pivot Table for Data Exchange'!$F$93)*100</f>
        <v>0</v>
      </c>
      <c r="I135" s="169" t="s">
        <v>620</v>
      </c>
      <c r="J135" s="163">
        <f>('Pivot Table for Data Exchange'!$F$96)*100</f>
        <v>0</v>
      </c>
      <c r="K135" s="163">
        <f>('Pivot Table for Data Exchange'!$F$99)*100</f>
        <v>0</v>
      </c>
      <c r="L135" s="164">
        <f t="shared" si="31"/>
        <v>0</v>
      </c>
      <c r="M135" s="163">
        <f>('Pivot Table for Data Exchange'!$F$102)*100</f>
        <v>0</v>
      </c>
      <c r="N135" s="163">
        <f>('Pivot Table for Data Exchange'!$F$105)*100</f>
        <v>0</v>
      </c>
      <c r="O135" s="171">
        <f>('Pivot Table for Data Exchange'!$F$108)*100</f>
        <v>0</v>
      </c>
      <c r="P135" s="163">
        <f>('Pivot Table for Data Exchange'!$F$111)*100</f>
        <v>0</v>
      </c>
      <c r="Q135" s="168">
        <f t="shared" si="14"/>
        <v>0</v>
      </c>
      <c r="R135" s="168">
        <f t="shared" si="15"/>
        <v>0</v>
      </c>
      <c r="S135" s="169"/>
      <c r="T135" s="143"/>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row>
    <row r="136" spans="1:41" ht="15.75" customHeight="1">
      <c r="A136" s="134" t="s">
        <v>657</v>
      </c>
      <c r="B136" s="163">
        <f>('Pivot Table for Data Exchange'!$F$114)*100</f>
        <v>0</v>
      </c>
      <c r="C136" s="163">
        <f>('Pivot Table for Data Exchange'!$F$117)*100</f>
        <v>0</v>
      </c>
      <c r="D136" s="164">
        <f t="shared" si="30"/>
        <v>0</v>
      </c>
      <c r="E136" s="163">
        <f>('Pivot Table for Data Exchange'!$F$120)*100</f>
        <v>0</v>
      </c>
      <c r="F136" s="172">
        <f>('Pivot Table for Data Exchange'!$F$123)*100</f>
        <v>0</v>
      </c>
      <c r="G136" s="174">
        <f>('Pivot Table for Data Exchange'!$F$126)*100</f>
        <v>0</v>
      </c>
      <c r="H136" s="163">
        <f>('Pivot Table for Data Exchange'!$F$129)*100</f>
        <v>0</v>
      </c>
      <c r="I136" s="169" t="s">
        <v>657</v>
      </c>
      <c r="J136" s="163">
        <f>('Pivot Table for Data Exchange'!$F$132)*100</f>
        <v>0</v>
      </c>
      <c r="K136" s="163">
        <f>('Pivot Table for Data Exchange'!$F$135)*100</f>
        <v>0</v>
      </c>
      <c r="L136" s="164">
        <f t="shared" si="31"/>
        <v>0</v>
      </c>
      <c r="M136" s="163">
        <f>('Pivot Table for Data Exchange'!$F$138)*100</f>
        <v>0</v>
      </c>
      <c r="N136" s="163">
        <f>('Pivot Table for Data Exchange'!$F$141)*100</f>
        <v>0</v>
      </c>
      <c r="O136" s="171">
        <f>('Pivot Table for Data Exchange'!$F$144)*100</f>
        <v>0</v>
      </c>
      <c r="P136" s="163">
        <f>('Pivot Table for Data Exchange'!$F$147)*100</f>
        <v>0</v>
      </c>
      <c r="Q136" s="168">
        <f t="shared" si="14"/>
        <v>0</v>
      </c>
      <c r="R136" s="168">
        <f t="shared" si="15"/>
        <v>0</v>
      </c>
      <c r="S136" s="169"/>
      <c r="U136" s="169"/>
      <c r="V136" s="169"/>
      <c r="W136" s="169"/>
      <c r="X136" s="169"/>
      <c r="Y136" s="169"/>
      <c r="Z136" s="169"/>
      <c r="AA136" s="169"/>
      <c r="AB136" s="169"/>
      <c r="AC136" s="169"/>
      <c r="AD136" s="169"/>
      <c r="AE136" s="169"/>
      <c r="AF136" s="169"/>
      <c r="AG136" s="169"/>
      <c r="AH136" s="169"/>
      <c r="AI136" s="169"/>
      <c r="AJ136" s="169"/>
      <c r="AK136" s="169"/>
      <c r="AL136" s="169"/>
      <c r="AM136" s="169"/>
      <c r="AN136" s="169"/>
      <c r="AO136" s="169"/>
    </row>
    <row r="137" spans="1:41" ht="15.75" customHeight="1">
      <c r="B137" s="163"/>
      <c r="C137" s="163"/>
      <c r="D137" s="164"/>
      <c r="E137" s="163"/>
      <c r="F137" s="163"/>
      <c r="G137" s="171"/>
      <c r="H137" s="163"/>
      <c r="I137" s="169"/>
      <c r="J137" s="163"/>
      <c r="K137" s="163"/>
      <c r="L137" s="164"/>
      <c r="M137" s="163"/>
      <c r="N137" s="163"/>
      <c r="O137" s="171"/>
      <c r="P137" s="163"/>
      <c r="Q137" s="168">
        <f t="shared" si="14"/>
        <v>0</v>
      </c>
      <c r="R137" s="168">
        <f t="shared" si="15"/>
        <v>0</v>
      </c>
      <c r="S137" s="169"/>
      <c r="U137" s="169"/>
      <c r="V137" s="169"/>
      <c r="W137" s="169"/>
      <c r="X137" s="169"/>
      <c r="Y137" s="169"/>
      <c r="Z137" s="169"/>
      <c r="AA137" s="169"/>
      <c r="AB137" s="169"/>
      <c r="AC137" s="169"/>
      <c r="AD137" s="169"/>
      <c r="AE137" s="169"/>
      <c r="AF137" s="169"/>
      <c r="AG137" s="169"/>
      <c r="AH137" s="169"/>
      <c r="AI137" s="169"/>
      <c r="AJ137" s="169"/>
      <c r="AK137" s="169"/>
      <c r="AL137" s="169"/>
      <c r="AM137" s="169"/>
      <c r="AN137" s="169"/>
      <c r="AO137" s="169"/>
    </row>
    <row r="138" spans="1:41" ht="15.75" customHeight="1">
      <c r="A138" s="134" t="s">
        <v>622</v>
      </c>
      <c r="B138" s="163">
        <f>('Pivot Table for Data Exchange'!$F$150)*100</f>
        <v>59.381144548903329</v>
      </c>
      <c r="C138" s="163">
        <f>('Pivot Table for Data Exchange'!$F$153)*100</f>
        <v>1.2929213303652876</v>
      </c>
      <c r="D138" s="164">
        <f t="shared" ref="D138:D141" si="32">SUM(E138:G138)</f>
        <v>39.325934120731382</v>
      </c>
      <c r="E138" s="163">
        <f>('Pivot Table for Data Exchange'!$F$156)*100</f>
        <v>39.099971484067659</v>
      </c>
      <c r="F138" s="163">
        <f>('Pivot Table for Data Exchange'!$F$159)*100</f>
        <v>0.15721087308021336</v>
      </c>
      <c r="G138" s="171">
        <f>('Pivot Table for Data Exchange'!$F$162)*100</f>
        <v>6.8751763583512121E-2</v>
      </c>
      <c r="H138" s="163">
        <f>('Pivot Table for Data Exchange'!$F$165)*100</f>
        <v>0</v>
      </c>
      <c r="I138" s="169" t="s">
        <v>622</v>
      </c>
      <c r="J138" s="163">
        <f>('Pivot Table for Data Exchange'!$F$168)*100</f>
        <v>56.307083051947629</v>
      </c>
      <c r="K138" s="163">
        <f>('Pivot Table for Data Exchange'!$F$171)*100</f>
        <v>4.309626997292141</v>
      </c>
      <c r="L138" s="164">
        <f t="shared" ref="L138:L141" si="33">SUM(M138:O138)</f>
        <v>39.383289950760229</v>
      </c>
      <c r="M138" s="163">
        <f>('Pivot Table for Data Exchange'!$F$174)*100</f>
        <v>39.378372530635524</v>
      </c>
      <c r="N138" s="163">
        <f>('Pivot Table for Data Exchange'!$F$177)*100</f>
        <v>4.917420124705774E-3</v>
      </c>
      <c r="O138" s="171">
        <f>('Pivot Table for Data Exchange'!$F$180)*100</f>
        <v>0</v>
      </c>
      <c r="P138" s="163">
        <f>('Pivot Table for Data Exchange'!$F$183)*100</f>
        <v>0</v>
      </c>
      <c r="Q138" s="168">
        <f t="shared" si="14"/>
        <v>100</v>
      </c>
      <c r="R138" s="168">
        <f t="shared" si="15"/>
        <v>100</v>
      </c>
      <c r="S138" s="169"/>
      <c r="T138" s="169"/>
      <c r="U138" s="169"/>
      <c r="V138" s="169"/>
      <c r="W138" s="169"/>
      <c r="X138" s="169"/>
      <c r="Y138" s="169"/>
      <c r="Z138" s="169"/>
      <c r="AA138" s="169"/>
      <c r="AB138" s="169"/>
      <c r="AC138" s="169"/>
      <c r="AD138" s="169"/>
      <c r="AE138" s="169"/>
      <c r="AF138" s="169"/>
      <c r="AG138" s="169"/>
      <c r="AH138" s="169"/>
      <c r="AI138" s="169"/>
      <c r="AJ138" s="169"/>
      <c r="AK138" s="169"/>
      <c r="AL138" s="169"/>
      <c r="AM138" s="169"/>
      <c r="AN138" s="169"/>
      <c r="AO138" s="169"/>
    </row>
    <row r="139" spans="1:41" ht="15.75" customHeight="1">
      <c r="A139" s="134" t="s">
        <v>623</v>
      </c>
      <c r="B139" s="163">
        <f>('Pivot Table for Data Exchange'!$F$186)*100</f>
        <v>63.636188271604944</v>
      </c>
      <c r="C139" s="163">
        <f>('Pivot Table for Data Exchange'!$F$189)*100</f>
        <v>0.11574074074074073</v>
      </c>
      <c r="D139" s="164">
        <f t="shared" si="32"/>
        <v>36.248070987654316</v>
      </c>
      <c r="E139" s="163">
        <f>('Pivot Table for Data Exchange'!$F$192)*100</f>
        <v>36.248070987654316</v>
      </c>
      <c r="F139" s="163">
        <f>('Pivot Table for Data Exchange'!$F$195)*100</f>
        <v>0</v>
      </c>
      <c r="G139" s="174">
        <f>('Pivot Table for Data Exchange'!$F$198)*100</f>
        <v>0</v>
      </c>
      <c r="H139" s="163">
        <f>('Pivot Table for Data Exchange'!$F$201)*100</f>
        <v>0</v>
      </c>
      <c r="I139" s="169" t="s">
        <v>623</v>
      </c>
      <c r="J139" s="163">
        <f>('Pivot Table for Data Exchange'!$F$204)*100</f>
        <v>57.210031347962385</v>
      </c>
      <c r="K139" s="163">
        <f>('Pivot Table for Data Exchange'!$F$207)*100</f>
        <v>0</v>
      </c>
      <c r="L139" s="164">
        <f t="shared" si="33"/>
        <v>42.789968652037622</v>
      </c>
      <c r="M139" s="163">
        <f>('Pivot Table for Data Exchange'!$F$210)*100</f>
        <v>42.789968652037622</v>
      </c>
      <c r="N139" s="163">
        <f>('Pivot Table for Data Exchange'!$F$213)*100</f>
        <v>0</v>
      </c>
      <c r="O139" s="171">
        <f>('Pivot Table for Data Exchange'!$F$216)*100</f>
        <v>0</v>
      </c>
      <c r="P139" s="163">
        <f>('Pivot Table for Data Exchange'!$F$219)*100</f>
        <v>0</v>
      </c>
      <c r="Q139" s="168">
        <f t="shared" ref="Q139:Q202" si="34">SUM(B139,C139,D139,H139)</f>
        <v>100</v>
      </c>
      <c r="R139" s="168">
        <f t="shared" ref="R139:R202" si="35">SUM(J139,K139,L139,P139)</f>
        <v>100</v>
      </c>
      <c r="S139" s="169"/>
      <c r="T139" s="169"/>
      <c r="U139" s="169"/>
      <c r="V139" s="169"/>
      <c r="W139" s="169"/>
      <c r="X139" s="169"/>
      <c r="Y139" s="169"/>
      <c r="Z139" s="169"/>
      <c r="AA139" s="169"/>
      <c r="AB139" s="169"/>
      <c r="AC139" s="169"/>
      <c r="AD139" s="169"/>
      <c r="AE139" s="169"/>
      <c r="AF139" s="169"/>
      <c r="AG139" s="169"/>
      <c r="AH139" s="169"/>
      <c r="AI139" s="169"/>
      <c r="AJ139" s="169"/>
      <c r="AK139" s="169"/>
      <c r="AL139" s="169"/>
      <c r="AM139" s="169"/>
      <c r="AN139" s="169"/>
      <c r="AO139" s="169"/>
    </row>
    <row r="140" spans="1:41" ht="15.75" customHeight="1">
      <c r="A140" s="134" t="s">
        <v>624</v>
      </c>
      <c r="B140" s="163">
        <f>('Pivot Table for Data Exchange'!$F$222)*100</f>
        <v>51.047624244143151</v>
      </c>
      <c r="C140" s="163">
        <f>('Pivot Table for Data Exchange'!$F$225)*100</f>
        <v>0</v>
      </c>
      <c r="D140" s="164">
        <f t="shared" si="32"/>
        <v>48.952375755856849</v>
      </c>
      <c r="E140" s="163">
        <f>('Pivot Table for Data Exchange'!$F$228)*100</f>
        <v>48.952375755856849</v>
      </c>
      <c r="F140" s="163">
        <f>('Pivot Table for Data Exchange'!$F$231)*100</f>
        <v>0</v>
      </c>
      <c r="G140" s="171">
        <f>('Pivot Table for Data Exchange'!$F$234)*100</f>
        <v>0</v>
      </c>
      <c r="H140" s="163">
        <f>('Pivot Table for Data Exchange'!$F$237)*100</f>
        <v>0</v>
      </c>
      <c r="I140" s="169" t="s">
        <v>624</v>
      </c>
      <c r="J140" s="163">
        <f>('Pivot Table for Data Exchange'!$F$240)*100</f>
        <v>22.744955900219839</v>
      </c>
      <c r="K140" s="163">
        <f>('Pivot Table for Data Exchange'!$F$243)*100</f>
        <v>0</v>
      </c>
      <c r="L140" s="164">
        <f t="shared" si="33"/>
        <v>77.25504409978015</v>
      </c>
      <c r="M140" s="163">
        <f>('Pivot Table for Data Exchange'!$F$246)*100</f>
        <v>77.25504409978015</v>
      </c>
      <c r="N140" s="163">
        <f>('Pivot Table for Data Exchange'!$F$249)*100</f>
        <v>0</v>
      </c>
      <c r="O140" s="171">
        <f>('Pivot Table for Data Exchange'!$F$252)*100</f>
        <v>0</v>
      </c>
      <c r="P140" s="163">
        <f>('Pivot Table for Data Exchange'!$F$255)*100</f>
        <v>0</v>
      </c>
      <c r="Q140" s="168">
        <f t="shared" si="34"/>
        <v>100</v>
      </c>
      <c r="R140" s="168">
        <f t="shared" si="35"/>
        <v>99.999999999999986</v>
      </c>
      <c r="S140" s="169"/>
      <c r="T140" s="143"/>
      <c r="U140" s="169"/>
      <c r="V140" s="169"/>
      <c r="W140" s="169"/>
      <c r="X140" s="169"/>
      <c r="Y140" s="169"/>
      <c r="Z140" s="169"/>
      <c r="AA140" s="169"/>
      <c r="AB140" s="169"/>
      <c r="AC140" s="169"/>
      <c r="AD140" s="169"/>
      <c r="AE140" s="169"/>
      <c r="AF140" s="169"/>
      <c r="AG140" s="169"/>
      <c r="AH140" s="169"/>
      <c r="AI140" s="169"/>
      <c r="AJ140" s="169"/>
      <c r="AK140" s="169"/>
      <c r="AL140" s="169"/>
      <c r="AM140" s="169"/>
      <c r="AN140" s="169"/>
      <c r="AO140" s="169"/>
    </row>
    <row r="141" spans="1:41" ht="15.75" customHeight="1">
      <c r="A141" s="134" t="s">
        <v>625</v>
      </c>
      <c r="B141" s="163">
        <f>('Pivot Table for Data Exchange'!$F$258)*100</f>
        <v>50.369008141004343</v>
      </c>
      <c r="C141" s="163">
        <f>('Pivot Table for Data Exchange'!$F$261)*100</f>
        <v>0.69134514926411783</v>
      </c>
      <c r="D141" s="164">
        <f t="shared" si="32"/>
        <v>48.939646709731534</v>
      </c>
      <c r="E141" s="163">
        <f>('Pivot Table for Data Exchange'!$F$264)*100</f>
        <v>43.652911517841737</v>
      </c>
      <c r="F141" s="163">
        <f>('Pivot Table for Data Exchange'!$F$267)*100</f>
        <v>5.2867351918898002</v>
      </c>
      <c r="G141" s="171">
        <f>('Pivot Table for Data Exchange'!$F$270)*100</f>
        <v>0</v>
      </c>
      <c r="H141" s="163">
        <f>('Pivot Table for Data Exchange'!$F$273)*100</f>
        <v>0</v>
      </c>
      <c r="I141" s="169" t="s">
        <v>625</v>
      </c>
      <c r="J141" s="163">
        <f>('Pivot Table for Data Exchange'!$F$276)*100</f>
        <v>35.696821515892417</v>
      </c>
      <c r="K141" s="163">
        <f>('Pivot Table for Data Exchange'!$F$279)*100</f>
        <v>4.6693503906217844</v>
      </c>
      <c r="L141" s="164">
        <f t="shared" si="33"/>
        <v>59.633828093485796</v>
      </c>
      <c r="M141" s="163">
        <f>('Pivot Table for Data Exchange'!$F$282)*100</f>
        <v>53.856412536119137</v>
      </c>
      <c r="N141" s="163">
        <f>('Pivot Table for Data Exchange'!$F$285)*100</f>
        <v>5.7774155573666572</v>
      </c>
      <c r="O141" s="171">
        <f>('Pivot Table for Data Exchange'!$F$288)*100</f>
        <v>0</v>
      </c>
      <c r="P141" s="163">
        <f>('Pivot Table for Data Exchange'!$F$291)*100</f>
        <v>0</v>
      </c>
      <c r="Q141" s="168">
        <f t="shared" si="34"/>
        <v>100</v>
      </c>
      <c r="R141" s="168">
        <f t="shared" si="35"/>
        <v>100</v>
      </c>
      <c r="S141" s="169"/>
      <c r="U141" s="169"/>
      <c r="V141" s="169"/>
      <c r="W141" s="169"/>
      <c r="X141" s="169"/>
      <c r="Y141" s="169"/>
      <c r="Z141" s="169"/>
      <c r="AA141" s="169"/>
      <c r="AB141" s="169"/>
      <c r="AC141" s="169"/>
      <c r="AD141" s="169"/>
      <c r="AE141" s="169"/>
      <c r="AF141" s="169"/>
      <c r="AG141" s="169"/>
      <c r="AH141" s="169"/>
      <c r="AI141" s="169"/>
      <c r="AJ141" s="169"/>
      <c r="AK141" s="169"/>
      <c r="AL141" s="169"/>
      <c r="AM141" s="169"/>
      <c r="AN141" s="169"/>
      <c r="AO141" s="169"/>
    </row>
    <row r="142" spans="1:41" ht="15.75" customHeight="1">
      <c r="B142" s="163"/>
      <c r="C142" s="163"/>
      <c r="D142" s="164"/>
      <c r="E142" s="163"/>
      <c r="F142" s="163"/>
      <c r="G142" s="171"/>
      <c r="H142" s="163"/>
      <c r="I142" s="169"/>
      <c r="J142" s="163"/>
      <c r="K142" s="163"/>
      <c r="L142" s="164"/>
      <c r="M142" s="163"/>
      <c r="N142" s="163"/>
      <c r="O142" s="171"/>
      <c r="P142" s="163"/>
      <c r="Q142" s="168">
        <f t="shared" si="34"/>
        <v>0</v>
      </c>
      <c r="R142" s="168">
        <f t="shared" si="35"/>
        <v>0</v>
      </c>
      <c r="S142" s="169"/>
      <c r="U142" s="169"/>
      <c r="V142" s="169"/>
      <c r="W142" s="169"/>
      <c r="X142" s="169"/>
      <c r="Y142" s="169"/>
      <c r="Z142" s="169"/>
      <c r="AA142" s="169"/>
      <c r="AB142" s="169"/>
      <c r="AC142" s="169"/>
      <c r="AD142" s="169"/>
      <c r="AE142" s="169"/>
      <c r="AF142" s="169"/>
      <c r="AG142" s="169"/>
      <c r="AH142" s="169"/>
      <c r="AI142" s="169"/>
      <c r="AJ142" s="169"/>
      <c r="AK142" s="169"/>
      <c r="AL142" s="169"/>
      <c r="AM142" s="169"/>
      <c r="AN142" s="169"/>
      <c r="AO142" s="169"/>
    </row>
    <row r="143" spans="1:41" ht="15.75" customHeight="1">
      <c r="A143" s="134" t="s">
        <v>626</v>
      </c>
      <c r="B143" s="163">
        <f>('Pivot Table for Data Exchange'!$F$294)*100</f>
        <v>52.58822545576183</v>
      </c>
      <c r="C143" s="163">
        <f>('Pivot Table for Data Exchange'!$F$297)*100</f>
        <v>2.6604479313962504</v>
      </c>
      <c r="D143" s="164">
        <f t="shared" ref="D143:D145" si="36">SUM(E143:G143)</f>
        <v>44.595097994495887</v>
      </c>
      <c r="E143" s="163">
        <f>('Pivot Table for Data Exchange'!$F$300)*100</f>
        <v>44.592817284739013</v>
      </c>
      <c r="F143" s="163">
        <f>('Pivot Table for Data Exchange'!$F$303)*100</f>
        <v>0</v>
      </c>
      <c r="G143" s="170">
        <f>('Pivot Table for Data Exchange'!$F$306)*100</f>
        <v>2.2807097568763399E-3</v>
      </c>
      <c r="H143" s="163">
        <f>('Pivot Table for Data Exchange'!$F$309)*100</f>
        <v>0.1562286183460293</v>
      </c>
      <c r="I143" s="169" t="s">
        <v>626</v>
      </c>
      <c r="J143" s="163">
        <f>('Pivot Table for Data Exchange'!$F$312)*100</f>
        <v>17.903743923586436</v>
      </c>
      <c r="K143" s="163">
        <f>('Pivot Table for Data Exchange'!$F$315)*100</f>
        <v>0.32123262358927707</v>
      </c>
      <c r="L143" s="164">
        <f t="shared" ref="L143:L145" si="37">SUM(M143:O143)</f>
        <v>81.416834863689346</v>
      </c>
      <c r="M143" s="163">
        <f>('Pivot Table for Data Exchange'!$F$318)*100</f>
        <v>81.374193364982801</v>
      </c>
      <c r="N143" s="163">
        <f>('Pivot Table for Data Exchange'!$F$321)*100</f>
        <v>0</v>
      </c>
      <c r="O143" s="171">
        <f>('Pivot Table for Data Exchange'!$F$324)*100</f>
        <v>4.2641498706541207E-2</v>
      </c>
      <c r="P143" s="163">
        <f>('Pivot Table for Data Exchange'!$F$327)*100</f>
        <v>0.35818858913494611</v>
      </c>
      <c r="Q143" s="168">
        <f t="shared" si="34"/>
        <v>100</v>
      </c>
      <c r="R143" s="168">
        <f t="shared" si="35"/>
        <v>100</v>
      </c>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row>
    <row r="144" spans="1:41" ht="15.75" customHeight="1">
      <c r="A144" s="134" t="s">
        <v>627</v>
      </c>
      <c r="B144" s="163">
        <f>('Pivot Table for Data Exchange'!$F$330)*100</f>
        <v>37.005324075616535</v>
      </c>
      <c r="C144" s="163">
        <f>('Pivot Table for Data Exchange'!$F$333)*100</f>
        <v>0.14659532360917688</v>
      </c>
      <c r="D144" s="164">
        <f t="shared" si="36"/>
        <v>62.848080600774288</v>
      </c>
      <c r="E144" s="163">
        <f>('Pivot Table for Data Exchange'!$F$336)*100</f>
        <v>62.82809032937304</v>
      </c>
      <c r="F144" s="163">
        <f>('Pivot Table for Data Exchange'!$F$339)*100</f>
        <v>1.9990271401251394E-2</v>
      </c>
      <c r="G144" s="174">
        <f>('Pivot Table for Data Exchange'!$F$342)*100</f>
        <v>0</v>
      </c>
      <c r="H144" s="163">
        <f>('Pivot Table for Data Exchange'!$F$345)*100</f>
        <v>0</v>
      </c>
      <c r="I144" s="169" t="s">
        <v>627</v>
      </c>
      <c r="J144" s="163">
        <f>('Pivot Table for Data Exchange'!$F$348)*100</f>
        <v>21.893659368780209</v>
      </c>
      <c r="K144" s="163">
        <f>('Pivot Table for Data Exchange'!$F$351)*100</f>
        <v>0</v>
      </c>
      <c r="L144" s="164">
        <f t="shared" si="37"/>
        <v>78.10634063121978</v>
      </c>
      <c r="M144" s="163">
        <f>('Pivot Table for Data Exchange'!$F$354)*100</f>
        <v>78.089280636906452</v>
      </c>
      <c r="N144" s="163">
        <f>('Pivot Table for Data Exchange'!$F$357)*100</f>
        <v>1.7059994313335231E-2</v>
      </c>
      <c r="O144" s="171">
        <f>('Pivot Table for Data Exchange'!$F$360)*100</f>
        <v>0</v>
      </c>
      <c r="P144" s="163">
        <f>('Pivot Table for Data Exchange'!$F$363)*100</f>
        <v>0</v>
      </c>
      <c r="Q144" s="168">
        <f t="shared" si="34"/>
        <v>100</v>
      </c>
      <c r="R144" s="168">
        <f t="shared" si="35"/>
        <v>99.999999999999986</v>
      </c>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row>
    <row r="145" spans="1:41" ht="15.75" customHeight="1">
      <c r="A145" s="134" t="s">
        <v>628</v>
      </c>
      <c r="B145" s="163">
        <f>('Pivot Table for Data Exchange'!$F$366)*100</f>
        <v>0</v>
      </c>
      <c r="C145" s="163">
        <f>('Pivot Table for Data Exchange'!$F$369)*100</f>
        <v>0</v>
      </c>
      <c r="D145" s="164">
        <f t="shared" si="36"/>
        <v>0</v>
      </c>
      <c r="E145" s="163">
        <f>('Pivot Table for Data Exchange'!$F$372)*100</f>
        <v>0</v>
      </c>
      <c r="F145" s="163">
        <f>('Pivot Table for Data Exchange'!$F$375)*100</f>
        <v>0</v>
      </c>
      <c r="G145" s="171">
        <f>('Pivot Table for Data Exchange'!$F$378)*100</f>
        <v>0</v>
      </c>
      <c r="H145" s="163">
        <f>('Pivot Table for Data Exchange'!$F$381)*100</f>
        <v>0</v>
      </c>
      <c r="I145" s="169" t="s">
        <v>628</v>
      </c>
      <c r="J145" s="163">
        <f>('Pivot Table for Data Exchange'!$F$384)*100</f>
        <v>0</v>
      </c>
      <c r="K145" s="163">
        <f>('Pivot Table for Data Exchange'!$F$387)*100</f>
        <v>0</v>
      </c>
      <c r="L145" s="164">
        <f t="shared" si="37"/>
        <v>0</v>
      </c>
      <c r="M145" s="163">
        <f>('Pivot Table for Data Exchange'!$F$390)*100</f>
        <v>0</v>
      </c>
      <c r="N145" s="163">
        <f>('Pivot Table for Data Exchange'!$F$393)*100</f>
        <v>0</v>
      </c>
      <c r="O145" s="171">
        <f>('Pivot Table for Data Exchange'!$F$396)*100</f>
        <v>0</v>
      </c>
      <c r="P145" s="163">
        <f>('Pivot Table for Data Exchange'!$F$399)*100</f>
        <v>0</v>
      </c>
      <c r="Q145" s="168">
        <f t="shared" si="34"/>
        <v>0</v>
      </c>
      <c r="R145" s="168">
        <f t="shared" si="35"/>
        <v>0</v>
      </c>
      <c r="S145" s="169"/>
      <c r="T145" s="143"/>
      <c r="U145" s="169"/>
      <c r="V145" s="169"/>
      <c r="W145" s="169"/>
      <c r="X145" s="169"/>
      <c r="Y145" s="169"/>
      <c r="Z145" s="169"/>
      <c r="AA145" s="169"/>
      <c r="AB145" s="169"/>
      <c r="AC145" s="169"/>
      <c r="AD145" s="169"/>
      <c r="AE145" s="169"/>
      <c r="AF145" s="169"/>
      <c r="AG145" s="169"/>
      <c r="AH145" s="169"/>
      <c r="AI145" s="169"/>
      <c r="AJ145" s="169"/>
      <c r="AK145" s="169"/>
      <c r="AL145" s="169"/>
      <c r="AM145" s="169"/>
      <c r="AN145" s="169"/>
      <c r="AO145" s="169"/>
    </row>
    <row r="146" spans="1:41" ht="15.75" customHeight="1">
      <c r="A146" s="134" t="s">
        <v>629</v>
      </c>
      <c r="B146" s="163">
        <f>('Pivot Table for Data Exchange'!$F$402)*100</f>
        <v>75.762664032735998</v>
      </c>
      <c r="C146" s="163">
        <f>('Pivot Table for Data Exchange'!$F$405)*100</f>
        <v>0.48433751940172143</v>
      </c>
      <c r="D146" s="164">
        <f>SUM(E146:G146)</f>
        <v>23.752998447862282</v>
      </c>
      <c r="E146" s="163">
        <f>('Pivot Table for Data Exchange'!$F$408)*100</f>
        <v>23.752998447862282</v>
      </c>
      <c r="F146" s="163">
        <f>('Pivot Table for Data Exchange'!$F$411)*100</f>
        <v>0</v>
      </c>
      <c r="G146" s="171">
        <f>('Pivot Table for Data Exchange'!$F$414)*100</f>
        <v>0</v>
      </c>
      <c r="H146" s="163">
        <f>('Pivot Table for Data Exchange'!$F$417)*100</f>
        <v>0</v>
      </c>
      <c r="I146" s="169" t="s">
        <v>629</v>
      </c>
      <c r="J146" s="163">
        <f>('Pivot Table for Data Exchange'!$F$420)*100</f>
        <v>33.677979479084449</v>
      </c>
      <c r="K146" s="163">
        <f>('Pivot Table for Data Exchange'!$F$423)*100</f>
        <v>4.0252565114443568</v>
      </c>
      <c r="L146" s="164">
        <f>SUM(M146:O146)</f>
        <v>62.296764009471197</v>
      </c>
      <c r="M146" s="163">
        <f>('Pivot Table for Data Exchange'!$F$426)*100</f>
        <v>62.296764009471197</v>
      </c>
      <c r="N146" s="163">
        <f>('Pivot Table for Data Exchange'!$F$429)*100</f>
        <v>0</v>
      </c>
      <c r="O146" s="171">
        <f>('Pivot Table for Data Exchange'!$F$432)*100</f>
        <v>0</v>
      </c>
      <c r="P146" s="163">
        <f>('Pivot Table for Data Exchange'!$F$435)*100</f>
        <v>0</v>
      </c>
      <c r="Q146" s="168">
        <f t="shared" si="34"/>
        <v>100</v>
      </c>
      <c r="R146" s="168">
        <f t="shared" si="35"/>
        <v>100</v>
      </c>
      <c r="S146" s="169"/>
      <c r="T146" s="169"/>
      <c r="U146" s="169"/>
      <c r="V146" s="169"/>
      <c r="W146" s="169"/>
      <c r="X146" s="169"/>
      <c r="Y146" s="169"/>
      <c r="Z146" s="169"/>
      <c r="AA146" s="169"/>
      <c r="AB146" s="169"/>
      <c r="AC146" s="169"/>
      <c r="AD146" s="169"/>
      <c r="AE146" s="169"/>
      <c r="AF146" s="169"/>
      <c r="AG146" s="169"/>
      <c r="AH146" s="169"/>
      <c r="AI146" s="169"/>
      <c r="AJ146" s="169"/>
      <c r="AK146" s="169"/>
      <c r="AL146" s="169"/>
      <c r="AM146" s="169"/>
      <c r="AN146" s="169"/>
      <c r="AO146" s="169"/>
    </row>
    <row r="147" spans="1:41" ht="15.75" customHeight="1">
      <c r="B147" s="163"/>
      <c r="C147" s="163"/>
      <c r="D147" s="164"/>
      <c r="E147" s="163"/>
      <c r="F147" s="163"/>
      <c r="G147" s="171"/>
      <c r="H147" s="163"/>
      <c r="I147" s="169"/>
      <c r="J147" s="163"/>
      <c r="K147" s="163"/>
      <c r="L147" s="164"/>
      <c r="M147" s="163"/>
      <c r="N147" s="163"/>
      <c r="O147" s="171"/>
      <c r="P147" s="163"/>
      <c r="Q147" s="168">
        <f t="shared" si="34"/>
        <v>0</v>
      </c>
      <c r="R147" s="168">
        <f t="shared" si="35"/>
        <v>0</v>
      </c>
      <c r="S147" s="169"/>
      <c r="T147" s="169"/>
      <c r="U147" s="169"/>
      <c r="V147" s="169"/>
      <c r="W147" s="169"/>
      <c r="X147" s="169"/>
      <c r="Y147" s="169"/>
      <c r="Z147" s="169"/>
      <c r="AA147" s="169"/>
      <c r="AB147" s="169"/>
      <c r="AC147" s="169"/>
      <c r="AD147" s="169"/>
      <c r="AE147" s="169"/>
      <c r="AF147" s="169"/>
      <c r="AG147" s="169"/>
      <c r="AH147" s="169"/>
      <c r="AI147" s="169"/>
      <c r="AJ147" s="169"/>
      <c r="AK147" s="169"/>
      <c r="AL147" s="169"/>
      <c r="AM147" s="169"/>
      <c r="AN147" s="169"/>
      <c r="AO147" s="169"/>
    </row>
    <row r="148" spans="1:41" ht="15.75" customHeight="1">
      <c r="A148" s="134" t="s">
        <v>630</v>
      </c>
      <c r="B148" s="163">
        <f>('Pivot Table for Data Exchange'!$F$438)*100</f>
        <v>48.496981450780439</v>
      </c>
      <c r="C148" s="163">
        <f>('Pivot Table for Data Exchange'!$F$441)*100</f>
        <v>6.9223310081641589</v>
      </c>
      <c r="D148" s="164">
        <f>SUM(E148:G148)</f>
        <v>44.465576026775942</v>
      </c>
      <c r="E148" s="163">
        <f>('Pivot Table for Data Exchange'!$F$444)*100</f>
        <v>43.060464825299512</v>
      </c>
      <c r="F148" s="163">
        <f>('Pivot Table for Data Exchange'!$F$447)*100</f>
        <v>1.3600675654540337</v>
      </c>
      <c r="G148" s="171">
        <f>('Pivot Table for Data Exchange'!$F$450)*100</f>
        <v>4.5043636022396694E-2</v>
      </c>
      <c r="H148" s="163">
        <f>('Pivot Table for Data Exchange'!$F$453)*100</f>
        <v>0.11511151427945822</v>
      </c>
      <c r="I148" s="169" t="s">
        <v>630</v>
      </c>
      <c r="J148" s="163">
        <f>('Pivot Table for Data Exchange'!$F$456)*100</f>
        <v>4.8190704853369919</v>
      </c>
      <c r="K148" s="163">
        <f>('Pivot Table for Data Exchange'!$F$459)*100</f>
        <v>0</v>
      </c>
      <c r="L148" s="164">
        <f>SUM(M148:O148)</f>
        <v>95.180929514663006</v>
      </c>
      <c r="M148" s="163">
        <f>('Pivot Table for Data Exchange'!$F$462)*100</f>
        <v>95.180929514663006</v>
      </c>
      <c r="N148" s="163">
        <f>('Pivot Table for Data Exchange'!$F$465)*100</f>
        <v>0</v>
      </c>
      <c r="O148" s="171">
        <f>('Pivot Table for Data Exchange'!$F$468)*100</f>
        <v>0</v>
      </c>
      <c r="P148" s="163">
        <f>('Pivot Table for Data Exchange'!$F$471)*100</f>
        <v>0</v>
      </c>
      <c r="Q148" s="168">
        <f t="shared" si="34"/>
        <v>100</v>
      </c>
      <c r="R148" s="168">
        <f t="shared" si="35"/>
        <v>100</v>
      </c>
      <c r="S148" s="169"/>
      <c r="T148" s="169"/>
      <c r="U148" s="169"/>
      <c r="V148" s="169"/>
      <c r="W148" s="169"/>
      <c r="X148" s="169"/>
      <c r="Y148" s="169"/>
      <c r="Z148" s="169"/>
      <c r="AA148" s="169"/>
      <c r="AB148" s="169"/>
      <c r="AC148" s="169"/>
      <c r="AD148" s="169"/>
      <c r="AE148" s="169"/>
      <c r="AF148" s="169"/>
      <c r="AG148" s="169"/>
      <c r="AH148" s="169"/>
      <c r="AI148" s="169"/>
      <c r="AJ148" s="169"/>
      <c r="AK148" s="169"/>
      <c r="AL148" s="169"/>
      <c r="AM148" s="169"/>
      <c r="AN148" s="169"/>
      <c r="AO148" s="169"/>
    </row>
    <row r="149" spans="1:41" ht="15.75" customHeight="1">
      <c r="A149" s="134" t="s">
        <v>631</v>
      </c>
      <c r="B149" s="163">
        <f>('Pivot Table for Data Exchange'!$F$474)*100</f>
        <v>26.014650974737997</v>
      </c>
      <c r="C149" s="163">
        <f>('Pivot Table for Data Exchange'!$F$477)*100</f>
        <v>0.95982545148319987</v>
      </c>
      <c r="D149" s="164">
        <f>SUM(E149:G149)</f>
        <v>73.025523573778813</v>
      </c>
      <c r="E149" s="163">
        <f>('Pivot Table for Data Exchange'!$F$480)*100</f>
        <v>72.604942032475847</v>
      </c>
      <c r="F149" s="163">
        <f>('Pivot Table for Data Exchange'!$F$483)*100</f>
        <v>0.35726304608214821</v>
      </c>
      <c r="G149" s="171">
        <f>('Pivot Table for Data Exchange'!$F$486)*100</f>
        <v>6.331849522080929E-2</v>
      </c>
      <c r="H149" s="163">
        <f>('Pivot Table for Data Exchange'!$F$489)*100</f>
        <v>0</v>
      </c>
      <c r="I149" s="169" t="s">
        <v>631</v>
      </c>
      <c r="J149" s="163">
        <f>('Pivot Table for Data Exchange'!$F$492)*100</f>
        <v>12.405750948344494</v>
      </c>
      <c r="K149" s="163">
        <f>('Pivot Table for Data Exchange'!$F$495)*100</f>
        <v>6.8140308153421065</v>
      </c>
      <c r="L149" s="164">
        <f>SUM(M149:O149)</f>
        <v>80.780218236313388</v>
      </c>
      <c r="M149" s="163">
        <f>('Pivot Table for Data Exchange'!$F$498)*100</f>
        <v>78.637662155200672</v>
      </c>
      <c r="N149" s="163">
        <f>('Pivot Table for Data Exchange'!$F$501)*100</f>
        <v>0.8359481103357842</v>
      </c>
      <c r="O149" s="171">
        <f>('Pivot Table for Data Exchange'!$F$504)*100</f>
        <v>1.30660797077694</v>
      </c>
      <c r="P149" s="163">
        <f>('Pivot Table for Data Exchange'!$F$507)*100</f>
        <v>0</v>
      </c>
      <c r="Q149" s="168">
        <f t="shared" si="34"/>
        <v>100.00000000000001</v>
      </c>
      <c r="R149" s="168">
        <f t="shared" si="35"/>
        <v>99.999999999999986</v>
      </c>
      <c r="S149" s="169"/>
      <c r="T149" s="169"/>
      <c r="U149" s="169"/>
      <c r="V149" s="169"/>
      <c r="W149" s="169"/>
      <c r="X149" s="169"/>
      <c r="Y149" s="169"/>
      <c r="Z149" s="169"/>
      <c r="AA149" s="169"/>
      <c r="AB149" s="169"/>
      <c r="AC149" s="169"/>
      <c r="AD149" s="169"/>
      <c r="AE149" s="169"/>
      <c r="AF149" s="169"/>
      <c r="AG149" s="169"/>
      <c r="AH149" s="169"/>
      <c r="AI149" s="169"/>
      <c r="AJ149" s="169"/>
      <c r="AK149" s="169"/>
      <c r="AL149" s="169"/>
      <c r="AM149" s="169"/>
      <c r="AN149" s="169"/>
      <c r="AO149" s="169"/>
    </row>
    <row r="150" spans="1:41" ht="15.75" customHeight="1">
      <c r="A150" s="134" t="s">
        <v>632</v>
      </c>
      <c r="B150" s="163">
        <f>('Pivot Table for Data Exchange'!$F$510)*100</f>
        <v>68.14447157205305</v>
      </c>
      <c r="C150" s="163">
        <f>('Pivot Table for Data Exchange'!$F$513)*100</f>
        <v>5.8478677212321452E-2</v>
      </c>
      <c r="D150" s="164">
        <f t="shared" ref="D150" si="38">SUM(E150:G150)</f>
        <v>31.79704975073464</v>
      </c>
      <c r="E150" s="163">
        <f>('Pivot Table for Data Exchange'!$F$516)*100</f>
        <v>31.79704975073464</v>
      </c>
      <c r="F150" s="163">
        <f>('Pivot Table for Data Exchange'!$F$519)*100</f>
        <v>0</v>
      </c>
      <c r="G150" s="171">
        <f>('Pivot Table for Data Exchange'!$F$522)*100</f>
        <v>0</v>
      </c>
      <c r="H150" s="163">
        <f>('Pivot Table for Data Exchange'!$F$525)*100</f>
        <v>0</v>
      </c>
      <c r="I150" s="169" t="s">
        <v>632</v>
      </c>
      <c r="J150" s="163">
        <f>('Pivot Table for Data Exchange'!$F$528)*100</f>
        <v>72.064203941933201</v>
      </c>
      <c r="K150" s="163">
        <f>('Pivot Table for Data Exchange'!$F$531)*100</f>
        <v>0</v>
      </c>
      <c r="L150" s="164">
        <f t="shared" ref="L150" si="39">SUM(M150:O150)</f>
        <v>27.935796058066803</v>
      </c>
      <c r="M150" s="163">
        <f>('Pivot Table for Data Exchange'!$F$534)*100</f>
        <v>27.935796058066803</v>
      </c>
      <c r="N150" s="163">
        <f>('Pivot Table for Data Exchange'!$F$537)*100</f>
        <v>0</v>
      </c>
      <c r="O150" s="171">
        <f>('Pivot Table for Data Exchange'!$F$540)*100</f>
        <v>0</v>
      </c>
      <c r="P150" s="163">
        <f>('Pivot Table for Data Exchange'!$F$543)*100</f>
        <v>0</v>
      </c>
      <c r="Q150" s="168">
        <f t="shared" si="34"/>
        <v>100.00000000000001</v>
      </c>
      <c r="R150" s="168">
        <f t="shared" si="35"/>
        <v>100</v>
      </c>
      <c r="S150" s="169"/>
      <c r="T150" s="169"/>
      <c r="U150" s="169"/>
      <c r="V150" s="169"/>
      <c r="W150" s="169"/>
      <c r="X150" s="169"/>
      <c r="Y150" s="169"/>
      <c r="Z150" s="169"/>
      <c r="AA150" s="169"/>
      <c r="AB150" s="169"/>
      <c r="AC150" s="169"/>
      <c r="AD150" s="169"/>
      <c r="AE150" s="169"/>
      <c r="AF150" s="169"/>
      <c r="AG150" s="169"/>
      <c r="AH150" s="169"/>
      <c r="AI150" s="169"/>
      <c r="AJ150" s="169"/>
      <c r="AK150" s="169"/>
      <c r="AL150" s="169"/>
      <c r="AM150" s="169"/>
      <c r="AN150" s="169"/>
      <c r="AO150" s="169"/>
    </row>
    <row r="151" spans="1:41" ht="15.75" customHeight="1">
      <c r="A151" s="140" t="s">
        <v>633</v>
      </c>
      <c r="B151" s="176">
        <f>('Pivot Table for Data Exchange'!$F$546)*100</f>
        <v>60.704628725940388</v>
      </c>
      <c r="C151" s="176">
        <f>('Pivot Table for Data Exchange'!$F$549)*100</f>
        <v>12.900593590502552</v>
      </c>
      <c r="D151" s="177">
        <f>SUM(E151:G151)</f>
        <v>26.394777683557063</v>
      </c>
      <c r="E151" s="176">
        <f>('Pivot Table for Data Exchange'!$F$552)*100</f>
        <v>26.394777683557063</v>
      </c>
      <c r="F151" s="176">
        <f>('Pivot Table for Data Exchange'!$F$555)*100</f>
        <v>0</v>
      </c>
      <c r="G151" s="178">
        <f>('Pivot Table for Data Exchange'!$F$558)*100</f>
        <v>0</v>
      </c>
      <c r="H151" s="176">
        <f>('Pivot Table for Data Exchange'!$F$561)*100</f>
        <v>0</v>
      </c>
      <c r="I151" s="179" t="s">
        <v>633</v>
      </c>
      <c r="J151" s="176">
        <f>('Pivot Table for Data Exchange'!$F$564)*100</f>
        <v>52.006602702981532</v>
      </c>
      <c r="K151" s="176">
        <f>('Pivot Table for Data Exchange'!$F$567)*100</f>
        <v>10.677808727948005</v>
      </c>
      <c r="L151" s="177">
        <f>SUM(M151:O151)</f>
        <v>37.315588569070464</v>
      </c>
      <c r="M151" s="176">
        <f>('Pivot Table for Data Exchange'!$F$570)*100</f>
        <v>37.315588569070464</v>
      </c>
      <c r="N151" s="176">
        <f>('Pivot Table for Data Exchange'!$F$573)*100</f>
        <v>0</v>
      </c>
      <c r="O151" s="178">
        <f>('Pivot Table for Data Exchange'!$F$576)*100</f>
        <v>0</v>
      </c>
      <c r="P151" s="176">
        <f>('Pivot Table for Data Exchange'!$F$579)*100</f>
        <v>0</v>
      </c>
      <c r="Q151" s="168">
        <f t="shared" si="34"/>
        <v>100</v>
      </c>
      <c r="R151" s="168">
        <f t="shared" si="35"/>
        <v>100</v>
      </c>
      <c r="S151" s="169"/>
      <c r="T151" s="169"/>
      <c r="U151" s="169"/>
      <c r="V151" s="169"/>
      <c r="W151" s="169"/>
      <c r="X151" s="169"/>
      <c r="Y151" s="169"/>
      <c r="Z151" s="169"/>
      <c r="AA151" s="169"/>
      <c r="AB151" s="169"/>
      <c r="AC151" s="169"/>
      <c r="AD151" s="169"/>
      <c r="AE151" s="169"/>
      <c r="AF151" s="169"/>
      <c r="AG151" s="169"/>
      <c r="AH151" s="169"/>
      <c r="AI151" s="169"/>
      <c r="AJ151" s="169"/>
      <c r="AK151" s="169"/>
      <c r="AL151" s="169"/>
      <c r="AM151" s="169"/>
      <c r="AN151" s="169"/>
      <c r="AO151" s="169"/>
    </row>
    <row r="152" spans="1:41" s="181" customFormat="1" ht="12.75" customHeight="1">
      <c r="A152" s="182" t="s">
        <v>658</v>
      </c>
      <c r="B152" s="183"/>
      <c r="C152" s="183"/>
      <c r="D152" s="184"/>
      <c r="E152" s="183"/>
      <c r="F152" s="184"/>
      <c r="G152" s="184"/>
      <c r="H152" s="183"/>
      <c r="I152" s="182" t="s">
        <v>658</v>
      </c>
      <c r="J152" s="183"/>
      <c r="K152" s="183"/>
      <c r="L152" s="184"/>
      <c r="M152" s="183"/>
      <c r="N152" s="184"/>
      <c r="O152" s="184"/>
      <c r="P152" s="183"/>
      <c r="Q152" s="168"/>
      <c r="R152" s="168"/>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row>
    <row r="153" spans="1:41" s="181" customFormat="1" ht="24" customHeight="1">
      <c r="A153" s="633" t="s">
        <v>664</v>
      </c>
      <c r="B153" s="650"/>
      <c r="C153" s="650"/>
      <c r="D153" s="650"/>
      <c r="E153" s="650"/>
      <c r="F153" s="650"/>
      <c r="G153" s="650"/>
      <c r="H153" s="650"/>
      <c r="I153" s="633" t="s">
        <v>664</v>
      </c>
      <c r="J153" s="650"/>
      <c r="K153" s="650"/>
      <c r="L153" s="650"/>
      <c r="M153" s="650"/>
      <c r="N153" s="650"/>
      <c r="O153" s="650"/>
      <c r="P153" s="650"/>
      <c r="Q153" s="168"/>
      <c r="R153" s="168"/>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row>
    <row r="154" spans="1:41" s="181" customFormat="1" ht="9.75" customHeight="1">
      <c r="A154" s="186"/>
      <c r="B154" s="136"/>
      <c r="C154" s="136"/>
      <c r="D154" s="136"/>
      <c r="E154" s="136"/>
      <c r="F154" s="136"/>
      <c r="G154" s="136"/>
      <c r="H154" s="136"/>
      <c r="I154" s="186"/>
      <c r="J154" s="136"/>
      <c r="K154" s="136"/>
      <c r="L154" s="136"/>
      <c r="M154" s="136"/>
      <c r="N154" s="136"/>
      <c r="O154" s="136"/>
      <c r="P154" s="136"/>
      <c r="Q154" s="168"/>
      <c r="R154" s="168"/>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row>
    <row r="155" spans="1:41" s="181" customFormat="1" ht="13.5" customHeight="1">
      <c r="A155" s="192"/>
      <c r="B155" s="193"/>
      <c r="H155" s="187" t="s">
        <v>992</v>
      </c>
      <c r="I155" s="192"/>
      <c r="P155" s="187" t="s">
        <v>992</v>
      </c>
      <c r="Q155" s="168"/>
      <c r="R155" s="168"/>
    </row>
    <row r="156" spans="1:41" ht="18">
      <c r="A156" s="129" t="s">
        <v>667</v>
      </c>
      <c r="B156" s="130"/>
      <c r="C156" s="130"/>
      <c r="D156" s="130"/>
      <c r="E156" s="130"/>
      <c r="F156" s="130"/>
      <c r="G156" s="130"/>
      <c r="H156" s="130"/>
      <c r="I156" s="129" t="s">
        <v>668</v>
      </c>
      <c r="J156" s="131"/>
      <c r="K156" s="131"/>
      <c r="L156" s="130"/>
      <c r="M156" s="131"/>
      <c r="N156" s="131"/>
      <c r="O156" s="131"/>
      <c r="P156" s="131"/>
      <c r="Q156" s="168"/>
      <c r="R156" s="168"/>
    </row>
    <row r="157" spans="1:41">
      <c r="A157" s="135"/>
      <c r="B157" s="131"/>
      <c r="C157" s="131"/>
      <c r="D157" s="131"/>
      <c r="E157" s="131"/>
      <c r="F157" s="131"/>
      <c r="G157" s="131"/>
      <c r="H157" s="131"/>
      <c r="I157" s="135"/>
      <c r="J157" s="131"/>
      <c r="K157" s="131"/>
      <c r="L157" s="131"/>
      <c r="M157" s="131"/>
      <c r="N157" s="131"/>
      <c r="O157" s="131"/>
      <c r="P157" s="131"/>
      <c r="Q157" s="168"/>
      <c r="R157" s="168"/>
    </row>
    <row r="158" spans="1:41" ht="15.75">
      <c r="A158" s="137" t="s">
        <v>639</v>
      </c>
      <c r="B158" s="131"/>
      <c r="C158" s="131"/>
      <c r="D158" s="131"/>
      <c r="E158" s="131"/>
      <c r="F158" s="131"/>
      <c r="G158" s="131"/>
      <c r="H158" s="131"/>
      <c r="I158" s="137" t="s">
        <v>640</v>
      </c>
      <c r="J158" s="131"/>
      <c r="K158" s="131"/>
      <c r="L158" s="131"/>
      <c r="M158" s="131"/>
      <c r="N158" s="131"/>
      <c r="O158" s="131"/>
      <c r="P158" s="131"/>
      <c r="Q158" s="168"/>
      <c r="R158" s="168"/>
    </row>
    <row r="159" spans="1:41" ht="15.75">
      <c r="A159" s="137" t="s">
        <v>868</v>
      </c>
      <c r="B159" s="131"/>
      <c r="C159" s="131"/>
      <c r="D159" s="131"/>
      <c r="E159" s="131"/>
      <c r="F159" s="131"/>
      <c r="G159" s="131"/>
      <c r="H159" s="131"/>
      <c r="I159" s="137" t="s">
        <v>868</v>
      </c>
      <c r="J159" s="131"/>
      <c r="K159" s="131"/>
      <c r="L159" s="131"/>
      <c r="M159" s="131"/>
      <c r="N159" s="131"/>
      <c r="O159" s="131"/>
      <c r="P159" s="131"/>
      <c r="Q159" s="168"/>
      <c r="R159" s="168"/>
    </row>
    <row r="160" spans="1:41">
      <c r="A160" s="140"/>
      <c r="B160" s="141"/>
      <c r="C160" s="141"/>
      <c r="D160" s="141"/>
      <c r="E160" s="141"/>
      <c r="F160" s="141"/>
      <c r="G160" s="141"/>
      <c r="H160" s="141"/>
      <c r="I160" s="142"/>
      <c r="L160" s="143"/>
      <c r="P160" s="140"/>
      <c r="Q160" s="168"/>
      <c r="R160" s="168"/>
    </row>
    <row r="161" spans="1:41" s="150" customFormat="1">
      <c r="A161" s="145"/>
      <c r="B161" s="146" t="s">
        <v>641</v>
      </c>
      <c r="C161" s="146"/>
      <c r="D161" s="146"/>
      <c r="E161" s="146"/>
      <c r="F161" s="146"/>
      <c r="G161" s="146"/>
      <c r="H161" s="147"/>
      <c r="I161" s="145"/>
      <c r="J161" s="146" t="s">
        <v>641</v>
      </c>
      <c r="K161" s="146"/>
      <c r="L161" s="146"/>
      <c r="M161" s="146"/>
      <c r="N161" s="146"/>
      <c r="O161" s="146"/>
      <c r="P161" s="147"/>
      <c r="Q161" s="168"/>
      <c r="R161" s="168"/>
    </row>
    <row r="162" spans="1:41" s="150" customFormat="1">
      <c r="A162" s="145"/>
      <c r="B162" s="146" t="s">
        <v>642</v>
      </c>
      <c r="C162" s="146"/>
      <c r="D162" s="639" t="s">
        <v>643</v>
      </c>
      <c r="E162" s="637"/>
      <c r="F162" s="637"/>
      <c r="G162" s="637"/>
      <c r="H162" s="153" t="s">
        <v>533</v>
      </c>
      <c r="I162" s="145"/>
      <c r="J162" s="146" t="s">
        <v>642</v>
      </c>
      <c r="K162" s="146"/>
      <c r="L162" s="639" t="s">
        <v>643</v>
      </c>
      <c r="M162" s="637"/>
      <c r="N162" s="637"/>
      <c r="O162" s="637"/>
      <c r="P162" s="153" t="s">
        <v>533</v>
      </c>
      <c r="Q162" s="168"/>
      <c r="R162" s="168"/>
    </row>
    <row r="163" spans="1:41" s="150" customFormat="1" ht="40.5" customHeight="1">
      <c r="A163" s="145"/>
      <c r="B163" s="154" t="s">
        <v>644</v>
      </c>
      <c r="C163" s="155" t="s">
        <v>645</v>
      </c>
      <c r="D163" s="156" t="s">
        <v>646</v>
      </c>
      <c r="E163" s="157" t="s">
        <v>8</v>
      </c>
      <c r="F163" s="154" t="s">
        <v>647</v>
      </c>
      <c r="G163" s="158" t="s">
        <v>656</v>
      </c>
      <c r="H163" s="159" t="s">
        <v>649</v>
      </c>
      <c r="I163" s="145"/>
      <c r="J163" s="154" t="s">
        <v>644</v>
      </c>
      <c r="K163" s="155" t="s">
        <v>645</v>
      </c>
      <c r="L163" s="156" t="s">
        <v>646</v>
      </c>
      <c r="M163" s="157" t="s">
        <v>8</v>
      </c>
      <c r="N163" s="154" t="s">
        <v>647</v>
      </c>
      <c r="O163" s="158" t="s">
        <v>656</v>
      </c>
      <c r="P163" s="159" t="s">
        <v>649</v>
      </c>
      <c r="Q163" s="168"/>
      <c r="R163" s="168"/>
      <c r="T163" s="188"/>
    </row>
    <row r="164" spans="1:41" ht="15.75" customHeight="1">
      <c r="A164" s="189" t="s">
        <v>618</v>
      </c>
      <c r="B164" s="163">
        <f>('Pivot Table for Data Exchange'!$G$6)*100</f>
        <v>39.553370146651062</v>
      </c>
      <c r="C164" s="163">
        <f>('Pivot Table for Data Exchange'!$G$9)*100</f>
        <v>0.83026337493814273</v>
      </c>
      <c r="D164" s="164">
        <f>SUM(E164:G164)</f>
        <v>59.616366478410797</v>
      </c>
      <c r="E164" s="163">
        <f>('Pivot Table for Data Exchange'!$G$12)*100</f>
        <v>59.616366478410797</v>
      </c>
      <c r="F164" s="163">
        <f>('Pivot Table for Data Exchange'!$G$15)*100</f>
        <v>0</v>
      </c>
      <c r="G164" s="167">
        <f>('Pivot Table for Data Exchange'!$G$18)*100</f>
        <v>0</v>
      </c>
      <c r="H164" s="163">
        <f>('Pivot Table for Data Exchange'!$G$21)*100</f>
        <v>0</v>
      </c>
      <c r="I164" s="166" t="s">
        <v>618</v>
      </c>
      <c r="J164" s="163">
        <f>('Pivot Table for Data Exchange'!$G$24)*100</f>
        <v>40.82564049372472</v>
      </c>
      <c r="K164" s="163">
        <f>('Pivot Table for Data Exchange'!$G$27)*100</f>
        <v>0</v>
      </c>
      <c r="L164" s="164">
        <f>SUM(M164:O164)</f>
        <v>59.174359506275287</v>
      </c>
      <c r="M164" s="163">
        <f>('Pivot Table for Data Exchange'!$G$30)*100</f>
        <v>59.174359506275287</v>
      </c>
      <c r="N164" s="163">
        <f>('Pivot Table for Data Exchange'!$G$33)*100</f>
        <v>0</v>
      </c>
      <c r="O164" s="167">
        <f>('Pivot Table for Data Exchange'!$G$36)*100</f>
        <v>0</v>
      </c>
      <c r="P164" s="163">
        <f>('Pivot Table for Data Exchange'!$G$39)*100</f>
        <v>0</v>
      </c>
      <c r="Q164" s="168">
        <f>SUM(B164,C164,D164,H164)</f>
        <v>100</v>
      </c>
      <c r="R164" s="168">
        <f t="shared" si="35"/>
        <v>100</v>
      </c>
      <c r="S164" s="169"/>
      <c r="T164" s="169"/>
      <c r="U164" s="169"/>
      <c r="V164" s="169"/>
      <c r="W164" s="169"/>
      <c r="X164" s="169"/>
      <c r="Y164" s="169"/>
      <c r="Z164" s="169"/>
      <c r="AA164" s="169"/>
      <c r="AB164" s="169"/>
      <c r="AC164" s="169"/>
      <c r="AD164" s="169"/>
      <c r="AE164" s="169"/>
      <c r="AF164" s="169"/>
      <c r="AG164" s="169"/>
      <c r="AH164" s="169"/>
      <c r="AI164" s="169"/>
      <c r="AJ164" s="169"/>
      <c r="AK164" s="169"/>
      <c r="AL164" s="169"/>
      <c r="AM164" s="169"/>
      <c r="AN164" s="169"/>
      <c r="AO164" s="169"/>
    </row>
    <row r="165" spans="1:41" ht="15.75" customHeight="1">
      <c r="A165" s="134" t="s">
        <v>619</v>
      </c>
      <c r="B165" s="163">
        <f>('Pivot Table for Data Exchange'!$G$42)*100</f>
        <v>0</v>
      </c>
      <c r="C165" s="163">
        <f>('Pivot Table for Data Exchange'!$G$45)*100</f>
        <v>0</v>
      </c>
      <c r="D165" s="164">
        <f t="shared" ref="D165:D167" si="40">SUM(E165:G165)</f>
        <v>0</v>
      </c>
      <c r="E165" s="163">
        <f>('Pivot Table for Data Exchange'!$G$48)*100</f>
        <v>0</v>
      </c>
      <c r="F165" s="163">
        <f>('Pivot Table for Data Exchange'!$G$51)*100</f>
        <v>0</v>
      </c>
      <c r="G165" s="171">
        <f>('Pivot Table for Data Exchange'!$G$54)*100</f>
        <v>0</v>
      </c>
      <c r="H165" s="175">
        <f>('Pivot Table for Data Exchange'!$G$57)*100</f>
        <v>0</v>
      </c>
      <c r="I165" s="169" t="s">
        <v>619</v>
      </c>
      <c r="J165" s="163">
        <f>('Pivot Table for Data Exchange'!$G$60)*100</f>
        <v>0</v>
      </c>
      <c r="K165" s="163">
        <f>('Pivot Table for Data Exchange'!$G$63)*100</f>
        <v>0</v>
      </c>
      <c r="L165" s="164">
        <f t="shared" ref="L165:L167" si="41">SUM(M165:O165)</f>
        <v>0</v>
      </c>
      <c r="M165" s="163">
        <f>('Pivot Table for Data Exchange'!$G$66)*100</f>
        <v>0</v>
      </c>
      <c r="N165" s="163">
        <f>('Pivot Table for Data Exchange'!$G$69)*100</f>
        <v>0</v>
      </c>
      <c r="O165" s="171">
        <f>('Pivot Table for Data Exchange'!$G$72)*100</f>
        <v>0</v>
      </c>
      <c r="P165" s="163">
        <f>('Pivot Table for Data Exchange'!$G$75)*100</f>
        <v>0</v>
      </c>
      <c r="Q165" s="168">
        <f t="shared" si="34"/>
        <v>0</v>
      </c>
      <c r="R165" s="168">
        <f t="shared" si="35"/>
        <v>0</v>
      </c>
      <c r="S165" s="169"/>
      <c r="T165" s="169"/>
      <c r="U165" s="169"/>
      <c r="V165" s="169"/>
      <c r="W165" s="169"/>
      <c r="X165" s="169"/>
      <c r="Y165" s="169"/>
      <c r="Z165" s="169"/>
      <c r="AA165" s="169"/>
      <c r="AB165" s="169"/>
      <c r="AC165" s="169"/>
      <c r="AD165" s="169"/>
      <c r="AE165" s="169"/>
      <c r="AF165" s="169"/>
      <c r="AG165" s="169"/>
      <c r="AH165" s="169"/>
      <c r="AI165" s="169"/>
      <c r="AJ165" s="169"/>
      <c r="AK165" s="169"/>
      <c r="AL165" s="169"/>
      <c r="AM165" s="169"/>
      <c r="AN165" s="169"/>
      <c r="AO165" s="169"/>
    </row>
    <row r="166" spans="1:41" ht="15.75" customHeight="1">
      <c r="A166" s="134" t="s">
        <v>620</v>
      </c>
      <c r="B166" s="163">
        <f>('Pivot Table for Data Exchange'!$G$78)*100</f>
        <v>0</v>
      </c>
      <c r="C166" s="163">
        <f>('Pivot Table for Data Exchange'!$G$81)*100</f>
        <v>0</v>
      </c>
      <c r="D166" s="164">
        <f t="shared" si="40"/>
        <v>0</v>
      </c>
      <c r="E166" s="163">
        <f>('Pivot Table for Data Exchange'!$G$84)*100</f>
        <v>0</v>
      </c>
      <c r="F166" s="163">
        <f>('Pivot Table for Data Exchange'!$G$87)*100</f>
        <v>0</v>
      </c>
      <c r="G166" s="171">
        <f>('Pivot Table for Data Exchange'!$G$90)*100</f>
        <v>0</v>
      </c>
      <c r="H166" s="163">
        <f>('Pivot Table for Data Exchange'!$G$93)*100</f>
        <v>0</v>
      </c>
      <c r="I166" s="169" t="s">
        <v>620</v>
      </c>
      <c r="J166" s="163">
        <f>('Pivot Table for Data Exchange'!$G$96)*100</f>
        <v>0</v>
      </c>
      <c r="K166" s="163">
        <f>('Pivot Table for Data Exchange'!$G$99)*100</f>
        <v>0</v>
      </c>
      <c r="L166" s="164">
        <f t="shared" si="41"/>
        <v>0</v>
      </c>
      <c r="M166" s="163">
        <f>('Pivot Table for Data Exchange'!$G$102)*100</f>
        <v>0</v>
      </c>
      <c r="N166" s="163">
        <f>('Pivot Table for Data Exchange'!$G$105)*100</f>
        <v>0</v>
      </c>
      <c r="O166" s="171">
        <f>('Pivot Table for Data Exchange'!$G$108)*100</f>
        <v>0</v>
      </c>
      <c r="P166" s="163">
        <f>('Pivot Table for Data Exchange'!$G$111)*100</f>
        <v>0</v>
      </c>
      <c r="Q166" s="168">
        <f t="shared" si="34"/>
        <v>0</v>
      </c>
      <c r="R166" s="168">
        <f t="shared" si="35"/>
        <v>0</v>
      </c>
      <c r="S166" s="169"/>
      <c r="T166" s="143"/>
      <c r="U166" s="169"/>
      <c r="V166" s="169"/>
      <c r="W166" s="169"/>
      <c r="X166" s="169"/>
      <c r="Y166" s="169"/>
      <c r="Z166" s="169"/>
      <c r="AA166" s="169"/>
      <c r="AB166" s="169"/>
      <c r="AC166" s="169"/>
      <c r="AD166" s="169"/>
      <c r="AE166" s="169"/>
      <c r="AF166" s="169"/>
      <c r="AG166" s="169"/>
      <c r="AH166" s="169"/>
      <c r="AI166" s="169"/>
      <c r="AJ166" s="169"/>
      <c r="AK166" s="169"/>
      <c r="AL166" s="169"/>
      <c r="AM166" s="169"/>
      <c r="AN166" s="169"/>
      <c r="AO166" s="169"/>
    </row>
    <row r="167" spans="1:41" ht="15.75" customHeight="1">
      <c r="A167" s="134" t="s">
        <v>621</v>
      </c>
      <c r="B167" s="163">
        <f>('Pivot Table for Data Exchange'!$G$114)*100</f>
        <v>0</v>
      </c>
      <c r="C167" s="163">
        <f>('Pivot Table for Data Exchange'!$G$117)*100</f>
        <v>0</v>
      </c>
      <c r="D167" s="164">
        <f t="shared" si="40"/>
        <v>0</v>
      </c>
      <c r="E167" s="163">
        <f>('Pivot Table for Data Exchange'!$G$120)*100</f>
        <v>0</v>
      </c>
      <c r="F167" s="163">
        <f>('Pivot Table for Data Exchange'!$G$123)*100</f>
        <v>0</v>
      </c>
      <c r="G167" s="171">
        <f>('Pivot Table for Data Exchange'!$G$126)*100</f>
        <v>0</v>
      </c>
      <c r="H167" s="163">
        <f>('Pivot Table for Data Exchange'!$G$129)*100</f>
        <v>0</v>
      </c>
      <c r="I167" s="169" t="s">
        <v>621</v>
      </c>
      <c r="J167" s="163">
        <f>('Pivot Table for Data Exchange'!$G$132)*100</f>
        <v>0</v>
      </c>
      <c r="K167" s="163">
        <f>('Pivot Table for Data Exchange'!$G$135)*100</f>
        <v>0</v>
      </c>
      <c r="L167" s="164">
        <f t="shared" si="41"/>
        <v>0</v>
      </c>
      <c r="M167" s="163">
        <f>('Pivot Table for Data Exchange'!$G$138)*100</f>
        <v>0</v>
      </c>
      <c r="N167" s="163">
        <f>('Pivot Table for Data Exchange'!$G$141)*100</f>
        <v>0</v>
      </c>
      <c r="O167" s="171">
        <f>('Pivot Table for Data Exchange'!$G$144)*100</f>
        <v>0</v>
      </c>
      <c r="P167" s="163">
        <f>('Pivot Table for Data Exchange'!$G$147)*100</f>
        <v>0</v>
      </c>
      <c r="Q167" s="168">
        <f t="shared" si="34"/>
        <v>0</v>
      </c>
      <c r="R167" s="168">
        <f t="shared" si="35"/>
        <v>0</v>
      </c>
      <c r="S167" s="169"/>
      <c r="U167" s="169"/>
      <c r="V167" s="169"/>
      <c r="W167" s="169"/>
      <c r="X167" s="169"/>
      <c r="Y167" s="169"/>
      <c r="Z167" s="169"/>
      <c r="AA167" s="169"/>
      <c r="AB167" s="169"/>
      <c r="AC167" s="169"/>
      <c r="AD167" s="169"/>
      <c r="AE167" s="169"/>
      <c r="AF167" s="169"/>
      <c r="AG167" s="169"/>
      <c r="AH167" s="169"/>
      <c r="AI167" s="169"/>
      <c r="AJ167" s="169"/>
      <c r="AK167" s="169"/>
      <c r="AL167" s="169"/>
      <c r="AM167" s="169"/>
      <c r="AN167" s="169"/>
      <c r="AO167" s="169"/>
    </row>
    <row r="168" spans="1:41" ht="10.5" customHeight="1">
      <c r="B168" s="163"/>
      <c r="C168" s="163"/>
      <c r="D168" s="164"/>
      <c r="E168" s="163"/>
      <c r="F168" s="163"/>
      <c r="G168" s="171"/>
      <c r="H168" s="163"/>
      <c r="I168" s="169"/>
      <c r="J168" s="163"/>
      <c r="K168" s="163"/>
      <c r="L168" s="164"/>
      <c r="M168" s="163"/>
      <c r="N168" s="163"/>
      <c r="O168" s="171"/>
      <c r="P168" s="163"/>
      <c r="Q168" s="168">
        <f t="shared" si="34"/>
        <v>0</v>
      </c>
      <c r="R168" s="168">
        <f t="shared" si="35"/>
        <v>0</v>
      </c>
      <c r="S168" s="169"/>
      <c r="U168" s="169"/>
      <c r="V168" s="169"/>
      <c r="W168" s="169"/>
      <c r="X168" s="169"/>
      <c r="Y168" s="169"/>
      <c r="Z168" s="169"/>
      <c r="AA168" s="169"/>
      <c r="AB168" s="169"/>
      <c r="AC168" s="169"/>
      <c r="AD168" s="169"/>
      <c r="AE168" s="169"/>
      <c r="AF168" s="169"/>
      <c r="AG168" s="169"/>
      <c r="AH168" s="169"/>
      <c r="AI168" s="169"/>
      <c r="AJ168" s="169"/>
      <c r="AK168" s="169"/>
      <c r="AL168" s="169"/>
      <c r="AM168" s="169"/>
      <c r="AN168" s="169"/>
      <c r="AO168" s="169"/>
    </row>
    <row r="169" spans="1:41" ht="15.75" customHeight="1">
      <c r="A169" s="134" t="s">
        <v>622</v>
      </c>
      <c r="B169" s="163">
        <f>('Pivot Table for Data Exchange'!$G$150)*100</f>
        <v>52.721679071351602</v>
      </c>
      <c r="C169" s="163">
        <f>('Pivot Table for Data Exchange'!$G$153)*100</f>
        <v>0.43327991781081976</v>
      </c>
      <c r="D169" s="164">
        <f t="shared" ref="D169:D172" si="42">SUM(E169:G169)</f>
        <v>46.845041010837583</v>
      </c>
      <c r="E169" s="163">
        <f>('Pivot Table for Data Exchange'!$G$156)*100</f>
        <v>46.317399873812811</v>
      </c>
      <c r="F169" s="163">
        <f>('Pivot Table for Data Exchange'!$G$159)*100</f>
        <v>0.20491460030485933</v>
      </c>
      <c r="G169" s="171">
        <f>('Pivot Table for Data Exchange'!$G$162)*100</f>
        <v>0.32272653671991469</v>
      </c>
      <c r="H169" s="163">
        <f>('Pivot Table for Data Exchange'!$G$165)*100</f>
        <v>0</v>
      </c>
      <c r="I169" s="169" t="s">
        <v>622</v>
      </c>
      <c r="J169" s="163">
        <f>('Pivot Table for Data Exchange'!$G$168)*100</f>
        <v>23.658974200334097</v>
      </c>
      <c r="K169" s="163">
        <f>('Pivot Table for Data Exchange'!$G$171)*100</f>
        <v>10.097135432778568</v>
      </c>
      <c r="L169" s="164">
        <f t="shared" ref="L169:L172" si="43">SUM(M169:O169)</f>
        <v>66.243890366887328</v>
      </c>
      <c r="M169" s="163">
        <f>('Pivot Table for Data Exchange'!$G$174)*100</f>
        <v>66.052094289426464</v>
      </c>
      <c r="N169" s="163">
        <f>('Pivot Table for Data Exchange'!$G$177)*100</f>
        <v>0</v>
      </c>
      <c r="O169" s="171">
        <f>('Pivot Table for Data Exchange'!$G$180)*100</f>
        <v>0.19179607746086741</v>
      </c>
      <c r="P169" s="163">
        <f>('Pivot Table for Data Exchange'!$G$183)*100</f>
        <v>0</v>
      </c>
      <c r="Q169" s="168">
        <f t="shared" si="34"/>
        <v>100</v>
      </c>
      <c r="R169" s="168">
        <f t="shared" si="35"/>
        <v>100</v>
      </c>
      <c r="S169" s="169"/>
      <c r="T169" s="169"/>
      <c r="U169" s="169"/>
      <c r="V169" s="169"/>
      <c r="W169" s="169"/>
      <c r="X169" s="169"/>
      <c r="Y169" s="169"/>
      <c r="Z169" s="169"/>
      <c r="AA169" s="169"/>
      <c r="AB169" s="169"/>
      <c r="AC169" s="169"/>
      <c r="AD169" s="169"/>
      <c r="AE169" s="169"/>
      <c r="AF169" s="169"/>
      <c r="AG169" s="169"/>
      <c r="AH169" s="169"/>
      <c r="AI169" s="169"/>
      <c r="AJ169" s="169"/>
      <c r="AK169" s="169"/>
      <c r="AL169" s="169"/>
      <c r="AM169" s="169"/>
      <c r="AN169" s="169"/>
      <c r="AO169" s="169"/>
    </row>
    <row r="170" spans="1:41" ht="15.75" customHeight="1">
      <c r="A170" s="134" t="s">
        <v>623</v>
      </c>
      <c r="B170" s="163">
        <f>('Pivot Table for Data Exchange'!$G$186)*100</f>
        <v>0</v>
      </c>
      <c r="C170" s="163">
        <f>('Pivot Table for Data Exchange'!$G$189)*100</f>
        <v>0</v>
      </c>
      <c r="D170" s="164">
        <f t="shared" si="42"/>
        <v>0</v>
      </c>
      <c r="E170" s="163">
        <f>('Pivot Table for Data Exchange'!$G$192)*100</f>
        <v>0</v>
      </c>
      <c r="F170" s="163">
        <f>('Pivot Table for Data Exchange'!$G$195)*100</f>
        <v>0</v>
      </c>
      <c r="G170" s="171">
        <f>('Pivot Table for Data Exchange'!$G$198)*100</f>
        <v>0</v>
      </c>
      <c r="H170" s="163">
        <f>('Pivot Table for Data Exchange'!$G$201)*100</f>
        <v>0</v>
      </c>
      <c r="I170" s="169" t="s">
        <v>623</v>
      </c>
      <c r="J170" s="163">
        <f>('Pivot Table for Data Exchange'!$G$204)*100</f>
        <v>0</v>
      </c>
      <c r="K170" s="163">
        <f>('Pivot Table for Data Exchange'!$G$207)*100</f>
        <v>0</v>
      </c>
      <c r="L170" s="164">
        <f t="shared" si="43"/>
        <v>0</v>
      </c>
      <c r="M170" s="163">
        <f>('Pivot Table for Data Exchange'!$G$210)*100</f>
        <v>0</v>
      </c>
      <c r="N170" s="163">
        <f>('Pivot Table for Data Exchange'!$G$213)*100</f>
        <v>0</v>
      </c>
      <c r="O170" s="171">
        <f>('Pivot Table for Data Exchange'!$G$216)*100</f>
        <v>0</v>
      </c>
      <c r="P170" s="163">
        <f>('Pivot Table for Data Exchange'!$G$219)*100</f>
        <v>0</v>
      </c>
      <c r="Q170" s="168">
        <f t="shared" si="34"/>
        <v>0</v>
      </c>
      <c r="R170" s="168">
        <f t="shared" si="35"/>
        <v>0</v>
      </c>
      <c r="S170" s="169"/>
      <c r="T170" s="169"/>
      <c r="U170" s="169"/>
      <c r="V170" s="169"/>
      <c r="W170" s="169"/>
      <c r="X170" s="169"/>
      <c r="Y170" s="169"/>
      <c r="Z170" s="169"/>
      <c r="AA170" s="169"/>
      <c r="AB170" s="169"/>
      <c r="AC170" s="169"/>
      <c r="AD170" s="169"/>
      <c r="AE170" s="169"/>
      <c r="AF170" s="169"/>
      <c r="AG170" s="169"/>
      <c r="AH170" s="169"/>
      <c r="AI170" s="169"/>
      <c r="AJ170" s="169"/>
      <c r="AK170" s="169"/>
      <c r="AL170" s="169"/>
      <c r="AM170" s="169"/>
      <c r="AN170" s="169"/>
      <c r="AO170" s="169"/>
    </row>
    <row r="171" spans="1:41" ht="15.75" customHeight="1">
      <c r="A171" s="134" t="s">
        <v>624</v>
      </c>
      <c r="B171" s="163">
        <f>('Pivot Table for Data Exchange'!$G$222)*100</f>
        <v>0</v>
      </c>
      <c r="C171" s="163">
        <f>('Pivot Table for Data Exchange'!$G$225)*100</f>
        <v>0</v>
      </c>
      <c r="D171" s="164">
        <f t="shared" si="42"/>
        <v>100</v>
      </c>
      <c r="E171" s="163">
        <f>('Pivot Table for Data Exchange'!$G$228)*100</f>
        <v>100</v>
      </c>
      <c r="F171" s="163">
        <f>('Pivot Table for Data Exchange'!$G$231)*100</f>
        <v>0</v>
      </c>
      <c r="G171" s="171">
        <f>('Pivot Table for Data Exchange'!$G$234)*100</f>
        <v>0</v>
      </c>
      <c r="H171" s="163">
        <f>('Pivot Table for Data Exchange'!$G$237)*100</f>
        <v>0</v>
      </c>
      <c r="I171" s="169" t="s">
        <v>624</v>
      </c>
      <c r="J171" s="163">
        <f>('Pivot Table for Data Exchange'!$G$240)*100</f>
        <v>0</v>
      </c>
      <c r="K171" s="163">
        <f>('Pivot Table for Data Exchange'!$G$243)*100</f>
        <v>0</v>
      </c>
      <c r="L171" s="164">
        <f t="shared" si="43"/>
        <v>100</v>
      </c>
      <c r="M171" s="163">
        <f>('Pivot Table for Data Exchange'!$G$246)*100</f>
        <v>100</v>
      </c>
      <c r="N171" s="163">
        <f>('Pivot Table for Data Exchange'!$G$249)*100</f>
        <v>0</v>
      </c>
      <c r="O171" s="171">
        <f>('Pivot Table for Data Exchange'!$G$252)*100</f>
        <v>0</v>
      </c>
      <c r="P171" s="163">
        <f>('Pivot Table for Data Exchange'!$G$255)*100</f>
        <v>0</v>
      </c>
      <c r="Q171" s="168">
        <f t="shared" si="34"/>
        <v>100</v>
      </c>
      <c r="R171" s="168">
        <f t="shared" si="35"/>
        <v>100</v>
      </c>
      <c r="S171" s="169"/>
      <c r="T171" s="143"/>
      <c r="U171" s="169"/>
      <c r="V171" s="169"/>
      <c r="W171" s="169"/>
      <c r="X171" s="169"/>
      <c r="Y171" s="169"/>
      <c r="Z171" s="169"/>
      <c r="AA171" s="169"/>
      <c r="AB171" s="169"/>
      <c r="AC171" s="169"/>
      <c r="AD171" s="169"/>
      <c r="AE171" s="169"/>
      <c r="AF171" s="169"/>
      <c r="AG171" s="169"/>
      <c r="AH171" s="169"/>
      <c r="AI171" s="169"/>
      <c r="AJ171" s="169"/>
      <c r="AK171" s="169"/>
      <c r="AL171" s="169"/>
      <c r="AM171" s="169"/>
      <c r="AN171" s="169"/>
      <c r="AO171" s="169"/>
    </row>
    <row r="172" spans="1:41" ht="15.75" customHeight="1">
      <c r="A172" s="134" t="s">
        <v>625</v>
      </c>
      <c r="B172" s="163">
        <f>('Pivot Table for Data Exchange'!$G$258)*100</f>
        <v>74.818888948220931</v>
      </c>
      <c r="C172" s="163">
        <f>('Pivot Table for Data Exchange'!$G$261)*100</f>
        <v>3.7379185133764085E-2</v>
      </c>
      <c r="D172" s="164">
        <f t="shared" si="42"/>
        <v>25.143731866645307</v>
      </c>
      <c r="E172" s="163">
        <f>('Pivot Table for Data Exchange'!$G$264)*100</f>
        <v>25.143731866645307</v>
      </c>
      <c r="F172" s="163">
        <f>('Pivot Table for Data Exchange'!$G$267)*100</f>
        <v>0</v>
      </c>
      <c r="G172" s="171">
        <f>('Pivot Table for Data Exchange'!$G$270)*100</f>
        <v>0</v>
      </c>
      <c r="H172" s="163">
        <f>('Pivot Table for Data Exchange'!$G$273)*100</f>
        <v>0</v>
      </c>
      <c r="I172" s="169" t="s">
        <v>625</v>
      </c>
      <c r="J172" s="163">
        <f>('Pivot Table for Data Exchange'!$G$276)*100</f>
        <v>79.396186440677965</v>
      </c>
      <c r="K172" s="163">
        <f>('Pivot Table for Data Exchange'!$G$279)*100</f>
        <v>1.2711864406779663</v>
      </c>
      <c r="L172" s="164">
        <f t="shared" si="43"/>
        <v>19.332627118644069</v>
      </c>
      <c r="M172" s="163">
        <f>('Pivot Table for Data Exchange'!$G$282)*100</f>
        <v>19.332627118644069</v>
      </c>
      <c r="N172" s="163">
        <f>('Pivot Table for Data Exchange'!$G$285)*100</f>
        <v>0</v>
      </c>
      <c r="O172" s="171">
        <f>('Pivot Table for Data Exchange'!$G$288)*100</f>
        <v>0</v>
      </c>
      <c r="P172" s="163">
        <f>('Pivot Table for Data Exchange'!$G$291)*100</f>
        <v>0</v>
      </c>
      <c r="Q172" s="168">
        <f t="shared" si="34"/>
        <v>100</v>
      </c>
      <c r="R172" s="168">
        <f t="shared" si="35"/>
        <v>100</v>
      </c>
      <c r="S172" s="169"/>
      <c r="U172" s="169"/>
      <c r="V172" s="169"/>
      <c r="W172" s="169"/>
      <c r="X172" s="169"/>
      <c r="Y172" s="169"/>
      <c r="Z172" s="169"/>
      <c r="AA172" s="169"/>
      <c r="AB172" s="169"/>
      <c r="AC172" s="169"/>
      <c r="AD172" s="169"/>
      <c r="AE172" s="169"/>
      <c r="AF172" s="169"/>
      <c r="AG172" s="169"/>
      <c r="AH172" s="169"/>
      <c r="AI172" s="169"/>
      <c r="AJ172" s="169"/>
      <c r="AK172" s="169"/>
      <c r="AL172" s="169"/>
      <c r="AM172" s="169"/>
      <c r="AN172" s="169"/>
      <c r="AO172" s="169"/>
    </row>
    <row r="173" spans="1:41" ht="11.25" customHeight="1">
      <c r="B173" s="163"/>
      <c r="C173" s="163"/>
      <c r="D173" s="164"/>
      <c r="E173" s="163"/>
      <c r="F173" s="163"/>
      <c r="G173" s="171"/>
      <c r="H173" s="163"/>
      <c r="I173" s="169"/>
      <c r="J173" s="163"/>
      <c r="K173" s="163"/>
      <c r="L173" s="164"/>
      <c r="M173" s="163"/>
      <c r="N173" s="163"/>
      <c r="O173" s="171"/>
      <c r="P173" s="163"/>
      <c r="Q173" s="168">
        <f t="shared" si="34"/>
        <v>0</v>
      </c>
      <c r="R173" s="168">
        <f t="shared" si="35"/>
        <v>0</v>
      </c>
      <c r="S173" s="169"/>
      <c r="U173" s="169"/>
      <c r="V173" s="169"/>
      <c r="W173" s="169"/>
      <c r="X173" s="169"/>
      <c r="Y173" s="169"/>
      <c r="Z173" s="169"/>
      <c r="AA173" s="169"/>
      <c r="AB173" s="169"/>
      <c r="AC173" s="169"/>
      <c r="AD173" s="169"/>
      <c r="AE173" s="169"/>
      <c r="AF173" s="169"/>
      <c r="AG173" s="169"/>
      <c r="AH173" s="169"/>
      <c r="AI173" s="169"/>
      <c r="AJ173" s="169"/>
      <c r="AK173" s="169"/>
      <c r="AL173" s="169"/>
      <c r="AM173" s="169"/>
      <c r="AN173" s="169"/>
      <c r="AO173" s="169"/>
    </row>
    <row r="174" spans="1:41" ht="15.75" customHeight="1">
      <c r="A174" s="134" t="s">
        <v>626</v>
      </c>
      <c r="B174" s="163">
        <f>('Pivot Table for Data Exchange'!$G$294)*100</f>
        <v>0</v>
      </c>
      <c r="C174" s="163">
        <f>('Pivot Table for Data Exchange'!$G$297)*100</f>
        <v>0</v>
      </c>
      <c r="D174" s="164">
        <f t="shared" ref="D174:D176" si="44">SUM(E174:G174)</f>
        <v>0</v>
      </c>
      <c r="E174" s="163">
        <f>('Pivot Table for Data Exchange'!$G$300)*100</f>
        <v>0</v>
      </c>
      <c r="F174" s="163">
        <f>('Pivot Table for Data Exchange'!$G$303)*100</f>
        <v>0</v>
      </c>
      <c r="G174" s="171">
        <f>('Pivot Table for Data Exchange'!$G$306)*100</f>
        <v>0</v>
      </c>
      <c r="H174" s="163">
        <f>('Pivot Table for Data Exchange'!$G$309)*100</f>
        <v>0</v>
      </c>
      <c r="I174" s="169" t="s">
        <v>626</v>
      </c>
      <c r="J174" s="163">
        <f>('Pivot Table for Data Exchange'!$G$312)*100</f>
        <v>0</v>
      </c>
      <c r="K174" s="163">
        <f>('Pivot Table for Data Exchange'!$G$315)*100</f>
        <v>0</v>
      </c>
      <c r="L174" s="164">
        <f t="shared" ref="L174:L176" si="45">SUM(M174:O174)</f>
        <v>0</v>
      </c>
      <c r="M174" s="163">
        <f>('Pivot Table for Data Exchange'!$G$318)*100</f>
        <v>0</v>
      </c>
      <c r="N174" s="163">
        <f>('Pivot Table for Data Exchange'!$G$321)*100</f>
        <v>0</v>
      </c>
      <c r="O174" s="171">
        <f>('Pivot Table for Data Exchange'!$G$324)*100</f>
        <v>0</v>
      </c>
      <c r="P174" s="163">
        <f>('Pivot Table for Data Exchange'!$G$327)*100</f>
        <v>0</v>
      </c>
      <c r="Q174" s="168">
        <f t="shared" si="34"/>
        <v>0</v>
      </c>
      <c r="R174" s="168">
        <f t="shared" si="35"/>
        <v>0</v>
      </c>
      <c r="S174" s="169"/>
      <c r="T174" s="169"/>
      <c r="U174" s="169"/>
      <c r="V174" s="169"/>
      <c r="W174" s="169"/>
      <c r="X174" s="169"/>
      <c r="Y174" s="169"/>
      <c r="Z174" s="169"/>
      <c r="AA174" s="169"/>
      <c r="AB174" s="169"/>
      <c r="AC174" s="169"/>
      <c r="AD174" s="169"/>
      <c r="AE174" s="169"/>
      <c r="AF174" s="169"/>
      <c r="AG174" s="169"/>
      <c r="AH174" s="169"/>
      <c r="AI174" s="169"/>
      <c r="AJ174" s="169"/>
      <c r="AK174" s="169"/>
      <c r="AL174" s="169"/>
      <c r="AM174" s="169"/>
      <c r="AN174" s="169"/>
      <c r="AO174" s="169"/>
    </row>
    <row r="175" spans="1:41" ht="15.75" customHeight="1">
      <c r="A175" s="134" t="s">
        <v>627</v>
      </c>
      <c r="B175" s="163">
        <f>('Pivot Table for Data Exchange'!$G$330)*100</f>
        <v>47.171870736366117</v>
      </c>
      <c r="C175" s="163">
        <f>('Pivot Table for Data Exchange'!$G$333)*100</f>
        <v>0.31315375719538974</v>
      </c>
      <c r="D175" s="164">
        <f t="shared" si="44"/>
        <v>52.514975506438496</v>
      </c>
      <c r="E175" s="163">
        <f>('Pivot Table for Data Exchange'!$G$336)*100</f>
        <v>50.584402084226667</v>
      </c>
      <c r="F175" s="163">
        <f>('Pivot Table for Data Exchange'!$G$339)*100</f>
        <v>7.1466625086084807E-3</v>
      </c>
      <c r="G175" s="171">
        <f>('Pivot Table for Data Exchange'!$G$342)*100</f>
        <v>1.9234267597032186</v>
      </c>
      <c r="H175" s="163">
        <f>('Pivot Table for Data Exchange'!$G$345)*100</f>
        <v>0</v>
      </c>
      <c r="I175" s="169" t="s">
        <v>627</v>
      </c>
      <c r="J175" s="163">
        <f>('Pivot Table for Data Exchange'!$G$348)*100</f>
        <v>16.336122047244096</v>
      </c>
      <c r="K175" s="163">
        <f>('Pivot Table for Data Exchange'!$G$351)*100</f>
        <v>1.6535433070866141</v>
      </c>
      <c r="L175" s="164">
        <f t="shared" si="45"/>
        <v>82.010334645669275</v>
      </c>
      <c r="M175" s="163">
        <f>('Pivot Table for Data Exchange'!$G$354)*100</f>
        <v>79.424212598425186</v>
      </c>
      <c r="N175" s="163">
        <f>('Pivot Table for Data Exchange'!$G$357)*100</f>
        <v>7.3818897637795275E-3</v>
      </c>
      <c r="O175" s="171">
        <f>('Pivot Table for Data Exchange'!$G$360)*100</f>
        <v>2.5787401574803153</v>
      </c>
      <c r="P175" s="163">
        <f>('Pivot Table for Data Exchange'!$G$363)*100</f>
        <v>0</v>
      </c>
      <c r="Q175" s="168">
        <f t="shared" si="34"/>
        <v>100</v>
      </c>
      <c r="R175" s="168">
        <f t="shared" si="35"/>
        <v>99.999999999999986</v>
      </c>
      <c r="S175" s="169"/>
      <c r="T175" s="169"/>
      <c r="U175" s="169"/>
      <c r="V175" s="169"/>
      <c r="W175" s="169"/>
      <c r="X175" s="169"/>
      <c r="Y175" s="169"/>
      <c r="Z175" s="169"/>
      <c r="AA175" s="169"/>
      <c r="AB175" s="169"/>
      <c r="AC175" s="169"/>
      <c r="AD175" s="169"/>
      <c r="AE175" s="169"/>
      <c r="AF175" s="169"/>
      <c r="AG175" s="169"/>
      <c r="AH175" s="169"/>
      <c r="AI175" s="169"/>
      <c r="AJ175" s="169"/>
      <c r="AK175" s="169"/>
      <c r="AL175" s="169"/>
      <c r="AM175" s="169"/>
      <c r="AN175" s="169"/>
      <c r="AO175" s="169"/>
    </row>
    <row r="176" spans="1:41" ht="15.75" customHeight="1">
      <c r="A176" s="134" t="s">
        <v>628</v>
      </c>
      <c r="B176" s="163">
        <f>('Pivot Table for Data Exchange'!$G$366)*100</f>
        <v>0</v>
      </c>
      <c r="C176" s="163">
        <f>('Pivot Table for Data Exchange'!$G$369)*100</f>
        <v>0</v>
      </c>
      <c r="D176" s="164">
        <f t="shared" si="44"/>
        <v>0</v>
      </c>
      <c r="E176" s="163">
        <f>('Pivot Table for Data Exchange'!$G$372)*100</f>
        <v>0</v>
      </c>
      <c r="F176" s="163">
        <f>('Pivot Table for Data Exchange'!$G$375)*100</f>
        <v>0</v>
      </c>
      <c r="G176" s="171">
        <f>('Pivot Table for Data Exchange'!$G$378)*100</f>
        <v>0</v>
      </c>
      <c r="H176" s="163">
        <f>('Pivot Table for Data Exchange'!$G$381)*100</f>
        <v>0</v>
      </c>
      <c r="I176" s="169" t="s">
        <v>628</v>
      </c>
      <c r="J176" s="163">
        <f>('Pivot Table for Data Exchange'!$G$384)*100</f>
        <v>0</v>
      </c>
      <c r="K176" s="163">
        <f>('Pivot Table for Data Exchange'!$G$387)*100</f>
        <v>0</v>
      </c>
      <c r="L176" s="164">
        <f t="shared" si="45"/>
        <v>0</v>
      </c>
      <c r="M176" s="163">
        <f>('Pivot Table for Data Exchange'!$G$390)*100</f>
        <v>0</v>
      </c>
      <c r="N176" s="163">
        <f>('Pivot Table for Data Exchange'!$G$393)*100</f>
        <v>0</v>
      </c>
      <c r="O176" s="171">
        <f>('Pivot Table for Data Exchange'!$G$396)*100</f>
        <v>0</v>
      </c>
      <c r="P176" s="163">
        <f>('Pivot Table for Data Exchange'!$G$399)*100</f>
        <v>0</v>
      </c>
      <c r="Q176" s="168">
        <f t="shared" si="34"/>
        <v>0</v>
      </c>
      <c r="R176" s="168">
        <f t="shared" si="35"/>
        <v>0</v>
      </c>
      <c r="S176" s="169"/>
      <c r="T176" s="143"/>
      <c r="U176" s="169"/>
      <c r="V176" s="169"/>
      <c r="W176" s="169"/>
      <c r="X176" s="169"/>
      <c r="Y176" s="169"/>
      <c r="Z176" s="169"/>
      <c r="AA176" s="169"/>
      <c r="AB176" s="169"/>
      <c r="AC176" s="169"/>
      <c r="AD176" s="169"/>
      <c r="AE176" s="169"/>
      <c r="AF176" s="169"/>
      <c r="AG176" s="169"/>
      <c r="AH176" s="169"/>
      <c r="AI176" s="169"/>
      <c r="AJ176" s="169"/>
      <c r="AK176" s="169"/>
      <c r="AL176" s="169"/>
      <c r="AM176" s="169"/>
      <c r="AN176" s="169"/>
      <c r="AO176" s="169"/>
    </row>
    <row r="177" spans="1:41" ht="15.75" customHeight="1">
      <c r="A177" s="134" t="s">
        <v>629</v>
      </c>
      <c r="B177" s="163">
        <f>('Pivot Table for Data Exchange'!$G$402)*100</f>
        <v>64.815375429921701</v>
      </c>
      <c r="C177" s="163">
        <f>('Pivot Table for Data Exchange'!$G$405)*100</f>
        <v>3.2203133277832441</v>
      </c>
      <c r="D177" s="164">
        <f>SUM(E177:G177)</f>
        <v>31.964311242295047</v>
      </c>
      <c r="E177" s="163">
        <f>('Pivot Table for Data Exchange'!$G$408)*100</f>
        <v>31.964311242295047</v>
      </c>
      <c r="F177" s="163">
        <f>('Pivot Table for Data Exchange'!$G$411)*100</f>
        <v>0</v>
      </c>
      <c r="G177" s="171">
        <f>('Pivot Table for Data Exchange'!$G$414)*100</f>
        <v>0</v>
      </c>
      <c r="H177" s="163">
        <f>('Pivot Table for Data Exchange'!$G$417)*100</f>
        <v>0</v>
      </c>
      <c r="I177" s="169" t="s">
        <v>629</v>
      </c>
      <c r="J177" s="163">
        <f>('Pivot Table for Data Exchange'!$G$420)*100</f>
        <v>35.096900084260938</v>
      </c>
      <c r="K177" s="163">
        <f>('Pivot Table for Data Exchange'!$G$423)*100</f>
        <v>3.6453944742560647</v>
      </c>
      <c r="L177" s="164">
        <f>SUM(M177:O177)</f>
        <v>61.25770544148299</v>
      </c>
      <c r="M177" s="163">
        <f>('Pivot Table for Data Exchange'!$G$426)*100</f>
        <v>61.25770544148299</v>
      </c>
      <c r="N177" s="163">
        <f>('Pivot Table for Data Exchange'!$G$429)*100</f>
        <v>0</v>
      </c>
      <c r="O177" s="171">
        <f>('Pivot Table for Data Exchange'!$G$432)*100</f>
        <v>0</v>
      </c>
      <c r="P177" s="163">
        <f>('Pivot Table for Data Exchange'!$G$435)*100</f>
        <v>0</v>
      </c>
      <c r="Q177" s="168">
        <f t="shared" si="34"/>
        <v>100</v>
      </c>
      <c r="R177" s="168">
        <f t="shared" si="35"/>
        <v>100</v>
      </c>
      <c r="S177" s="169"/>
      <c r="T177" s="169"/>
      <c r="U177" s="169"/>
      <c r="V177" s="169"/>
      <c r="W177" s="169"/>
      <c r="X177" s="169"/>
      <c r="Y177" s="169"/>
      <c r="Z177" s="169"/>
      <c r="AA177" s="169"/>
      <c r="AB177" s="169"/>
      <c r="AC177" s="169"/>
      <c r="AD177" s="169"/>
      <c r="AE177" s="169"/>
      <c r="AF177" s="169"/>
      <c r="AG177" s="169"/>
      <c r="AH177" s="169"/>
      <c r="AI177" s="169"/>
      <c r="AJ177" s="169"/>
      <c r="AK177" s="169"/>
      <c r="AL177" s="169"/>
      <c r="AM177" s="169"/>
      <c r="AN177" s="169"/>
      <c r="AO177" s="169"/>
    </row>
    <row r="178" spans="1:41" ht="11.25" customHeight="1">
      <c r="B178" s="163"/>
      <c r="C178" s="163"/>
      <c r="D178" s="164"/>
      <c r="E178" s="163"/>
      <c r="F178" s="163"/>
      <c r="G178" s="171"/>
      <c r="H178" s="163"/>
      <c r="I178" s="169"/>
      <c r="J178" s="163"/>
      <c r="K178" s="163"/>
      <c r="L178" s="164"/>
      <c r="M178" s="163"/>
      <c r="N178" s="163"/>
      <c r="O178" s="171"/>
      <c r="P178" s="163"/>
      <c r="Q178" s="168">
        <f t="shared" si="34"/>
        <v>0</v>
      </c>
      <c r="R178" s="168">
        <f t="shared" si="35"/>
        <v>0</v>
      </c>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row>
    <row r="179" spans="1:41" ht="15.75" customHeight="1">
      <c r="A179" s="134" t="s">
        <v>630</v>
      </c>
      <c r="B179" s="163">
        <f>('Pivot Table for Data Exchange'!$G$438)*100</f>
        <v>0</v>
      </c>
      <c r="C179" s="163">
        <f>('Pivot Table for Data Exchange'!$G$441)*100</f>
        <v>0</v>
      </c>
      <c r="D179" s="164">
        <f>SUM(E179:G179)</f>
        <v>0</v>
      </c>
      <c r="E179" s="163">
        <f>('Pivot Table for Data Exchange'!$G$444)*100</f>
        <v>0</v>
      </c>
      <c r="F179" s="163">
        <f>('Pivot Table for Data Exchange'!$G$447)*100</f>
        <v>0</v>
      </c>
      <c r="G179" s="170">
        <f>('Pivot Table for Data Exchange'!$G$450)*100</f>
        <v>0</v>
      </c>
      <c r="H179" s="163">
        <f>('Pivot Table for Data Exchange'!$G$453)*100</f>
        <v>0</v>
      </c>
      <c r="I179" s="169" t="s">
        <v>630</v>
      </c>
      <c r="J179" s="198">
        <f>('Pivot Table for Data Exchange'!$G$456)*100</f>
        <v>0</v>
      </c>
      <c r="K179" s="163">
        <f>('Pivot Table for Data Exchange'!$G$459)*100</f>
        <v>0</v>
      </c>
      <c r="L179" s="164">
        <f>SUM(M179:O179)</f>
        <v>0</v>
      </c>
      <c r="M179" s="163">
        <f>('Pivot Table for Data Exchange'!$G$462)*100</f>
        <v>0</v>
      </c>
      <c r="N179" s="175">
        <f>('Pivot Table for Data Exchange'!$G$465)*100</f>
        <v>0</v>
      </c>
      <c r="O179" s="171">
        <f>('Pivot Table for Data Exchange'!$G$468)*100</f>
        <v>0</v>
      </c>
      <c r="P179" s="175">
        <f>('Pivot Table for Data Exchange'!$G$471)*100</f>
        <v>0</v>
      </c>
      <c r="Q179" s="168">
        <f t="shared" si="34"/>
        <v>0</v>
      </c>
      <c r="R179" s="168">
        <f t="shared" si="35"/>
        <v>0</v>
      </c>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69"/>
    </row>
    <row r="180" spans="1:41" ht="15.75" customHeight="1">
      <c r="A180" s="134" t="s">
        <v>631</v>
      </c>
      <c r="B180" s="163">
        <f>('Pivot Table for Data Exchange'!$G$474)*100</f>
        <v>44.75861750157943</v>
      </c>
      <c r="C180" s="163">
        <f>('Pivot Table for Data Exchange'!$G$477)*100</f>
        <v>8.9202890734548603</v>
      </c>
      <c r="D180" s="164">
        <f>SUM(E180:G180)</f>
        <v>46.321093424965717</v>
      </c>
      <c r="E180" s="163">
        <f>('Pivot Table for Data Exchange'!$G$480)*100</f>
        <v>39.730650107092778</v>
      </c>
      <c r="F180" s="163">
        <f>('Pivot Table for Data Exchange'!$G$483)*100</f>
        <v>3.3144829499052344</v>
      </c>
      <c r="G180" s="171">
        <f>('Pivot Table for Data Exchange'!$G$486)*100</f>
        <v>3.275960367967703</v>
      </c>
      <c r="H180" s="163">
        <f>('Pivot Table for Data Exchange'!$G$489)*100</f>
        <v>0</v>
      </c>
      <c r="I180" s="169" t="s">
        <v>631</v>
      </c>
      <c r="J180" s="163">
        <f>('Pivot Table for Data Exchange'!$G$492)*100</f>
        <v>34.028244788164095</v>
      </c>
      <c r="K180" s="163">
        <f>('Pivot Table for Data Exchange'!$G$495)*100</f>
        <v>5.8955391167899576</v>
      </c>
      <c r="L180" s="164">
        <f>SUM(M180:O180)</f>
        <v>60.076216095045957</v>
      </c>
      <c r="M180" s="163">
        <f>('Pivot Table for Data Exchange'!$G$498)*100</f>
        <v>53.665097511768664</v>
      </c>
      <c r="N180" s="163">
        <f>('Pivot Table for Data Exchange'!$G$501)*100</f>
        <v>2.0174848688634834</v>
      </c>
      <c r="O180" s="171">
        <f>('Pivot Table for Data Exchange'!$G$504)*100</f>
        <v>4.3936337144138085</v>
      </c>
      <c r="P180" s="163">
        <f>('Pivot Table for Data Exchange'!$G$507)*100</f>
        <v>0</v>
      </c>
      <c r="Q180" s="168">
        <f t="shared" si="34"/>
        <v>100</v>
      </c>
      <c r="R180" s="168">
        <f t="shared" si="35"/>
        <v>100</v>
      </c>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69"/>
    </row>
    <row r="181" spans="1:41" ht="15.75" customHeight="1">
      <c r="A181" s="134" t="s">
        <v>632</v>
      </c>
      <c r="B181" s="163">
        <f>('Pivot Table for Data Exchange'!$G$510)*100</f>
        <v>66.08865474202338</v>
      </c>
      <c r="C181" s="163">
        <f>('Pivot Table for Data Exchange'!$G$513)*100</f>
        <v>0.42794673464006328</v>
      </c>
      <c r="D181" s="164">
        <f t="shared" ref="D181" si="46">SUM(E181:G181)</f>
        <v>33.483398523336561</v>
      </c>
      <c r="E181" s="163">
        <f>('Pivot Table for Data Exchange'!$G$516)*100</f>
        <v>21.105080425419708</v>
      </c>
      <c r="F181" s="163">
        <f>('Pivot Table for Data Exchange'!$G$519)*100</f>
        <v>12.37831809791685</v>
      </c>
      <c r="G181" s="171">
        <f>('Pivot Table for Data Exchange'!$G$522)*100</f>
        <v>0</v>
      </c>
      <c r="H181" s="163">
        <f>('Pivot Table for Data Exchange'!$G$525)*100</f>
        <v>0</v>
      </c>
      <c r="I181" s="169" t="s">
        <v>632</v>
      </c>
      <c r="J181" s="163">
        <f>('Pivot Table for Data Exchange'!$G$528)*100</f>
        <v>23.287525111557542</v>
      </c>
      <c r="K181" s="163">
        <f>('Pivot Table for Data Exchange'!$G$531)*100</f>
        <v>3.5333961492648758</v>
      </c>
      <c r="L181" s="164">
        <f t="shared" ref="L181" si="47">SUM(M181:O181)</f>
        <v>73.179078739177584</v>
      </c>
      <c r="M181" s="163">
        <f>('Pivot Table for Data Exchange'!$G$534)*100</f>
        <v>65.952283596152824</v>
      </c>
      <c r="N181" s="163">
        <f>('Pivot Table for Data Exchange'!$G$537)*100</f>
        <v>7.2267951430247654</v>
      </c>
      <c r="O181" s="171">
        <f>('Pivot Table for Data Exchange'!$G$540)*100</f>
        <v>0</v>
      </c>
      <c r="P181" s="163">
        <f>('Pivot Table for Data Exchange'!$G$543)*100</f>
        <v>0</v>
      </c>
      <c r="Q181" s="168">
        <f t="shared" si="34"/>
        <v>100</v>
      </c>
      <c r="R181" s="168">
        <f t="shared" si="35"/>
        <v>100</v>
      </c>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69"/>
    </row>
    <row r="182" spans="1:41" ht="15.75" customHeight="1">
      <c r="A182" s="140" t="s">
        <v>633</v>
      </c>
      <c r="B182" s="176">
        <f>('Pivot Table for Data Exchange'!$G$546)*100</f>
        <v>54.383944496720652</v>
      </c>
      <c r="C182" s="176">
        <f>('Pivot Table for Data Exchange'!$G$549)*100</f>
        <v>1.7485218319452833</v>
      </c>
      <c r="D182" s="177">
        <f>SUM(E182:G182)</f>
        <v>43.867533671334073</v>
      </c>
      <c r="E182" s="176">
        <f>('Pivot Table for Data Exchange'!$G$552)*100</f>
        <v>43.588987355401692</v>
      </c>
      <c r="F182" s="176">
        <f>('Pivot Table for Data Exchange'!$G$555)*100</f>
        <v>0.27854631593238111</v>
      </c>
      <c r="G182" s="178">
        <f>('Pivot Table for Data Exchange'!$G$558)*100</f>
        <v>0</v>
      </c>
      <c r="H182" s="176">
        <f>('Pivot Table for Data Exchange'!$G$561)*100</f>
        <v>0</v>
      </c>
      <c r="I182" s="179" t="s">
        <v>633</v>
      </c>
      <c r="J182" s="176">
        <f>('Pivot Table for Data Exchange'!$G$564)*100</f>
        <v>22.578425976884976</v>
      </c>
      <c r="K182" s="176">
        <f>('Pivot Table for Data Exchange'!$G$567)*100</f>
        <v>1.3758943313153549E-2</v>
      </c>
      <c r="L182" s="177">
        <f>SUM(M182:O182)</f>
        <v>77.407815079801864</v>
      </c>
      <c r="M182" s="176">
        <f>('Pivot Table for Data Exchange'!$G$570)*100</f>
        <v>77.407815079801864</v>
      </c>
      <c r="N182" s="176">
        <f>('Pivot Table for Data Exchange'!$G$573)*100</f>
        <v>0</v>
      </c>
      <c r="O182" s="178">
        <f>('Pivot Table for Data Exchange'!$G$576)*100</f>
        <v>0</v>
      </c>
      <c r="P182" s="176">
        <f>('Pivot Table for Data Exchange'!$G$579)*100</f>
        <v>0</v>
      </c>
      <c r="Q182" s="168">
        <f t="shared" si="34"/>
        <v>100</v>
      </c>
      <c r="R182" s="168">
        <f t="shared" si="35"/>
        <v>100</v>
      </c>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69"/>
    </row>
    <row r="183" spans="1:41" s="181" customFormat="1" ht="12.75" customHeight="1">
      <c r="A183" s="182" t="s">
        <v>658</v>
      </c>
      <c r="B183" s="183"/>
      <c r="C183" s="183"/>
      <c r="D183" s="184"/>
      <c r="E183" s="183"/>
      <c r="F183" s="184"/>
      <c r="G183" s="184"/>
      <c r="H183" s="183"/>
      <c r="I183" s="182" t="s">
        <v>658</v>
      </c>
      <c r="J183" s="183"/>
      <c r="K183" s="183"/>
      <c r="L183" s="184"/>
      <c r="M183" s="183"/>
      <c r="N183" s="184"/>
      <c r="O183" s="184"/>
      <c r="P183" s="183"/>
      <c r="Q183" s="168"/>
      <c r="R183" s="168"/>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row>
    <row r="184" spans="1:41" s="181" customFormat="1" ht="8.25" customHeight="1">
      <c r="A184" s="186"/>
      <c r="B184" s="195"/>
      <c r="C184" s="195"/>
      <c r="D184" s="136"/>
      <c r="E184" s="195"/>
      <c r="F184" s="195"/>
      <c r="G184" s="195"/>
      <c r="H184" s="195"/>
      <c r="I184" s="186"/>
      <c r="J184" s="195"/>
      <c r="K184" s="195"/>
      <c r="L184" s="136"/>
      <c r="M184" s="195"/>
      <c r="N184" s="195"/>
      <c r="O184" s="195"/>
      <c r="P184" s="195"/>
      <c r="Q184" s="168"/>
      <c r="R184" s="168"/>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row>
    <row r="185" spans="1:41" s="181" customFormat="1" ht="13.5" customHeight="1">
      <c r="A185" s="192"/>
      <c r="B185" s="193"/>
      <c r="H185" s="187" t="s">
        <v>992</v>
      </c>
      <c r="I185" s="192"/>
      <c r="P185" s="187" t="s">
        <v>992</v>
      </c>
      <c r="Q185" s="168"/>
      <c r="R185" s="168"/>
    </row>
    <row r="186" spans="1:41" ht="18">
      <c r="A186" s="129" t="s">
        <v>669</v>
      </c>
      <c r="B186" s="130"/>
      <c r="C186" s="130"/>
      <c r="D186" s="130"/>
      <c r="E186" s="130"/>
      <c r="F186" s="130"/>
      <c r="G186" s="130"/>
      <c r="H186" s="130"/>
      <c r="I186" s="129" t="s">
        <v>670</v>
      </c>
      <c r="J186" s="131"/>
      <c r="K186" s="131"/>
      <c r="L186" s="130"/>
      <c r="M186" s="131"/>
      <c r="N186" s="131"/>
      <c r="O186" s="131"/>
      <c r="P186" s="131"/>
      <c r="Q186" s="168"/>
      <c r="R186" s="168"/>
    </row>
    <row r="187" spans="1:41">
      <c r="A187" s="135"/>
      <c r="B187" s="131"/>
      <c r="C187" s="131"/>
      <c r="D187" s="131"/>
      <c r="E187" s="131"/>
      <c r="F187" s="131"/>
      <c r="G187" s="131"/>
      <c r="H187" s="131"/>
      <c r="I187" s="135"/>
      <c r="J187" s="131"/>
      <c r="K187" s="131"/>
      <c r="L187" s="131"/>
      <c r="M187" s="131"/>
      <c r="N187" s="131"/>
      <c r="O187" s="131"/>
      <c r="P187" s="131"/>
      <c r="Q187" s="168"/>
      <c r="R187" s="168"/>
    </row>
    <row r="188" spans="1:41" ht="15.75">
      <c r="A188" s="137" t="s">
        <v>639</v>
      </c>
      <c r="B188" s="131"/>
      <c r="C188" s="131"/>
      <c r="D188" s="131"/>
      <c r="E188" s="131"/>
      <c r="F188" s="131"/>
      <c r="G188" s="131"/>
      <c r="H188" s="131"/>
      <c r="I188" s="137" t="s">
        <v>640</v>
      </c>
      <c r="J188" s="131"/>
      <c r="K188" s="131"/>
      <c r="L188" s="131"/>
      <c r="M188" s="131"/>
      <c r="N188" s="131"/>
      <c r="O188" s="131"/>
      <c r="P188" s="131"/>
      <c r="Q188" s="168"/>
      <c r="R188" s="168"/>
    </row>
    <row r="189" spans="1:41" ht="15.75">
      <c r="A189" s="137" t="s">
        <v>869</v>
      </c>
      <c r="B189" s="131"/>
      <c r="C189" s="131"/>
      <c r="D189" s="131"/>
      <c r="E189" s="131"/>
      <c r="F189" s="131"/>
      <c r="G189" s="131"/>
      <c r="H189" s="131"/>
      <c r="I189" s="137" t="s">
        <v>869</v>
      </c>
      <c r="J189" s="131"/>
      <c r="K189" s="131"/>
      <c r="L189" s="131"/>
      <c r="M189" s="131"/>
      <c r="N189" s="131"/>
      <c r="O189" s="131"/>
      <c r="P189" s="131"/>
      <c r="Q189" s="168"/>
      <c r="R189" s="168"/>
    </row>
    <row r="190" spans="1:41">
      <c r="A190" s="140"/>
      <c r="B190" s="141"/>
      <c r="C190" s="141"/>
      <c r="D190" s="141"/>
      <c r="E190" s="141"/>
      <c r="F190" s="141"/>
      <c r="G190" s="141"/>
      <c r="H190" s="141"/>
      <c r="I190" s="142"/>
      <c r="L190" s="143"/>
      <c r="P190" s="140"/>
      <c r="Q190" s="168"/>
      <c r="R190" s="168"/>
    </row>
    <row r="191" spans="1:41" s="150" customFormat="1">
      <c r="A191" s="145"/>
      <c r="B191" s="146" t="s">
        <v>641</v>
      </c>
      <c r="C191" s="146"/>
      <c r="D191" s="146"/>
      <c r="E191" s="146"/>
      <c r="F191" s="146"/>
      <c r="G191" s="146"/>
      <c r="H191" s="147"/>
      <c r="I191" s="145"/>
      <c r="J191" s="146" t="s">
        <v>641</v>
      </c>
      <c r="K191" s="146"/>
      <c r="L191" s="146"/>
      <c r="M191" s="146"/>
      <c r="N191" s="146"/>
      <c r="O191" s="146"/>
      <c r="P191" s="147"/>
      <c r="Q191" s="168"/>
      <c r="R191" s="168"/>
    </row>
    <row r="192" spans="1:41" s="150" customFormat="1">
      <c r="A192" s="145"/>
      <c r="B192" s="146" t="s">
        <v>642</v>
      </c>
      <c r="C192" s="146"/>
      <c r="D192" s="639" t="s">
        <v>643</v>
      </c>
      <c r="E192" s="637"/>
      <c r="F192" s="637"/>
      <c r="G192" s="637"/>
      <c r="H192" s="153" t="s">
        <v>533</v>
      </c>
      <c r="I192" s="145"/>
      <c r="J192" s="146" t="s">
        <v>642</v>
      </c>
      <c r="K192" s="146"/>
      <c r="L192" s="639" t="s">
        <v>643</v>
      </c>
      <c r="M192" s="637"/>
      <c r="N192" s="637"/>
      <c r="O192" s="637"/>
      <c r="P192" s="153" t="s">
        <v>533</v>
      </c>
      <c r="Q192" s="168"/>
      <c r="R192" s="168"/>
    </row>
    <row r="193" spans="1:41" s="150" customFormat="1" ht="40.5" customHeight="1">
      <c r="A193" s="145"/>
      <c r="B193" s="154" t="s">
        <v>644</v>
      </c>
      <c r="C193" s="155" t="s">
        <v>645</v>
      </c>
      <c r="D193" s="156" t="s">
        <v>646</v>
      </c>
      <c r="E193" s="157" t="s">
        <v>8</v>
      </c>
      <c r="F193" s="154" t="s">
        <v>647</v>
      </c>
      <c r="G193" s="158" t="s">
        <v>656</v>
      </c>
      <c r="H193" s="159" t="s">
        <v>649</v>
      </c>
      <c r="I193" s="145"/>
      <c r="J193" s="154" t="s">
        <v>644</v>
      </c>
      <c r="K193" s="155" t="s">
        <v>645</v>
      </c>
      <c r="L193" s="156" t="s">
        <v>646</v>
      </c>
      <c r="M193" s="157" t="s">
        <v>8</v>
      </c>
      <c r="N193" s="154" t="s">
        <v>647</v>
      </c>
      <c r="O193" s="158" t="s">
        <v>656</v>
      </c>
      <c r="P193" s="159" t="s">
        <v>649</v>
      </c>
      <c r="Q193" s="168"/>
      <c r="R193" s="168"/>
      <c r="T193" s="188"/>
    </row>
    <row r="194" spans="1:41" ht="15.75" customHeight="1">
      <c r="A194" s="189" t="s">
        <v>618</v>
      </c>
      <c r="B194" s="163">
        <f>('Pivot Table for Data Exchange'!$H$6)*100</f>
        <v>0</v>
      </c>
      <c r="C194" s="163">
        <f>('Pivot Table for Data Exchange'!$H$9)*100</f>
        <v>0</v>
      </c>
      <c r="D194" s="164">
        <f>SUM(E194:G194)</f>
        <v>0</v>
      </c>
      <c r="E194" s="163">
        <f>('Pivot Table for Data Exchange'!$H$12)*100</f>
        <v>0</v>
      </c>
      <c r="F194" s="163">
        <f>('Pivot Table for Data Exchange'!$H$15)*100</f>
        <v>0</v>
      </c>
      <c r="G194" s="167">
        <f>('Pivot Table for Data Exchange'!$H$18)*100</f>
        <v>0</v>
      </c>
      <c r="H194" s="163">
        <f>('Pivot Table for Data Exchange'!$H$21)*100</f>
        <v>0</v>
      </c>
      <c r="I194" s="166" t="s">
        <v>618</v>
      </c>
      <c r="J194" s="163">
        <f>('Pivot Table for Data Exchange'!$H$24)*100</f>
        <v>0</v>
      </c>
      <c r="K194" s="163">
        <f>('Pivot Table for Data Exchange'!$H$27)*100</f>
        <v>0</v>
      </c>
      <c r="L194" s="164">
        <f>SUM(M194:O194)</f>
        <v>0</v>
      </c>
      <c r="M194" s="163">
        <f>('Pivot Table for Data Exchange'!$H$30)*100</f>
        <v>0</v>
      </c>
      <c r="N194" s="163">
        <f>('Pivot Table for Data Exchange'!$H$33)*100</f>
        <v>0</v>
      </c>
      <c r="O194" s="167">
        <f>('Pivot Table for Data Exchange'!$H$36)*100</f>
        <v>0</v>
      </c>
      <c r="P194" s="163">
        <f>('Pivot Table for Data Exchange'!$H$39)*100</f>
        <v>0</v>
      </c>
      <c r="Q194" s="168">
        <f t="shared" si="34"/>
        <v>0</v>
      </c>
      <c r="R194" s="168">
        <f t="shared" si="35"/>
        <v>0</v>
      </c>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row>
    <row r="195" spans="1:41" ht="15.75" customHeight="1">
      <c r="A195" s="134" t="s">
        <v>619</v>
      </c>
      <c r="B195" s="163">
        <f>('Pivot Table for Data Exchange'!$H$42)*100</f>
        <v>63.491293456915088</v>
      </c>
      <c r="C195" s="163">
        <f>('Pivot Table for Data Exchange'!$H$45)*100</f>
        <v>7.4097742782641962</v>
      </c>
      <c r="D195" s="164">
        <f t="shared" ref="D195:D197" si="48">SUM(E195:G195)</f>
        <v>29.098932264820718</v>
      </c>
      <c r="E195" s="163">
        <f>('Pivot Table for Data Exchange'!$H$48)*100</f>
        <v>29.09333470162656</v>
      </c>
      <c r="F195" s="163">
        <f>('Pivot Table for Data Exchange'!$H$51)*100</f>
        <v>5.5975631941561441E-3</v>
      </c>
      <c r="G195" s="171">
        <f>('Pivot Table for Data Exchange'!$H$54)*100</f>
        <v>0</v>
      </c>
      <c r="H195" s="163">
        <f>('Pivot Table for Data Exchange'!$H$57)*100</f>
        <v>0</v>
      </c>
      <c r="I195" s="169" t="s">
        <v>619</v>
      </c>
      <c r="J195" s="163">
        <f>('Pivot Table for Data Exchange'!$H$60)*100</f>
        <v>44.675925925925924</v>
      </c>
      <c r="K195" s="163">
        <f>('Pivot Table for Data Exchange'!$H$63)*100</f>
        <v>0</v>
      </c>
      <c r="L195" s="164">
        <f t="shared" ref="L195:L197" si="49">SUM(M195:O195)</f>
        <v>55.324074074074069</v>
      </c>
      <c r="M195" s="163">
        <f>('Pivot Table for Data Exchange'!$H$66)*100</f>
        <v>55.324074074074069</v>
      </c>
      <c r="N195" s="163">
        <f>('Pivot Table for Data Exchange'!$H$69)*100</f>
        <v>0</v>
      </c>
      <c r="O195" s="171">
        <f>('Pivot Table for Data Exchange'!$H$72)*100</f>
        <v>0</v>
      </c>
      <c r="P195" s="163">
        <f>('Pivot Table for Data Exchange'!$H$75)*100</f>
        <v>0</v>
      </c>
      <c r="Q195" s="168">
        <f t="shared" si="34"/>
        <v>100</v>
      </c>
      <c r="R195" s="168">
        <f t="shared" si="35"/>
        <v>100</v>
      </c>
      <c r="S195" s="169"/>
      <c r="T195" s="169"/>
      <c r="U195" s="169"/>
      <c r="V195" s="169"/>
      <c r="W195" s="169"/>
      <c r="X195" s="169"/>
      <c r="Y195" s="169"/>
      <c r="Z195" s="169"/>
      <c r="AA195" s="169"/>
      <c r="AB195" s="169"/>
      <c r="AC195" s="169"/>
      <c r="AD195" s="169"/>
      <c r="AE195" s="169"/>
      <c r="AF195" s="169"/>
      <c r="AG195" s="169"/>
      <c r="AH195" s="169"/>
      <c r="AI195" s="169"/>
      <c r="AJ195" s="169"/>
      <c r="AK195" s="169"/>
      <c r="AL195" s="169"/>
      <c r="AM195" s="169"/>
      <c r="AN195" s="169"/>
      <c r="AO195" s="169"/>
    </row>
    <row r="196" spans="1:41" ht="15.75" customHeight="1">
      <c r="A196" s="134" t="s">
        <v>620</v>
      </c>
      <c r="B196" s="163">
        <f>('Pivot Table for Data Exchange'!$H$78)*100</f>
        <v>0</v>
      </c>
      <c r="C196" s="163">
        <f>('Pivot Table for Data Exchange'!$H$81)*100</f>
        <v>0</v>
      </c>
      <c r="D196" s="164">
        <f t="shared" si="48"/>
        <v>0</v>
      </c>
      <c r="E196" s="163">
        <f>('Pivot Table for Data Exchange'!$H$84)*100</f>
        <v>0</v>
      </c>
      <c r="F196" s="163">
        <f>('Pivot Table for Data Exchange'!$H$87)*100</f>
        <v>0</v>
      </c>
      <c r="G196" s="171">
        <f>('Pivot Table for Data Exchange'!$H$90)*100</f>
        <v>0</v>
      </c>
      <c r="H196" s="163">
        <f>('Pivot Table for Data Exchange'!$H$93)*100</f>
        <v>0</v>
      </c>
      <c r="I196" s="169" t="s">
        <v>620</v>
      </c>
      <c r="J196" s="163">
        <f>('Pivot Table for Data Exchange'!$H$96)*100</f>
        <v>0</v>
      </c>
      <c r="K196" s="163">
        <f>('Pivot Table for Data Exchange'!$H$99)*100</f>
        <v>0</v>
      </c>
      <c r="L196" s="164">
        <f t="shared" si="49"/>
        <v>0</v>
      </c>
      <c r="M196" s="163">
        <f>('Pivot Table for Data Exchange'!$H$102)*100</f>
        <v>0</v>
      </c>
      <c r="N196" s="163">
        <f>('Pivot Table for Data Exchange'!$H$105)*100</f>
        <v>0</v>
      </c>
      <c r="O196" s="171">
        <f>('Pivot Table for Data Exchange'!$H$108)*100</f>
        <v>0</v>
      </c>
      <c r="P196" s="163">
        <f>('Pivot Table for Data Exchange'!$H$111)*100</f>
        <v>0</v>
      </c>
      <c r="Q196" s="168">
        <f t="shared" si="34"/>
        <v>0</v>
      </c>
      <c r="R196" s="168">
        <f t="shared" si="35"/>
        <v>0</v>
      </c>
      <c r="S196" s="169"/>
      <c r="T196" s="143"/>
      <c r="U196" s="169"/>
      <c r="V196" s="169"/>
      <c r="W196" s="169"/>
      <c r="X196" s="169"/>
      <c r="Y196" s="169"/>
      <c r="Z196" s="169"/>
      <c r="AA196" s="169"/>
      <c r="AB196" s="169"/>
      <c r="AC196" s="169"/>
      <c r="AD196" s="169"/>
      <c r="AE196" s="169"/>
      <c r="AF196" s="169"/>
      <c r="AG196" s="169"/>
      <c r="AH196" s="169"/>
      <c r="AI196" s="169"/>
      <c r="AJ196" s="169"/>
      <c r="AK196" s="169"/>
      <c r="AL196" s="169"/>
      <c r="AM196" s="169"/>
      <c r="AN196" s="169"/>
      <c r="AO196" s="169"/>
    </row>
    <row r="197" spans="1:41" ht="15.75" customHeight="1">
      <c r="A197" s="134" t="s">
        <v>657</v>
      </c>
      <c r="B197" s="163">
        <f>('Pivot Table for Data Exchange'!$H$114)*100</f>
        <v>0</v>
      </c>
      <c r="C197" s="163">
        <f>('Pivot Table for Data Exchange'!$H$117)*100</f>
        <v>0</v>
      </c>
      <c r="D197" s="164">
        <f t="shared" si="48"/>
        <v>0</v>
      </c>
      <c r="E197" s="163">
        <f>('Pivot Table for Data Exchange'!$H$120)*100</f>
        <v>0</v>
      </c>
      <c r="F197" s="163">
        <f>('Pivot Table for Data Exchange'!$H$123)*100</f>
        <v>0</v>
      </c>
      <c r="G197" s="171">
        <f>('Pivot Table for Data Exchange'!$H$126)*100</f>
        <v>0</v>
      </c>
      <c r="H197" s="163">
        <f>('Pivot Table for Data Exchange'!$H$129)*100</f>
        <v>0</v>
      </c>
      <c r="I197" s="169" t="s">
        <v>621</v>
      </c>
      <c r="J197" s="163">
        <f>('Pivot Table for Data Exchange'!$H$132)*100</f>
        <v>0</v>
      </c>
      <c r="K197" s="163">
        <f>('Pivot Table for Data Exchange'!$H$135)*100</f>
        <v>0</v>
      </c>
      <c r="L197" s="164">
        <f t="shared" si="49"/>
        <v>0</v>
      </c>
      <c r="M197" s="163">
        <f>('Pivot Table for Data Exchange'!$H$138)*100</f>
        <v>0</v>
      </c>
      <c r="N197" s="163">
        <f>('Pivot Table for Data Exchange'!$H$141)*100</f>
        <v>0</v>
      </c>
      <c r="O197" s="171">
        <f>('Pivot Table for Data Exchange'!$H$144)*100</f>
        <v>0</v>
      </c>
      <c r="P197" s="163">
        <f>('Pivot Table for Data Exchange'!$H$147)*100</f>
        <v>0</v>
      </c>
      <c r="Q197" s="168">
        <f t="shared" si="34"/>
        <v>0</v>
      </c>
      <c r="R197" s="168">
        <f t="shared" si="35"/>
        <v>0</v>
      </c>
      <c r="S197" s="169"/>
      <c r="U197" s="169"/>
      <c r="V197" s="169"/>
      <c r="W197" s="169"/>
      <c r="X197" s="169"/>
      <c r="Y197" s="169"/>
      <c r="Z197" s="169"/>
      <c r="AA197" s="169"/>
      <c r="AB197" s="169"/>
      <c r="AC197" s="169"/>
      <c r="AD197" s="169"/>
      <c r="AE197" s="169"/>
      <c r="AF197" s="169"/>
      <c r="AG197" s="169"/>
      <c r="AH197" s="169"/>
      <c r="AI197" s="169"/>
      <c r="AJ197" s="169"/>
      <c r="AK197" s="169"/>
      <c r="AL197" s="169"/>
      <c r="AM197" s="169"/>
      <c r="AN197" s="169"/>
      <c r="AO197" s="169"/>
    </row>
    <row r="198" spans="1:41" ht="15.75" customHeight="1">
      <c r="B198" s="163"/>
      <c r="C198" s="163"/>
      <c r="D198" s="164"/>
      <c r="E198" s="163"/>
      <c r="F198" s="163"/>
      <c r="G198" s="171"/>
      <c r="H198" s="163"/>
      <c r="I198" s="169"/>
      <c r="J198" s="163"/>
      <c r="K198" s="163"/>
      <c r="L198" s="164"/>
      <c r="M198" s="163"/>
      <c r="N198" s="163"/>
      <c r="O198" s="171"/>
      <c r="P198" s="163"/>
      <c r="Q198" s="168">
        <f t="shared" si="34"/>
        <v>0</v>
      </c>
      <c r="R198" s="168">
        <f t="shared" si="35"/>
        <v>0</v>
      </c>
      <c r="S198" s="169"/>
      <c r="U198" s="169"/>
      <c r="V198" s="169"/>
      <c r="W198" s="169"/>
      <c r="X198" s="169"/>
      <c r="Y198" s="169"/>
      <c r="Z198" s="169"/>
      <c r="AA198" s="169"/>
      <c r="AB198" s="169"/>
      <c r="AC198" s="169"/>
      <c r="AD198" s="169"/>
      <c r="AE198" s="169"/>
      <c r="AF198" s="169"/>
      <c r="AG198" s="169"/>
      <c r="AH198" s="169"/>
      <c r="AI198" s="169"/>
      <c r="AJ198" s="169"/>
      <c r="AK198" s="169"/>
      <c r="AL198" s="169"/>
      <c r="AM198" s="169"/>
      <c r="AN198" s="169"/>
      <c r="AO198" s="169"/>
    </row>
    <row r="199" spans="1:41" ht="15.75" customHeight="1">
      <c r="A199" s="134" t="s">
        <v>622</v>
      </c>
      <c r="B199" s="163">
        <f>('Pivot Table for Data Exchange'!$H$150)*100</f>
        <v>61.067902502329098</v>
      </c>
      <c r="C199" s="163">
        <f>('Pivot Table for Data Exchange'!$H$153)*100</f>
        <v>1.8287510380483798</v>
      </c>
      <c r="D199" s="164">
        <f t="shared" ref="D199:D202" si="50">SUM(E199:G199)</f>
        <v>37.103346459622522</v>
      </c>
      <c r="E199" s="163">
        <f>('Pivot Table for Data Exchange'!$H$156)*100</f>
        <v>37.103346459622522</v>
      </c>
      <c r="F199" s="163">
        <f>('Pivot Table for Data Exchange'!$H$159)*100</f>
        <v>0</v>
      </c>
      <c r="G199" s="171">
        <f>('Pivot Table for Data Exchange'!$H$162)*100</f>
        <v>0</v>
      </c>
      <c r="H199" s="163">
        <f>('Pivot Table for Data Exchange'!$H$165)*100</f>
        <v>0</v>
      </c>
      <c r="I199" s="169" t="s">
        <v>622</v>
      </c>
      <c r="J199" s="163">
        <f>('Pivot Table for Data Exchange'!$H$168)*100</f>
        <v>0</v>
      </c>
      <c r="K199" s="163">
        <f>('Pivot Table for Data Exchange'!$H$171)*100</f>
        <v>0</v>
      </c>
      <c r="L199" s="164">
        <f t="shared" ref="L199:L202" si="51">SUM(M199:O199)</f>
        <v>0</v>
      </c>
      <c r="M199" s="163">
        <f>('Pivot Table for Data Exchange'!$H$174)*100</f>
        <v>0</v>
      </c>
      <c r="N199" s="163">
        <f>('Pivot Table for Data Exchange'!$H$177)*100</f>
        <v>0</v>
      </c>
      <c r="O199" s="171">
        <f>('Pivot Table for Data Exchange'!$H$180)*100</f>
        <v>0</v>
      </c>
      <c r="P199" s="163">
        <f>('Pivot Table for Data Exchange'!$H$183)*100</f>
        <v>0</v>
      </c>
      <c r="Q199" s="168">
        <f t="shared" si="34"/>
        <v>100</v>
      </c>
      <c r="R199" s="168">
        <f t="shared" si="35"/>
        <v>0</v>
      </c>
      <c r="S199" s="169"/>
      <c r="T199" s="169"/>
      <c r="U199" s="169"/>
      <c r="V199" s="169"/>
      <c r="W199" s="169"/>
      <c r="X199" s="169"/>
      <c r="Y199" s="169"/>
      <c r="Z199" s="169"/>
      <c r="AA199" s="169"/>
      <c r="AB199" s="169"/>
      <c r="AC199" s="169"/>
      <c r="AD199" s="169"/>
      <c r="AE199" s="169"/>
      <c r="AF199" s="169"/>
      <c r="AG199" s="169"/>
      <c r="AH199" s="169"/>
      <c r="AI199" s="169"/>
      <c r="AJ199" s="169"/>
      <c r="AK199" s="169"/>
      <c r="AL199" s="169"/>
      <c r="AM199" s="169"/>
      <c r="AN199" s="169"/>
      <c r="AO199" s="169"/>
    </row>
    <row r="200" spans="1:41" ht="15.75" customHeight="1">
      <c r="A200" s="134" t="s">
        <v>623</v>
      </c>
      <c r="B200" s="163">
        <f>('Pivot Table for Data Exchange'!$H$186)*100</f>
        <v>0</v>
      </c>
      <c r="C200" s="163">
        <f>('Pivot Table for Data Exchange'!$H$189)*100</f>
        <v>0</v>
      </c>
      <c r="D200" s="164">
        <f t="shared" si="50"/>
        <v>0</v>
      </c>
      <c r="E200" s="163">
        <f>('Pivot Table for Data Exchange'!$H$192)*100</f>
        <v>0</v>
      </c>
      <c r="F200" s="163">
        <f>('Pivot Table for Data Exchange'!$H$195)*100</f>
        <v>0</v>
      </c>
      <c r="G200" s="171">
        <f>('Pivot Table for Data Exchange'!$H$198)*100</f>
        <v>0</v>
      </c>
      <c r="H200" s="163">
        <f>('Pivot Table for Data Exchange'!$H$201)*100</f>
        <v>0</v>
      </c>
      <c r="I200" s="169" t="s">
        <v>623</v>
      </c>
      <c r="J200" s="163">
        <f>('Pivot Table for Data Exchange'!$H$204)*100</f>
        <v>0</v>
      </c>
      <c r="K200" s="163">
        <f>('Pivot Table for Data Exchange'!$H$207)*100</f>
        <v>0</v>
      </c>
      <c r="L200" s="164">
        <f t="shared" si="51"/>
        <v>0</v>
      </c>
      <c r="M200" s="163">
        <f>('Pivot Table for Data Exchange'!$H$210)*100</f>
        <v>0</v>
      </c>
      <c r="N200" s="163">
        <f>('Pivot Table for Data Exchange'!$H$213)*100</f>
        <v>0</v>
      </c>
      <c r="O200" s="171">
        <f>('Pivot Table for Data Exchange'!$H$216)*100</f>
        <v>0</v>
      </c>
      <c r="P200" s="163">
        <f>('Pivot Table for Data Exchange'!$H$219)*100</f>
        <v>0</v>
      </c>
      <c r="Q200" s="168">
        <f t="shared" si="34"/>
        <v>0</v>
      </c>
      <c r="R200" s="168">
        <f t="shared" si="35"/>
        <v>0</v>
      </c>
      <c r="S200" s="169"/>
      <c r="T200" s="169"/>
      <c r="U200" s="169"/>
      <c r="V200" s="169"/>
      <c r="W200" s="169"/>
      <c r="X200" s="169"/>
      <c r="Y200" s="169"/>
      <c r="Z200" s="169"/>
      <c r="AA200" s="169"/>
      <c r="AB200" s="169"/>
      <c r="AC200" s="169"/>
      <c r="AD200" s="169"/>
      <c r="AE200" s="169"/>
      <c r="AF200" s="169"/>
      <c r="AG200" s="169"/>
      <c r="AH200" s="169"/>
      <c r="AI200" s="169"/>
      <c r="AJ200" s="169"/>
      <c r="AK200" s="169"/>
      <c r="AL200" s="169"/>
      <c r="AM200" s="169"/>
      <c r="AN200" s="169"/>
      <c r="AO200" s="169"/>
    </row>
    <row r="201" spans="1:41" ht="15.75" customHeight="1">
      <c r="A201" s="134" t="s">
        <v>624</v>
      </c>
      <c r="B201" s="163">
        <f>('Pivot Table for Data Exchange'!$H$222)*100</f>
        <v>51.570881226053643</v>
      </c>
      <c r="C201" s="163">
        <f>('Pivot Table for Data Exchange'!$H$225)*100</f>
        <v>0</v>
      </c>
      <c r="D201" s="164">
        <f t="shared" si="50"/>
        <v>48.429118773946364</v>
      </c>
      <c r="E201" s="163">
        <f>('Pivot Table for Data Exchange'!$H$228)*100</f>
        <v>48.429118773946364</v>
      </c>
      <c r="F201" s="163">
        <f>('Pivot Table for Data Exchange'!$H$231)*100</f>
        <v>0</v>
      </c>
      <c r="G201" s="171">
        <f>('Pivot Table for Data Exchange'!$H$234)*100</f>
        <v>0</v>
      </c>
      <c r="H201" s="163">
        <f>('Pivot Table for Data Exchange'!$H$237)*100</f>
        <v>0</v>
      </c>
      <c r="I201" s="169" t="s">
        <v>624</v>
      </c>
      <c r="J201" s="163">
        <f>('Pivot Table for Data Exchange'!$H$240)*100</f>
        <v>0</v>
      </c>
      <c r="K201" s="163">
        <f>('Pivot Table for Data Exchange'!$H$243)*100</f>
        <v>0</v>
      </c>
      <c r="L201" s="164">
        <f t="shared" si="51"/>
        <v>0</v>
      </c>
      <c r="M201" s="163">
        <f>('Pivot Table for Data Exchange'!$H$246)*100</f>
        <v>0</v>
      </c>
      <c r="N201" s="163">
        <f>('Pivot Table for Data Exchange'!$H$249)*100</f>
        <v>0</v>
      </c>
      <c r="O201" s="171">
        <f>('Pivot Table for Data Exchange'!$H$252)*100</f>
        <v>0</v>
      </c>
      <c r="P201" s="163">
        <f>('Pivot Table for Data Exchange'!$H$255)*100</f>
        <v>0</v>
      </c>
      <c r="Q201" s="168">
        <f t="shared" si="34"/>
        <v>100</v>
      </c>
      <c r="R201" s="168">
        <f t="shared" si="35"/>
        <v>0</v>
      </c>
      <c r="S201" s="169"/>
      <c r="T201" s="143"/>
      <c r="U201" s="169"/>
      <c r="V201" s="169"/>
      <c r="W201" s="169"/>
      <c r="X201" s="169"/>
      <c r="Y201" s="169"/>
      <c r="Z201" s="169"/>
      <c r="AA201" s="169"/>
      <c r="AB201" s="169"/>
      <c r="AC201" s="169"/>
      <c r="AD201" s="169"/>
      <c r="AE201" s="169"/>
      <c r="AF201" s="169"/>
      <c r="AG201" s="169"/>
      <c r="AH201" s="169"/>
      <c r="AI201" s="169"/>
      <c r="AJ201" s="169"/>
      <c r="AK201" s="169"/>
      <c r="AL201" s="169"/>
      <c r="AM201" s="169"/>
      <c r="AN201" s="169"/>
      <c r="AO201" s="169"/>
    </row>
    <row r="202" spans="1:41" ht="15.75" customHeight="1">
      <c r="A202" s="134" t="s">
        <v>625</v>
      </c>
      <c r="B202" s="163">
        <f>('Pivot Table for Data Exchange'!$H$258)*100</f>
        <v>77.434472059726573</v>
      </c>
      <c r="C202" s="163">
        <f>('Pivot Table for Data Exchange'!$H$261)*100</f>
        <v>0</v>
      </c>
      <c r="D202" s="164">
        <f t="shared" si="50"/>
        <v>22.565527940273427</v>
      </c>
      <c r="E202" s="163">
        <f>('Pivot Table for Data Exchange'!$H$264)*100</f>
        <v>22.565527940273427</v>
      </c>
      <c r="F202" s="163">
        <f>('Pivot Table for Data Exchange'!$H$267)*100</f>
        <v>0</v>
      </c>
      <c r="G202" s="171">
        <f>('Pivot Table for Data Exchange'!$H$270)*100</f>
        <v>0</v>
      </c>
      <c r="H202" s="163">
        <f>('Pivot Table for Data Exchange'!$H$273)*100</f>
        <v>0</v>
      </c>
      <c r="I202" s="169" t="s">
        <v>625</v>
      </c>
      <c r="J202" s="163">
        <f>('Pivot Table for Data Exchange'!$H$276)*100</f>
        <v>32.845894263217097</v>
      </c>
      <c r="K202" s="163">
        <f>('Pivot Table for Data Exchange'!$H$279)*100</f>
        <v>0</v>
      </c>
      <c r="L202" s="164">
        <f t="shared" si="51"/>
        <v>67.154105736782896</v>
      </c>
      <c r="M202" s="163">
        <f>('Pivot Table for Data Exchange'!$H$282)*100</f>
        <v>67.154105736782896</v>
      </c>
      <c r="N202" s="163">
        <f>('Pivot Table for Data Exchange'!$H$285)*100</f>
        <v>0</v>
      </c>
      <c r="O202" s="171">
        <f>('Pivot Table for Data Exchange'!$H$288)*100</f>
        <v>0</v>
      </c>
      <c r="P202" s="163">
        <f>('Pivot Table for Data Exchange'!$H$291)*100</f>
        <v>0</v>
      </c>
      <c r="Q202" s="168">
        <f t="shared" si="34"/>
        <v>100</v>
      </c>
      <c r="R202" s="168">
        <f t="shared" si="35"/>
        <v>100</v>
      </c>
      <c r="S202" s="169"/>
      <c r="U202" s="169"/>
      <c r="V202" s="169"/>
      <c r="W202" s="169"/>
      <c r="X202" s="169"/>
      <c r="Y202" s="169"/>
      <c r="Z202" s="169"/>
      <c r="AA202" s="169"/>
      <c r="AB202" s="169"/>
      <c r="AC202" s="169"/>
      <c r="AD202" s="169"/>
      <c r="AE202" s="169"/>
      <c r="AF202" s="169"/>
      <c r="AG202" s="169"/>
      <c r="AH202" s="169"/>
      <c r="AI202" s="169"/>
      <c r="AJ202" s="169"/>
      <c r="AK202" s="169"/>
      <c r="AL202" s="169"/>
      <c r="AM202" s="169"/>
      <c r="AN202" s="169"/>
      <c r="AO202" s="169"/>
    </row>
    <row r="203" spans="1:41" ht="11.25" customHeight="1">
      <c r="B203" s="163"/>
      <c r="C203" s="163"/>
      <c r="D203" s="164"/>
      <c r="E203" s="163"/>
      <c r="F203" s="163"/>
      <c r="G203" s="171"/>
      <c r="H203" s="163"/>
      <c r="I203" s="169"/>
      <c r="J203" s="163"/>
      <c r="K203" s="163"/>
      <c r="L203" s="164"/>
      <c r="M203" s="163"/>
      <c r="N203" s="163"/>
      <c r="O203" s="171"/>
      <c r="P203" s="163"/>
      <c r="Q203" s="168">
        <f t="shared" ref="Q203:Q266" si="52">SUM(B203,C203,D203,H203)</f>
        <v>0</v>
      </c>
      <c r="R203" s="168">
        <f t="shared" ref="R203:R216" si="53">SUM(J203,K203,L203,P203)</f>
        <v>0</v>
      </c>
      <c r="S203" s="169"/>
      <c r="U203" s="169"/>
      <c r="V203" s="169"/>
      <c r="W203" s="169"/>
      <c r="X203" s="169"/>
      <c r="Y203" s="169"/>
      <c r="Z203" s="169"/>
      <c r="AA203" s="169"/>
      <c r="AB203" s="169"/>
      <c r="AC203" s="169"/>
      <c r="AD203" s="169"/>
      <c r="AE203" s="169"/>
      <c r="AF203" s="169"/>
      <c r="AG203" s="169"/>
      <c r="AH203" s="169"/>
      <c r="AI203" s="169"/>
      <c r="AJ203" s="169"/>
      <c r="AK203" s="169"/>
      <c r="AL203" s="169"/>
      <c r="AM203" s="169"/>
      <c r="AN203" s="169"/>
      <c r="AO203" s="169"/>
    </row>
    <row r="204" spans="1:41" ht="15.75" customHeight="1">
      <c r="A204" s="134" t="s">
        <v>626</v>
      </c>
      <c r="B204" s="163">
        <f>('Pivot Table for Data Exchange'!$H$294)*100</f>
        <v>0</v>
      </c>
      <c r="C204" s="163">
        <f>('Pivot Table for Data Exchange'!$H$297)*100</f>
        <v>0</v>
      </c>
      <c r="D204" s="164">
        <f t="shared" ref="D204:D206" si="54">SUM(E204:G204)</f>
        <v>0</v>
      </c>
      <c r="E204" s="163">
        <f>('Pivot Table for Data Exchange'!$H$300)*100</f>
        <v>0</v>
      </c>
      <c r="F204" s="163">
        <f>('Pivot Table for Data Exchange'!$H$303)*100</f>
        <v>0</v>
      </c>
      <c r="G204" s="171">
        <f>('Pivot Table for Data Exchange'!$H$306)*100</f>
        <v>0</v>
      </c>
      <c r="H204" s="163">
        <f>('Pivot Table for Data Exchange'!$H$309)*100</f>
        <v>0</v>
      </c>
      <c r="I204" s="169" t="s">
        <v>626</v>
      </c>
      <c r="J204" s="163">
        <f>('Pivot Table for Data Exchange'!$H$312)*100</f>
        <v>0</v>
      </c>
      <c r="K204" s="163">
        <f>('Pivot Table for Data Exchange'!$H$315)*100</f>
        <v>0</v>
      </c>
      <c r="L204" s="164">
        <f t="shared" ref="L204:L206" si="55">SUM(M204:O204)</f>
        <v>0</v>
      </c>
      <c r="M204" s="163">
        <f>('Pivot Table for Data Exchange'!$H$318)*100</f>
        <v>0</v>
      </c>
      <c r="N204" s="163">
        <f>('Pivot Table for Data Exchange'!$H$321)*100</f>
        <v>0</v>
      </c>
      <c r="O204" s="171">
        <f>('Pivot Table for Data Exchange'!$H$324)*100</f>
        <v>0</v>
      </c>
      <c r="P204" s="163">
        <f>('Pivot Table for Data Exchange'!$H$327)*100</f>
        <v>0</v>
      </c>
      <c r="Q204" s="168">
        <f t="shared" si="52"/>
        <v>0</v>
      </c>
      <c r="R204" s="168">
        <f t="shared" si="53"/>
        <v>0</v>
      </c>
      <c r="S204" s="169"/>
      <c r="T204" s="169"/>
      <c r="U204" s="169"/>
      <c r="V204" s="169"/>
      <c r="W204" s="169"/>
      <c r="X204" s="169"/>
      <c r="Y204" s="169"/>
      <c r="Z204" s="169"/>
      <c r="AA204" s="169"/>
      <c r="AB204" s="169"/>
      <c r="AC204" s="169"/>
      <c r="AD204" s="169"/>
      <c r="AE204" s="169"/>
      <c r="AF204" s="169"/>
      <c r="AG204" s="169"/>
      <c r="AH204" s="169"/>
      <c r="AI204" s="169"/>
      <c r="AJ204" s="169"/>
      <c r="AK204" s="169"/>
      <c r="AL204" s="169"/>
      <c r="AM204" s="169"/>
      <c r="AN204" s="169"/>
      <c r="AO204" s="169"/>
    </row>
    <row r="205" spans="1:41" ht="15.75" customHeight="1">
      <c r="A205" s="134" t="s">
        <v>627</v>
      </c>
      <c r="B205" s="163">
        <f>('Pivot Table for Data Exchange'!$H$330)*100</f>
        <v>64.257884340303789</v>
      </c>
      <c r="C205" s="163">
        <f>('Pivot Table for Data Exchange'!$H$333)*100</f>
        <v>0.36714120291533275</v>
      </c>
      <c r="D205" s="164">
        <f t="shared" si="54"/>
        <v>35.374974456780869</v>
      </c>
      <c r="E205" s="163">
        <f>('Pivot Table for Data Exchange'!$H$336)*100</f>
        <v>33.897554662488929</v>
      </c>
      <c r="F205" s="163">
        <f>('Pivot Table for Data Exchange'!$H$339)*100</f>
        <v>1.4774197942919418</v>
      </c>
      <c r="G205" s="171">
        <f>('Pivot Table for Data Exchange'!$H$342)*100</f>
        <v>0</v>
      </c>
      <c r="H205" s="163">
        <f>('Pivot Table for Data Exchange'!$H$345)*100</f>
        <v>0</v>
      </c>
      <c r="I205" s="169" t="s">
        <v>627</v>
      </c>
      <c r="J205" s="163">
        <f>('Pivot Table for Data Exchange'!$H$348)*100</f>
        <v>32.489451476793249</v>
      </c>
      <c r="K205" s="163">
        <f>('Pivot Table for Data Exchange'!$H$351)*100</f>
        <v>0</v>
      </c>
      <c r="L205" s="164">
        <f t="shared" si="55"/>
        <v>67.510548523206751</v>
      </c>
      <c r="M205" s="163">
        <f>('Pivot Table for Data Exchange'!$H$354)*100</f>
        <v>67.510548523206751</v>
      </c>
      <c r="N205" s="163">
        <f>('Pivot Table for Data Exchange'!$H$357)*100</f>
        <v>0</v>
      </c>
      <c r="O205" s="171">
        <f>('Pivot Table for Data Exchange'!$H$360)*100</f>
        <v>0</v>
      </c>
      <c r="P205" s="163">
        <f>('Pivot Table for Data Exchange'!$H$363)*100</f>
        <v>0</v>
      </c>
      <c r="Q205" s="168">
        <f t="shared" si="52"/>
        <v>100</v>
      </c>
      <c r="R205" s="168">
        <f t="shared" si="53"/>
        <v>100</v>
      </c>
      <c r="S205" s="169"/>
      <c r="T205" s="169"/>
      <c r="U205" s="169"/>
      <c r="V205" s="169"/>
      <c r="W205" s="169"/>
      <c r="X205" s="169"/>
      <c r="Y205" s="169"/>
      <c r="Z205" s="169"/>
      <c r="AA205" s="169"/>
      <c r="AB205" s="169"/>
      <c r="AC205" s="169"/>
      <c r="AD205" s="169"/>
      <c r="AE205" s="169"/>
      <c r="AF205" s="169"/>
      <c r="AG205" s="169"/>
      <c r="AH205" s="169"/>
      <c r="AI205" s="169"/>
      <c r="AJ205" s="169"/>
      <c r="AK205" s="169"/>
      <c r="AL205" s="169"/>
      <c r="AM205" s="169"/>
      <c r="AN205" s="169"/>
      <c r="AO205" s="169"/>
    </row>
    <row r="206" spans="1:41" ht="15.75" customHeight="1">
      <c r="A206" s="134" t="s">
        <v>628</v>
      </c>
      <c r="B206" s="163">
        <f>('Pivot Table for Data Exchange'!$H$366)*100</f>
        <v>0</v>
      </c>
      <c r="C206" s="163">
        <f>('Pivot Table for Data Exchange'!$H$369)*100</f>
        <v>0</v>
      </c>
      <c r="D206" s="164">
        <f t="shared" si="54"/>
        <v>0</v>
      </c>
      <c r="E206" s="163">
        <f>('Pivot Table for Data Exchange'!$H$372)*100</f>
        <v>0</v>
      </c>
      <c r="F206" s="163">
        <f>('Pivot Table for Data Exchange'!$H$375)*100</f>
        <v>0</v>
      </c>
      <c r="G206" s="171">
        <f>('Pivot Table for Data Exchange'!$H$378)*100</f>
        <v>0</v>
      </c>
      <c r="H206" s="163">
        <f>('Pivot Table for Data Exchange'!$H$381)*100</f>
        <v>0</v>
      </c>
      <c r="I206" s="169" t="s">
        <v>628</v>
      </c>
      <c r="J206" s="163">
        <f>('Pivot Table for Data Exchange'!$H$384)*100</f>
        <v>0</v>
      </c>
      <c r="K206" s="163">
        <f>('Pivot Table for Data Exchange'!$H$387)*100</f>
        <v>0</v>
      </c>
      <c r="L206" s="164">
        <f t="shared" si="55"/>
        <v>0</v>
      </c>
      <c r="M206" s="163">
        <f>('Pivot Table for Data Exchange'!$H$390)*100</f>
        <v>0</v>
      </c>
      <c r="N206" s="163">
        <f>('Pivot Table for Data Exchange'!$H$393)*100</f>
        <v>0</v>
      </c>
      <c r="O206" s="171">
        <f>('Pivot Table for Data Exchange'!$H$396)*100</f>
        <v>0</v>
      </c>
      <c r="P206" s="163">
        <f>('Pivot Table for Data Exchange'!$H$399)*100</f>
        <v>0</v>
      </c>
      <c r="Q206" s="168">
        <f t="shared" si="52"/>
        <v>0</v>
      </c>
      <c r="R206" s="168">
        <f t="shared" si="53"/>
        <v>0</v>
      </c>
      <c r="S206" s="169"/>
      <c r="T206" s="143"/>
      <c r="U206" s="169"/>
      <c r="V206" s="169"/>
      <c r="W206" s="169"/>
      <c r="X206" s="169"/>
      <c r="Y206" s="169"/>
      <c r="Z206" s="169"/>
      <c r="AA206" s="169"/>
      <c r="AB206" s="169"/>
      <c r="AC206" s="169"/>
      <c r="AD206" s="169"/>
      <c r="AE206" s="169"/>
      <c r="AF206" s="169"/>
      <c r="AG206" s="169"/>
      <c r="AH206" s="169"/>
      <c r="AI206" s="169"/>
      <c r="AJ206" s="169"/>
      <c r="AK206" s="169"/>
      <c r="AL206" s="169"/>
      <c r="AM206" s="169"/>
      <c r="AN206" s="169"/>
      <c r="AO206" s="169"/>
    </row>
    <row r="207" spans="1:41" ht="15.75" customHeight="1">
      <c r="A207" s="134" t="s">
        <v>629</v>
      </c>
      <c r="B207" s="163">
        <f>('Pivot Table for Data Exchange'!$H$402)*100</f>
        <v>50.059449027090565</v>
      </c>
      <c r="C207" s="163">
        <f>('Pivot Table for Data Exchange'!$H$405)*100</f>
        <v>2.6797533117992005</v>
      </c>
      <c r="D207" s="164">
        <f>SUM(E207:G207)</f>
        <v>47.260797661110232</v>
      </c>
      <c r="E207" s="163">
        <f>('Pivot Table for Data Exchange'!$H$408)*100</f>
        <v>47.260797661110232</v>
      </c>
      <c r="F207" s="163">
        <f>('Pivot Table for Data Exchange'!$H$411)*100</f>
        <v>0</v>
      </c>
      <c r="G207" s="171">
        <f>('Pivot Table for Data Exchange'!$H$414)*100</f>
        <v>0</v>
      </c>
      <c r="H207" s="163">
        <f>('Pivot Table for Data Exchange'!$H$417)*100</f>
        <v>0</v>
      </c>
      <c r="I207" s="169" t="s">
        <v>629</v>
      </c>
      <c r="J207" s="163">
        <f>('Pivot Table for Data Exchange'!$H$420)*100</f>
        <v>27.883525946068431</v>
      </c>
      <c r="K207" s="163">
        <f>('Pivot Table for Data Exchange'!$H$423)*100</f>
        <v>1.3596193065941535</v>
      </c>
      <c r="L207" s="164">
        <f>SUM(M207:O207)</f>
        <v>70.756854747337414</v>
      </c>
      <c r="M207" s="163">
        <f>('Pivot Table for Data Exchange'!$H$426)*100</f>
        <v>70.756854747337414</v>
      </c>
      <c r="N207" s="163">
        <f>('Pivot Table for Data Exchange'!$H$429)*100</f>
        <v>0</v>
      </c>
      <c r="O207" s="171">
        <f>('Pivot Table for Data Exchange'!$H$432)*100</f>
        <v>0</v>
      </c>
      <c r="P207" s="163">
        <f>('Pivot Table for Data Exchange'!$H$435)*100</f>
        <v>0</v>
      </c>
      <c r="Q207" s="168">
        <f t="shared" si="52"/>
        <v>100</v>
      </c>
      <c r="R207" s="168">
        <f t="shared" si="53"/>
        <v>100</v>
      </c>
      <c r="S207" s="169"/>
      <c r="T207" s="169"/>
      <c r="U207" s="169"/>
      <c r="V207" s="169"/>
      <c r="W207" s="169"/>
      <c r="X207" s="169"/>
      <c r="Y207" s="169"/>
      <c r="Z207" s="169"/>
      <c r="AA207" s="169"/>
      <c r="AB207" s="169"/>
      <c r="AC207" s="169"/>
      <c r="AD207" s="169"/>
      <c r="AE207" s="169"/>
      <c r="AF207" s="169"/>
      <c r="AG207" s="169"/>
      <c r="AH207" s="169"/>
      <c r="AI207" s="169"/>
      <c r="AJ207" s="169"/>
      <c r="AK207" s="169"/>
      <c r="AL207" s="169"/>
      <c r="AM207" s="169"/>
      <c r="AN207" s="169"/>
      <c r="AO207" s="169"/>
    </row>
    <row r="208" spans="1:41" ht="11.25" customHeight="1">
      <c r="B208" s="163"/>
      <c r="C208" s="163"/>
      <c r="D208" s="164"/>
      <c r="E208" s="163"/>
      <c r="F208" s="163"/>
      <c r="G208" s="171"/>
      <c r="H208" s="163"/>
      <c r="I208" s="169"/>
      <c r="J208" s="163"/>
      <c r="K208" s="163"/>
      <c r="L208" s="164"/>
      <c r="M208" s="163"/>
      <c r="N208" s="163"/>
      <c r="O208" s="171"/>
      <c r="P208" s="163"/>
      <c r="Q208" s="168">
        <f t="shared" si="52"/>
        <v>0</v>
      </c>
      <c r="R208" s="168">
        <f t="shared" si="53"/>
        <v>0</v>
      </c>
      <c r="S208" s="169"/>
      <c r="T208" s="169"/>
      <c r="U208" s="169"/>
      <c r="V208" s="169"/>
      <c r="W208" s="169"/>
      <c r="X208" s="169"/>
      <c r="Y208" s="169"/>
      <c r="Z208" s="169"/>
      <c r="AA208" s="169"/>
      <c r="AB208" s="169"/>
      <c r="AC208" s="169"/>
      <c r="AD208" s="169"/>
      <c r="AE208" s="169"/>
      <c r="AF208" s="169"/>
      <c r="AG208" s="169"/>
      <c r="AH208" s="169"/>
      <c r="AI208" s="169"/>
      <c r="AJ208" s="169"/>
      <c r="AK208" s="169"/>
      <c r="AL208" s="169"/>
      <c r="AM208" s="169"/>
      <c r="AN208" s="169"/>
      <c r="AO208" s="169"/>
    </row>
    <row r="209" spans="1:41" ht="15.75" customHeight="1">
      <c r="A209" s="134" t="s">
        <v>630</v>
      </c>
      <c r="B209" s="163">
        <f>('Pivot Table for Data Exchange'!$H$438)*100</f>
        <v>0</v>
      </c>
      <c r="C209" s="163">
        <f>('Pivot Table for Data Exchange'!$H$441)*100</f>
        <v>0</v>
      </c>
      <c r="D209" s="164">
        <f>SUM(E209:G209)</f>
        <v>0</v>
      </c>
      <c r="E209" s="163">
        <f>('Pivot Table for Data Exchange'!$H$444)*100</f>
        <v>0</v>
      </c>
      <c r="F209" s="163">
        <f>('Pivot Table for Data Exchange'!$H$447)*100</f>
        <v>0</v>
      </c>
      <c r="G209" s="171">
        <f>('Pivot Table for Data Exchange'!$H$450)*100</f>
        <v>0</v>
      </c>
      <c r="H209" s="163">
        <f>('Pivot Table for Data Exchange'!$H$453)*100</f>
        <v>0</v>
      </c>
      <c r="I209" s="169" t="s">
        <v>630</v>
      </c>
      <c r="J209" s="163">
        <f>('Pivot Table for Data Exchange'!$H$456)*100</f>
        <v>0</v>
      </c>
      <c r="K209" s="163">
        <f>('Pivot Table for Data Exchange'!$H$459)*100</f>
        <v>0</v>
      </c>
      <c r="L209" s="164">
        <f>SUM(M209:O209)</f>
        <v>0</v>
      </c>
      <c r="M209" s="163">
        <f>('Pivot Table for Data Exchange'!$H$462)*100</f>
        <v>0</v>
      </c>
      <c r="N209" s="163">
        <f>('Pivot Table for Data Exchange'!$H$465)*100</f>
        <v>0</v>
      </c>
      <c r="O209" s="171">
        <f>('Pivot Table for Data Exchange'!$H$468)*100</f>
        <v>0</v>
      </c>
      <c r="P209" s="163">
        <f>('Pivot Table for Data Exchange'!$H$471)*100</f>
        <v>0</v>
      </c>
      <c r="Q209" s="168">
        <f t="shared" si="52"/>
        <v>0</v>
      </c>
      <c r="R209" s="168">
        <f t="shared" si="53"/>
        <v>0</v>
      </c>
      <c r="S209" s="169"/>
      <c r="T209" s="169"/>
      <c r="U209" s="169"/>
      <c r="V209" s="169"/>
      <c r="W209" s="169"/>
      <c r="X209" s="169"/>
      <c r="Y209" s="169"/>
      <c r="Z209" s="169"/>
      <c r="AA209" s="169"/>
      <c r="AB209" s="169"/>
      <c r="AC209" s="169"/>
      <c r="AD209" s="169"/>
      <c r="AE209" s="169"/>
      <c r="AF209" s="169"/>
      <c r="AG209" s="169"/>
      <c r="AH209" s="169"/>
      <c r="AI209" s="169"/>
      <c r="AJ209" s="169"/>
      <c r="AK209" s="169"/>
      <c r="AL209" s="169"/>
      <c r="AM209" s="169"/>
      <c r="AN209" s="169"/>
      <c r="AO209" s="169"/>
    </row>
    <row r="210" spans="1:41" ht="15.75" customHeight="1">
      <c r="A210" s="134" t="s">
        <v>631</v>
      </c>
      <c r="B210" s="163">
        <f>('Pivot Table for Data Exchange'!$H$474)*100</f>
        <v>0</v>
      </c>
      <c r="C210" s="163">
        <f>('Pivot Table for Data Exchange'!$H$477)*100</f>
        <v>0</v>
      </c>
      <c r="D210" s="164">
        <f>SUM(E210:G210)</f>
        <v>0</v>
      </c>
      <c r="E210" s="163">
        <f>('Pivot Table for Data Exchange'!$H$480)*100</f>
        <v>0</v>
      </c>
      <c r="F210" s="163">
        <f>('Pivot Table for Data Exchange'!$H$483)*100</f>
        <v>0</v>
      </c>
      <c r="G210" s="170">
        <f>('Pivot Table for Data Exchange'!$H$486)*100</f>
        <v>0</v>
      </c>
      <c r="H210" s="163">
        <f>('Pivot Table for Data Exchange'!$H$489)*100</f>
        <v>0</v>
      </c>
      <c r="I210" s="169" t="s">
        <v>631</v>
      </c>
      <c r="J210" s="163">
        <f>('Pivot Table for Data Exchange'!$H$492)*100</f>
        <v>0</v>
      </c>
      <c r="K210" s="163">
        <f>('Pivot Table for Data Exchange'!$H$495)*100</f>
        <v>0</v>
      </c>
      <c r="L210" s="164">
        <f>SUM(M210:O210)</f>
        <v>0</v>
      </c>
      <c r="M210" s="163">
        <f>('Pivot Table for Data Exchange'!$H$498)*100</f>
        <v>0</v>
      </c>
      <c r="N210" s="163">
        <f>('Pivot Table for Data Exchange'!$H$501)*100</f>
        <v>0</v>
      </c>
      <c r="O210" s="171">
        <f>('Pivot Table for Data Exchange'!$H$504)*100</f>
        <v>0</v>
      </c>
      <c r="P210" s="163">
        <f>('Pivot Table for Data Exchange'!$H$507)*100</f>
        <v>0</v>
      </c>
      <c r="Q210" s="168">
        <f t="shared" si="52"/>
        <v>0</v>
      </c>
      <c r="R210" s="168">
        <f t="shared" si="53"/>
        <v>0</v>
      </c>
      <c r="S210" s="169"/>
      <c r="T210" s="169"/>
      <c r="U210" s="169"/>
      <c r="V210" s="169"/>
      <c r="W210" s="169"/>
      <c r="X210" s="169"/>
      <c r="Y210" s="169"/>
      <c r="Z210" s="169"/>
      <c r="AA210" s="169"/>
      <c r="AB210" s="169"/>
      <c r="AC210" s="169"/>
      <c r="AD210" s="169"/>
      <c r="AE210" s="169"/>
      <c r="AF210" s="169"/>
      <c r="AG210" s="169"/>
      <c r="AH210" s="169"/>
      <c r="AI210" s="169"/>
      <c r="AJ210" s="169"/>
      <c r="AK210" s="169"/>
      <c r="AL210" s="169"/>
      <c r="AM210" s="169"/>
      <c r="AN210" s="169"/>
      <c r="AO210" s="169"/>
    </row>
    <row r="211" spans="1:41" ht="15.75" customHeight="1">
      <c r="A211" s="134" t="s">
        <v>632</v>
      </c>
      <c r="B211" s="163">
        <f>('Pivot Table for Data Exchange'!$H$510)*100</f>
        <v>71.382117369764956</v>
      </c>
      <c r="C211" s="163">
        <f>('Pivot Table for Data Exchange'!$H$513)*100</f>
        <v>1.5647847057026254</v>
      </c>
      <c r="D211" s="164">
        <f t="shared" ref="D211" si="56">SUM(E211:G211)</f>
        <v>27.05309792453242</v>
      </c>
      <c r="E211" s="163">
        <f>('Pivot Table for Data Exchange'!$H$516)*100</f>
        <v>27.05309792453242</v>
      </c>
      <c r="F211" s="163">
        <f>('Pivot Table for Data Exchange'!$H$519)*100</f>
        <v>0</v>
      </c>
      <c r="G211" s="171">
        <f>('Pivot Table for Data Exchange'!$H$522)*100</f>
        <v>0</v>
      </c>
      <c r="H211" s="163">
        <f>('Pivot Table for Data Exchange'!$H$525)*100</f>
        <v>0</v>
      </c>
      <c r="I211" s="169" t="s">
        <v>632</v>
      </c>
      <c r="J211" s="163">
        <f>('Pivot Table for Data Exchange'!$H$528)*100</f>
        <v>0</v>
      </c>
      <c r="K211" s="163">
        <f>('Pivot Table for Data Exchange'!$H$531)*100</f>
        <v>0</v>
      </c>
      <c r="L211" s="164">
        <f t="shared" ref="L211" si="57">SUM(M211:O211)</f>
        <v>0</v>
      </c>
      <c r="M211" s="163">
        <f>('Pivot Table for Data Exchange'!$H$534)*100</f>
        <v>0</v>
      </c>
      <c r="N211" s="163">
        <f>('Pivot Table for Data Exchange'!$H$537)*100</f>
        <v>0</v>
      </c>
      <c r="O211" s="171">
        <f>('Pivot Table for Data Exchange'!$H$540)*100</f>
        <v>0</v>
      </c>
      <c r="P211" s="163">
        <f>('Pivot Table for Data Exchange'!$H$543)*100</f>
        <v>0</v>
      </c>
      <c r="Q211" s="168">
        <f t="shared" si="52"/>
        <v>100</v>
      </c>
      <c r="R211" s="168">
        <f t="shared" si="53"/>
        <v>0</v>
      </c>
      <c r="S211" s="169"/>
      <c r="T211" s="169"/>
      <c r="U211" s="169"/>
      <c r="V211" s="169"/>
      <c r="W211" s="169"/>
      <c r="X211" s="169"/>
      <c r="Y211" s="169"/>
      <c r="Z211" s="169"/>
      <c r="AA211" s="169"/>
      <c r="AB211" s="169"/>
      <c r="AC211" s="169"/>
      <c r="AD211" s="169"/>
      <c r="AE211" s="169"/>
      <c r="AF211" s="169"/>
      <c r="AG211" s="169"/>
      <c r="AH211" s="169"/>
      <c r="AI211" s="169"/>
      <c r="AJ211" s="169"/>
      <c r="AK211" s="169"/>
      <c r="AL211" s="169"/>
      <c r="AM211" s="169"/>
      <c r="AN211" s="169"/>
      <c r="AO211" s="169"/>
    </row>
    <row r="212" spans="1:41" ht="15.75" customHeight="1">
      <c r="A212" s="140" t="s">
        <v>633</v>
      </c>
      <c r="B212" s="176">
        <f>('Pivot Table for Data Exchange'!$H$546)*100</f>
        <v>52.776619115152521</v>
      </c>
      <c r="C212" s="176">
        <f>('Pivot Table for Data Exchange'!$H$549)*100</f>
        <v>9.1033805140754342</v>
      </c>
      <c r="D212" s="177">
        <f>SUM(E212:G212)</f>
        <v>38.12000037077204</v>
      </c>
      <c r="E212" s="176">
        <f>('Pivot Table for Data Exchange'!$H$552)*100</f>
        <v>38.12000037077204</v>
      </c>
      <c r="F212" s="176">
        <f>('Pivot Table for Data Exchange'!$H$555)*100</f>
        <v>0</v>
      </c>
      <c r="G212" s="199">
        <f>('Pivot Table for Data Exchange'!$H$558)*100</f>
        <v>0</v>
      </c>
      <c r="H212" s="176">
        <f>('Pivot Table for Data Exchange'!$H$561)*100</f>
        <v>0</v>
      </c>
      <c r="I212" s="179" t="s">
        <v>633</v>
      </c>
      <c r="J212" s="176">
        <f>('Pivot Table for Data Exchange'!$H$564)*100</f>
        <v>0</v>
      </c>
      <c r="K212" s="176">
        <f>('Pivot Table for Data Exchange'!$H$567)*100</f>
        <v>0</v>
      </c>
      <c r="L212" s="177">
        <f>SUM(M212:O212)</f>
        <v>0</v>
      </c>
      <c r="M212" s="176">
        <f>('Pivot Table for Data Exchange'!$H$570)*100</f>
        <v>0</v>
      </c>
      <c r="N212" s="176">
        <f>('Pivot Table for Data Exchange'!$H$573)*100</f>
        <v>0</v>
      </c>
      <c r="O212" s="178">
        <f>('Pivot Table for Data Exchange'!$H$576)*100</f>
        <v>0</v>
      </c>
      <c r="P212" s="176">
        <f>('Pivot Table for Data Exchange'!$H$579)*100</f>
        <v>0</v>
      </c>
      <c r="Q212" s="168">
        <f t="shared" si="52"/>
        <v>100</v>
      </c>
      <c r="R212" s="168">
        <f t="shared" si="53"/>
        <v>0</v>
      </c>
      <c r="S212" s="169"/>
      <c r="T212" s="169"/>
      <c r="U212" s="169"/>
      <c r="V212" s="169"/>
      <c r="W212" s="169"/>
      <c r="X212" s="169"/>
      <c r="Y212" s="169"/>
      <c r="Z212" s="169"/>
      <c r="AA212" s="169"/>
      <c r="AB212" s="169"/>
      <c r="AC212" s="169"/>
      <c r="AD212" s="169"/>
      <c r="AE212" s="169"/>
      <c r="AF212" s="169"/>
      <c r="AG212" s="169"/>
      <c r="AH212" s="169"/>
      <c r="AI212" s="169"/>
      <c r="AJ212" s="169"/>
      <c r="AK212" s="169"/>
      <c r="AL212" s="169"/>
      <c r="AM212" s="169"/>
      <c r="AN212" s="169"/>
      <c r="AO212" s="169"/>
    </row>
    <row r="213" spans="1:41" s="181" customFormat="1" ht="12" customHeight="1">
      <c r="A213" s="182" t="s">
        <v>658</v>
      </c>
      <c r="B213" s="183"/>
      <c r="C213" s="183"/>
      <c r="D213" s="184"/>
      <c r="E213" s="183"/>
      <c r="F213" s="184"/>
      <c r="G213" s="184"/>
      <c r="H213" s="183"/>
      <c r="I213" s="182" t="s">
        <v>658</v>
      </c>
      <c r="J213" s="183"/>
      <c r="K213" s="183"/>
      <c r="L213" s="184"/>
      <c r="M213" s="183"/>
      <c r="N213" s="184"/>
      <c r="O213" s="184"/>
      <c r="P213" s="183"/>
      <c r="Q213" s="168">
        <f t="shared" si="52"/>
        <v>0</v>
      </c>
      <c r="R213" s="168">
        <f t="shared" si="53"/>
        <v>0</v>
      </c>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row>
    <row r="214" spans="1:41" s="181" customFormat="1" ht="22.5" customHeight="1">
      <c r="A214" s="633" t="s">
        <v>664</v>
      </c>
      <c r="B214" s="650"/>
      <c r="C214" s="650"/>
      <c r="D214" s="650"/>
      <c r="E214" s="650"/>
      <c r="F214" s="650"/>
      <c r="G214" s="650"/>
      <c r="H214" s="650"/>
      <c r="I214" s="633"/>
      <c r="J214" s="650"/>
      <c r="K214" s="650"/>
      <c r="L214" s="650"/>
      <c r="M214" s="650"/>
      <c r="N214" s="650"/>
      <c r="O214" s="650"/>
      <c r="P214" s="650"/>
      <c r="Q214" s="168">
        <f t="shared" si="52"/>
        <v>0</v>
      </c>
      <c r="R214" s="168">
        <f t="shared" si="53"/>
        <v>0</v>
      </c>
    </row>
    <row r="215" spans="1:41" s="181" customFormat="1" ht="10.5" customHeight="1">
      <c r="A215" s="186"/>
      <c r="B215" s="195"/>
      <c r="C215" s="195"/>
      <c r="D215" s="136"/>
      <c r="E215" s="195"/>
      <c r="F215" s="195"/>
      <c r="G215" s="195"/>
      <c r="H215" s="195"/>
      <c r="I215" s="186"/>
      <c r="J215" s="195"/>
      <c r="K215" s="195"/>
      <c r="L215" s="136"/>
      <c r="M215" s="195"/>
      <c r="N215" s="195"/>
      <c r="O215" s="195"/>
      <c r="P215" s="195"/>
      <c r="Q215" s="168"/>
      <c r="R215" s="168"/>
    </row>
    <row r="216" spans="1:41" s="181" customFormat="1">
      <c r="H216" s="187" t="s">
        <v>992</v>
      </c>
      <c r="P216" s="187" t="s">
        <v>992</v>
      </c>
      <c r="Q216" s="168">
        <f t="shared" si="52"/>
        <v>0</v>
      </c>
      <c r="R216" s="168">
        <f t="shared" si="53"/>
        <v>0</v>
      </c>
    </row>
    <row r="217" spans="1:41" ht="18">
      <c r="A217" s="129" t="s">
        <v>671</v>
      </c>
      <c r="B217" s="130"/>
      <c r="C217" s="130"/>
      <c r="D217" s="130"/>
      <c r="E217" s="130"/>
      <c r="F217" s="130"/>
      <c r="G217" s="130"/>
      <c r="H217" s="130"/>
      <c r="I217" s="134"/>
      <c r="Q217" s="168">
        <f t="shared" si="52"/>
        <v>0</v>
      </c>
    </row>
    <row r="218" spans="1:41">
      <c r="A218" s="135"/>
      <c r="B218" s="131"/>
      <c r="C218" s="131"/>
      <c r="D218" s="131"/>
      <c r="E218" s="131"/>
      <c r="F218" s="131"/>
      <c r="G218" s="131"/>
      <c r="H218" s="131"/>
      <c r="I218" s="134"/>
      <c r="Q218" s="168">
        <f t="shared" si="52"/>
        <v>0</v>
      </c>
    </row>
    <row r="219" spans="1:41" ht="15.75">
      <c r="A219" s="137" t="s">
        <v>639</v>
      </c>
      <c r="B219" s="131"/>
      <c r="C219" s="131"/>
      <c r="D219" s="131"/>
      <c r="E219" s="131"/>
      <c r="F219" s="131"/>
      <c r="G219" s="131"/>
      <c r="H219" s="131"/>
      <c r="L219" s="131"/>
      <c r="Q219" s="168">
        <f t="shared" si="52"/>
        <v>0</v>
      </c>
    </row>
    <row r="220" spans="1:41" ht="15.75">
      <c r="A220" s="137" t="s">
        <v>870</v>
      </c>
      <c r="B220" s="131"/>
      <c r="C220" s="131"/>
      <c r="D220" s="131"/>
      <c r="E220" s="131"/>
      <c r="F220" s="131"/>
      <c r="G220" s="131"/>
      <c r="H220" s="131"/>
      <c r="Q220" s="168">
        <f t="shared" si="52"/>
        <v>0</v>
      </c>
    </row>
    <row r="221" spans="1:41">
      <c r="A221" s="140"/>
      <c r="B221" s="141"/>
      <c r="C221" s="141"/>
      <c r="D221" s="141"/>
      <c r="E221" s="141"/>
      <c r="F221" s="141"/>
      <c r="G221" s="141"/>
      <c r="H221" s="141"/>
      <c r="Q221" s="168">
        <f t="shared" si="52"/>
        <v>0</v>
      </c>
    </row>
    <row r="222" spans="1:41">
      <c r="A222" s="145"/>
      <c r="B222" s="146" t="s">
        <v>641</v>
      </c>
      <c r="C222" s="146"/>
      <c r="D222" s="146"/>
      <c r="E222" s="146"/>
      <c r="F222" s="146"/>
      <c r="G222" s="146"/>
      <c r="H222" s="147"/>
      <c r="Q222" s="168">
        <f t="shared" si="52"/>
        <v>0</v>
      </c>
    </row>
    <row r="223" spans="1:41">
      <c r="A223" s="145"/>
      <c r="B223" s="146" t="s">
        <v>642</v>
      </c>
      <c r="C223" s="146"/>
      <c r="D223" s="639" t="s">
        <v>643</v>
      </c>
      <c r="E223" s="637"/>
      <c r="F223" s="637"/>
      <c r="G223" s="637"/>
      <c r="H223" s="153" t="s">
        <v>533</v>
      </c>
      <c r="Q223" s="168">
        <f t="shared" si="52"/>
        <v>0</v>
      </c>
    </row>
    <row r="224" spans="1:41" ht="36">
      <c r="A224" s="145"/>
      <c r="B224" s="154" t="s">
        <v>644</v>
      </c>
      <c r="C224" s="155" t="s">
        <v>645</v>
      </c>
      <c r="D224" s="156" t="s">
        <v>646</v>
      </c>
      <c r="E224" s="157" t="s">
        <v>8</v>
      </c>
      <c r="F224" s="154" t="s">
        <v>647</v>
      </c>
      <c r="G224" s="158" t="s">
        <v>656</v>
      </c>
      <c r="H224" s="159" t="s">
        <v>649</v>
      </c>
      <c r="I224" s="188"/>
      <c r="J224" s="150"/>
      <c r="K224" s="150"/>
      <c r="L224" s="150"/>
      <c r="M224" s="150"/>
      <c r="N224" s="150"/>
      <c r="O224" s="150"/>
      <c r="Q224" s="168">
        <f t="shared" si="52"/>
        <v>0</v>
      </c>
    </row>
    <row r="225" spans="1:41" ht="15.75" customHeight="1">
      <c r="A225" s="189" t="s">
        <v>618</v>
      </c>
      <c r="B225" s="163">
        <f>('Pivot Table for Data Exchange'!$O$6)*100</f>
        <v>44.952105344202842</v>
      </c>
      <c r="C225" s="163">
        <f>('Pivot Table for Data Exchange'!$O$9)*100</f>
        <v>4.9743130269695346</v>
      </c>
      <c r="D225" s="164">
        <f>SUM(E225:G225)</f>
        <v>50.036157330192118</v>
      </c>
      <c r="E225" s="163">
        <f>('Pivot Table for Data Exchange'!$O$12)*100</f>
        <v>49.559582277255579</v>
      </c>
      <c r="F225" s="163">
        <f>('Pivot Table for Data Exchange'!$O$15)*100</f>
        <v>0.13988631069834651</v>
      </c>
      <c r="G225" s="167">
        <f>('Pivot Table for Data Exchange'!$O$18)*100</f>
        <v>0.33668874223819395</v>
      </c>
      <c r="H225" s="175">
        <f>('Pivot Table for Data Exchange'!$O$21)*100</f>
        <v>3.7424298635507468E-2</v>
      </c>
      <c r="I225" s="201"/>
      <c r="J225" s="201"/>
      <c r="K225" s="201"/>
      <c r="L225" s="201"/>
      <c r="M225" s="201"/>
      <c r="N225" s="201"/>
      <c r="O225" s="201"/>
      <c r="P225" s="202"/>
      <c r="Q225" s="168">
        <f t="shared" si="52"/>
        <v>100.00000000000001</v>
      </c>
      <c r="R225" s="168"/>
      <c r="Z225" s="169"/>
      <c r="AA225" s="169"/>
      <c r="AB225" s="169"/>
      <c r="AC225" s="169"/>
      <c r="AD225" s="169"/>
      <c r="AE225" s="169"/>
      <c r="AF225" s="169"/>
      <c r="AG225" s="169"/>
      <c r="AH225" s="169"/>
      <c r="AI225" s="169"/>
      <c r="AJ225" s="169"/>
      <c r="AK225" s="169"/>
      <c r="AL225" s="169"/>
      <c r="AM225" s="169"/>
      <c r="AN225" s="169"/>
      <c r="AO225" s="169"/>
    </row>
    <row r="226" spans="1:41" ht="15.75" customHeight="1">
      <c r="A226" s="134" t="s">
        <v>619</v>
      </c>
      <c r="B226" s="163">
        <f>('Pivot Table for Data Exchange'!$O$42)*100</f>
        <v>55.093825953828727</v>
      </c>
      <c r="C226" s="163">
        <f>('Pivot Table for Data Exchange'!$O$45)*100</f>
        <v>8.8477290616107176</v>
      </c>
      <c r="D226" s="164">
        <f t="shared" ref="D226:D228" si="58">SUM(E226:G226)</f>
        <v>36.058444984560559</v>
      </c>
      <c r="E226" s="163">
        <f>('Pivot Table for Data Exchange'!$O$48)*100</f>
        <v>35.089803914784667</v>
      </c>
      <c r="F226" s="163">
        <f>('Pivot Table for Data Exchange'!$O$51)*100</f>
        <v>0.92247411623260356</v>
      </c>
      <c r="G226" s="170">
        <f>('Pivot Table for Data Exchange'!$O$54)*100</f>
        <v>4.6166953543286655E-2</v>
      </c>
      <c r="H226" s="172">
        <f>('Pivot Table for Data Exchange'!$O$57)*100</f>
        <v>0</v>
      </c>
      <c r="I226" s="201"/>
      <c r="J226" s="201"/>
      <c r="K226" s="201"/>
      <c r="L226" s="201"/>
      <c r="M226" s="201"/>
      <c r="N226" s="201"/>
      <c r="O226" s="201"/>
      <c r="P226" s="202"/>
      <c r="Q226" s="168">
        <f t="shared" si="52"/>
        <v>100</v>
      </c>
      <c r="R226" s="168"/>
      <c r="Z226" s="169"/>
      <c r="AA226" s="169"/>
      <c r="AB226" s="169"/>
      <c r="AC226" s="169"/>
      <c r="AD226" s="169"/>
      <c r="AE226" s="169"/>
      <c r="AF226" s="169"/>
      <c r="AG226" s="169"/>
      <c r="AH226" s="169"/>
      <c r="AI226" s="169"/>
      <c r="AJ226" s="169"/>
      <c r="AK226" s="169"/>
      <c r="AL226" s="169"/>
      <c r="AM226" s="169"/>
      <c r="AN226" s="169"/>
      <c r="AO226" s="169"/>
    </row>
    <row r="227" spans="1:41" ht="15.75" customHeight="1">
      <c r="A227" s="134" t="s">
        <v>620</v>
      </c>
      <c r="B227" s="163">
        <f>('Pivot Table for Data Exchange'!$O$78)*100</f>
        <v>74.155805748893073</v>
      </c>
      <c r="C227" s="163">
        <f>('Pivot Table for Data Exchange'!$O$81)*100</f>
        <v>0</v>
      </c>
      <c r="D227" s="164">
        <f t="shared" si="58"/>
        <v>25.844194251106913</v>
      </c>
      <c r="E227" s="163">
        <f>('Pivot Table for Data Exchange'!$O$84)*100</f>
        <v>24.750396741099877</v>
      </c>
      <c r="F227" s="163">
        <f>('Pivot Table for Data Exchange'!$O$87)*100</f>
        <v>0.40777904124024805</v>
      </c>
      <c r="G227" s="171">
        <f>('Pivot Table for Data Exchange'!$O$90)*100</f>
        <v>0.68601846876679118</v>
      </c>
      <c r="H227" s="163">
        <f>('Pivot Table for Data Exchange'!$O$93)*100</f>
        <v>0</v>
      </c>
      <c r="I227" s="201"/>
      <c r="J227" s="201"/>
      <c r="K227" s="201"/>
      <c r="L227" s="201"/>
      <c r="M227" s="201"/>
      <c r="N227" s="201"/>
      <c r="O227" s="201"/>
      <c r="P227" s="202"/>
      <c r="Q227" s="168">
        <f t="shared" si="52"/>
        <v>99.999999999999986</v>
      </c>
      <c r="R227" s="168"/>
      <c r="Z227" s="169"/>
      <c r="AA227" s="169"/>
      <c r="AB227" s="169"/>
      <c r="AC227" s="169"/>
      <c r="AD227" s="169"/>
      <c r="AE227" s="169"/>
      <c r="AF227" s="169"/>
      <c r="AG227" s="169"/>
      <c r="AH227" s="169"/>
      <c r="AI227" s="169"/>
      <c r="AJ227" s="169"/>
      <c r="AK227" s="169"/>
      <c r="AL227" s="169"/>
      <c r="AM227" s="169"/>
      <c r="AN227" s="169"/>
      <c r="AO227" s="169"/>
    </row>
    <row r="228" spans="1:41" ht="15.75" customHeight="1">
      <c r="A228" s="134" t="s">
        <v>657</v>
      </c>
      <c r="B228" s="163">
        <f>('Pivot Table for Data Exchange'!$O$114)*100</f>
        <v>35.753081611492448</v>
      </c>
      <c r="C228" s="163">
        <f>('Pivot Table for Data Exchange'!$O$117)*100</f>
        <v>2.7482714165441862</v>
      </c>
      <c r="D228" s="164">
        <f t="shared" si="58"/>
        <v>61.461414273425831</v>
      </c>
      <c r="E228" s="163">
        <f>('Pivot Table for Data Exchange'!$O$120)*100</f>
        <v>50.238178418222859</v>
      </c>
      <c r="F228" s="163">
        <f>('Pivot Table for Data Exchange'!$O$123)*100</f>
        <v>11.191888620062253</v>
      </c>
      <c r="G228" s="171">
        <f>('Pivot Table for Data Exchange'!$O$126)*100</f>
        <v>3.1347235140719146E-2</v>
      </c>
      <c r="H228" s="175">
        <f>('Pivot Table for Data Exchange'!$O$129)*100</f>
        <v>3.7232698537536628E-2</v>
      </c>
      <c r="I228" s="201"/>
      <c r="J228" s="201"/>
      <c r="K228" s="201"/>
      <c r="L228" s="201"/>
      <c r="M228" s="201"/>
      <c r="N228" s="201"/>
      <c r="O228" s="201"/>
      <c r="P228" s="202"/>
      <c r="Q228" s="168">
        <f t="shared" si="52"/>
        <v>100</v>
      </c>
      <c r="R228" s="168"/>
      <c r="Z228" s="169"/>
      <c r="AA228" s="169"/>
      <c r="AB228" s="169"/>
      <c r="AC228" s="169"/>
      <c r="AD228" s="169"/>
      <c r="AE228" s="169"/>
      <c r="AF228" s="169"/>
      <c r="AG228" s="169"/>
      <c r="AH228" s="169"/>
      <c r="AI228" s="169"/>
      <c r="AJ228" s="169"/>
      <c r="AK228" s="169"/>
      <c r="AL228" s="169"/>
      <c r="AM228" s="169"/>
      <c r="AN228" s="169"/>
      <c r="AO228" s="169"/>
    </row>
    <row r="229" spans="1:41" ht="15.75" customHeight="1">
      <c r="B229" s="163"/>
      <c r="C229" s="163"/>
      <c r="D229" s="164"/>
      <c r="E229" s="163"/>
      <c r="F229" s="163"/>
      <c r="G229" s="171"/>
      <c r="H229" s="163"/>
      <c r="I229" s="201"/>
      <c r="J229" s="201"/>
      <c r="K229" s="201"/>
      <c r="L229" s="201"/>
      <c r="M229" s="201"/>
      <c r="N229" s="201"/>
      <c r="O229" s="201"/>
      <c r="P229" s="202"/>
      <c r="Q229" s="168">
        <f t="shared" si="52"/>
        <v>0</v>
      </c>
      <c r="R229" s="168"/>
      <c r="Z229" s="169"/>
      <c r="AA229" s="169"/>
      <c r="AB229" s="169"/>
      <c r="AC229" s="169"/>
      <c r="AD229" s="169"/>
      <c r="AE229" s="169"/>
      <c r="AF229" s="169"/>
      <c r="AG229" s="169"/>
      <c r="AH229" s="169"/>
      <c r="AI229" s="169"/>
      <c r="AJ229" s="169"/>
      <c r="AK229" s="169"/>
      <c r="AL229" s="169"/>
      <c r="AM229" s="169"/>
      <c r="AN229" s="169"/>
      <c r="AO229" s="169"/>
    </row>
    <row r="230" spans="1:41" ht="15.75" customHeight="1">
      <c r="A230" s="134" t="s">
        <v>622</v>
      </c>
      <c r="B230" s="163">
        <f>('Pivot Table for Data Exchange'!$O$150)*100</f>
        <v>36.683602170922207</v>
      </c>
      <c r="C230" s="163">
        <f>('Pivot Table for Data Exchange'!$O$153)*100</f>
        <v>11.089324854748259</v>
      </c>
      <c r="D230" s="164">
        <f t="shared" ref="D230:D233" si="59">SUM(E230:G230)</f>
        <v>52.227072974329538</v>
      </c>
      <c r="E230" s="163">
        <f>('Pivot Table for Data Exchange'!$O$156)*100</f>
        <v>52.227072974329538</v>
      </c>
      <c r="F230" s="163">
        <f>('Pivot Table for Data Exchange'!$O$159)*100</f>
        <v>0</v>
      </c>
      <c r="G230" s="171">
        <f>('Pivot Table for Data Exchange'!$O$162)*100</f>
        <v>0</v>
      </c>
      <c r="H230" s="163">
        <f>('Pivot Table for Data Exchange'!$O$165)*100</f>
        <v>0</v>
      </c>
      <c r="I230" s="201"/>
      <c r="J230" s="201"/>
      <c r="K230" s="201"/>
      <c r="L230" s="201"/>
      <c r="M230" s="201"/>
      <c r="N230" s="201"/>
      <c r="O230" s="201"/>
      <c r="P230" s="202"/>
      <c r="Q230" s="168">
        <f t="shared" si="52"/>
        <v>100</v>
      </c>
      <c r="R230" s="168"/>
      <c r="Z230" s="169"/>
      <c r="AA230" s="169"/>
      <c r="AB230" s="169"/>
      <c r="AC230" s="169"/>
      <c r="AD230" s="169"/>
      <c r="AE230" s="169"/>
      <c r="AF230" s="169"/>
      <c r="AG230" s="169"/>
      <c r="AH230" s="169"/>
      <c r="AI230" s="169"/>
      <c r="AJ230" s="169"/>
      <c r="AK230" s="169"/>
      <c r="AL230" s="169"/>
      <c r="AM230" s="169"/>
      <c r="AN230" s="169"/>
      <c r="AO230" s="169"/>
    </row>
    <row r="231" spans="1:41" ht="15.75" customHeight="1">
      <c r="A231" s="134" t="s">
        <v>623</v>
      </c>
      <c r="B231" s="163">
        <f>('Pivot Table for Data Exchange'!$O$186)*100</f>
        <v>42.263224903713152</v>
      </c>
      <c r="C231" s="163">
        <f>('Pivot Table for Data Exchange'!$O$189)*100</f>
        <v>6.3131147220777004</v>
      </c>
      <c r="D231" s="164">
        <f t="shared" si="59"/>
        <v>51.423660374209156</v>
      </c>
      <c r="E231" s="163">
        <f>('Pivot Table for Data Exchange'!$O$192)*100</f>
        <v>51.423660374209156</v>
      </c>
      <c r="F231" s="163">
        <f>('Pivot Table for Data Exchange'!$O$195)*100</f>
        <v>0</v>
      </c>
      <c r="G231" s="171">
        <f>('Pivot Table for Data Exchange'!$O$198)*100</f>
        <v>0</v>
      </c>
      <c r="H231" s="163">
        <f>('Pivot Table for Data Exchange'!$O$201)*100</f>
        <v>0</v>
      </c>
      <c r="I231" s="201"/>
      <c r="J231" s="201"/>
      <c r="K231" s="201"/>
      <c r="L231" s="201"/>
      <c r="M231" s="201"/>
      <c r="N231" s="201"/>
      <c r="O231" s="201"/>
      <c r="P231" s="202"/>
      <c r="Q231" s="168">
        <f t="shared" si="52"/>
        <v>100</v>
      </c>
      <c r="R231" s="168"/>
      <c r="Z231" s="169"/>
      <c r="AA231" s="169"/>
      <c r="AB231" s="169"/>
      <c r="AC231" s="169"/>
      <c r="AD231" s="169"/>
      <c r="AE231" s="169"/>
      <c r="AF231" s="169"/>
      <c r="AG231" s="169"/>
      <c r="AH231" s="169"/>
      <c r="AI231" s="169"/>
      <c r="AJ231" s="169"/>
      <c r="AK231" s="169"/>
      <c r="AL231" s="169"/>
      <c r="AM231" s="169"/>
      <c r="AN231" s="169"/>
      <c r="AO231" s="169"/>
    </row>
    <row r="232" spans="1:41" ht="15.75" customHeight="1">
      <c r="A232" s="134" t="s">
        <v>624</v>
      </c>
      <c r="B232" s="163">
        <f>('Pivot Table for Data Exchange'!$O$222)*100</f>
        <v>48.840557955289995</v>
      </c>
      <c r="C232" s="163">
        <f>('Pivot Table for Data Exchange'!$O$225)*100</f>
        <v>0</v>
      </c>
      <c r="D232" s="164">
        <f t="shared" si="59"/>
        <v>51.159442044710005</v>
      </c>
      <c r="E232" s="163">
        <f>('Pivot Table for Data Exchange'!$O$228)*100</f>
        <v>51.159442044710005</v>
      </c>
      <c r="F232" s="163">
        <f>('Pivot Table for Data Exchange'!$O$231)*100</f>
        <v>0</v>
      </c>
      <c r="G232" s="171">
        <f>('Pivot Table for Data Exchange'!$O$234)*100</f>
        <v>0</v>
      </c>
      <c r="H232" s="163">
        <f>('Pivot Table for Data Exchange'!$O$237)*100</f>
        <v>0</v>
      </c>
      <c r="I232" s="201"/>
      <c r="J232" s="201"/>
      <c r="K232" s="201"/>
      <c r="L232" s="201"/>
      <c r="M232" s="201"/>
      <c r="N232" s="201"/>
      <c r="O232" s="201"/>
      <c r="P232" s="202"/>
      <c r="Q232" s="168">
        <f t="shared" si="52"/>
        <v>100</v>
      </c>
      <c r="R232" s="168"/>
      <c r="Z232" s="169"/>
      <c r="AA232" s="169"/>
      <c r="AB232" s="169"/>
      <c r="AC232" s="169"/>
      <c r="AD232" s="169"/>
      <c r="AE232" s="169"/>
      <c r="AF232" s="169"/>
      <c r="AG232" s="169"/>
      <c r="AH232" s="169"/>
      <c r="AI232" s="169"/>
      <c r="AJ232" s="169"/>
      <c r="AK232" s="169"/>
      <c r="AL232" s="169"/>
      <c r="AM232" s="169"/>
      <c r="AN232" s="169"/>
      <c r="AO232" s="169"/>
    </row>
    <row r="233" spans="1:41" ht="15.75" customHeight="1">
      <c r="A233" s="134" t="s">
        <v>625</v>
      </c>
      <c r="B233" s="163">
        <f>('Pivot Table for Data Exchange'!$O$258)*100</f>
        <v>29.694643881183659</v>
      </c>
      <c r="C233" s="163">
        <f>('Pivot Table for Data Exchange'!$O$261)*100</f>
        <v>8.1743093279360046</v>
      </c>
      <c r="D233" s="164">
        <f t="shared" si="59"/>
        <v>62.131046790880333</v>
      </c>
      <c r="E233" s="163">
        <f>('Pivot Table for Data Exchange'!$O$264)*100</f>
        <v>60.390928142213141</v>
      </c>
      <c r="F233" s="163">
        <f>('Pivot Table for Data Exchange'!$O$267)*100</f>
        <v>1.7401186486671951</v>
      </c>
      <c r="G233" s="170">
        <f>('Pivot Table for Data Exchange'!$O$270)*100</f>
        <v>0</v>
      </c>
      <c r="H233" s="172">
        <f>('Pivot Table for Data Exchange'!$O$273)*100</f>
        <v>0</v>
      </c>
      <c r="I233" s="201"/>
      <c r="J233" s="201"/>
      <c r="K233" s="201"/>
      <c r="L233" s="201"/>
      <c r="M233" s="201"/>
      <c r="N233" s="201"/>
      <c r="O233" s="201"/>
      <c r="P233" s="202"/>
      <c r="Q233" s="168">
        <f t="shared" si="52"/>
        <v>100</v>
      </c>
      <c r="R233" s="168"/>
      <c r="Z233" s="169"/>
      <c r="AA233" s="169"/>
      <c r="AB233" s="169"/>
      <c r="AC233" s="169"/>
      <c r="AD233" s="169"/>
      <c r="AE233" s="169"/>
      <c r="AF233" s="169"/>
      <c r="AG233" s="169"/>
      <c r="AH233" s="169"/>
      <c r="AI233" s="169"/>
      <c r="AJ233" s="169"/>
      <c r="AK233" s="169"/>
      <c r="AL233" s="169"/>
      <c r="AM233" s="169"/>
      <c r="AN233" s="169"/>
      <c r="AO233" s="169"/>
    </row>
    <row r="234" spans="1:41" ht="15.75" customHeight="1">
      <c r="B234" s="163"/>
      <c r="C234" s="163"/>
      <c r="D234" s="164"/>
      <c r="E234" s="163"/>
      <c r="F234" s="163"/>
      <c r="G234" s="171"/>
      <c r="H234" s="163"/>
      <c r="I234" s="201"/>
      <c r="J234" s="201"/>
      <c r="K234" s="201"/>
      <c r="L234" s="201"/>
      <c r="M234" s="201"/>
      <c r="N234" s="201"/>
      <c r="O234" s="201"/>
      <c r="P234" s="202"/>
      <c r="Q234" s="168">
        <f t="shared" si="52"/>
        <v>0</v>
      </c>
      <c r="R234" s="168"/>
      <c r="Z234" s="169"/>
      <c r="AA234" s="169"/>
      <c r="AB234" s="169"/>
      <c r="AC234" s="169"/>
      <c r="AD234" s="169"/>
      <c r="AE234" s="169"/>
      <c r="AF234" s="169"/>
      <c r="AG234" s="169"/>
      <c r="AH234" s="169"/>
      <c r="AI234" s="169"/>
      <c r="AJ234" s="169"/>
      <c r="AK234" s="169"/>
      <c r="AL234" s="169"/>
      <c r="AM234" s="169"/>
      <c r="AN234" s="169"/>
      <c r="AO234" s="169"/>
    </row>
    <row r="235" spans="1:41" ht="15.75" customHeight="1">
      <c r="A235" s="134" t="s">
        <v>672</v>
      </c>
      <c r="B235" s="163">
        <f>('Pivot Table for Data Exchange'!$O$294)*100</f>
        <v>56.444149974506843</v>
      </c>
      <c r="C235" s="163">
        <f>('Pivot Table for Data Exchange'!$O$297)*100</f>
        <v>4.6033026071867464</v>
      </c>
      <c r="D235" s="164">
        <f t="shared" ref="D235:D237" si="60">SUM(E235:G235)</f>
        <v>38.952547418306409</v>
      </c>
      <c r="E235" s="163">
        <f>('Pivot Table for Data Exchange'!$O$300)*100</f>
        <v>38.952547418306409</v>
      </c>
      <c r="F235" s="163">
        <f>('Pivot Table for Data Exchange'!$O$303)*100</f>
        <v>0</v>
      </c>
      <c r="G235" s="171">
        <f>('Pivot Table for Data Exchange'!$O$306)*100</f>
        <v>0</v>
      </c>
      <c r="H235" s="163">
        <f>('Pivot Table for Data Exchange'!$O$309)*100</f>
        <v>0</v>
      </c>
      <c r="I235" s="201"/>
      <c r="J235" s="201"/>
      <c r="K235" s="201"/>
      <c r="L235" s="201"/>
      <c r="M235" s="201"/>
      <c r="N235" s="201"/>
      <c r="O235" s="201"/>
      <c r="P235" s="202"/>
      <c r="Q235" s="168">
        <f t="shared" si="52"/>
        <v>100</v>
      </c>
      <c r="R235" s="168"/>
      <c r="Z235" s="169"/>
      <c r="AA235" s="169"/>
      <c r="AB235" s="169"/>
      <c r="AC235" s="169"/>
      <c r="AD235" s="169"/>
      <c r="AE235" s="169"/>
      <c r="AF235" s="169"/>
      <c r="AG235" s="169"/>
      <c r="AH235" s="169"/>
      <c r="AI235" s="169"/>
      <c r="AJ235" s="169"/>
      <c r="AK235" s="169"/>
      <c r="AL235" s="169"/>
      <c r="AM235" s="169"/>
      <c r="AN235" s="169"/>
      <c r="AO235" s="169"/>
    </row>
    <row r="236" spans="1:41" ht="15.75" customHeight="1">
      <c r="A236" s="134" t="s">
        <v>627</v>
      </c>
      <c r="B236" s="163">
        <f>('Pivot Table for Data Exchange'!$O$330)*100</f>
        <v>32.011794498311886</v>
      </c>
      <c r="C236" s="163">
        <f>('Pivot Table for Data Exchange'!$O$333)*100</f>
        <v>3.8424795890363357</v>
      </c>
      <c r="D236" s="164">
        <f t="shared" si="60"/>
        <v>64.145725912651784</v>
      </c>
      <c r="E236" s="163">
        <f>('Pivot Table for Data Exchange'!$O$336)*100</f>
        <v>64.145725912651784</v>
      </c>
      <c r="F236" s="163">
        <f>('Pivot Table for Data Exchange'!$O$339)*100</f>
        <v>0</v>
      </c>
      <c r="G236" s="171">
        <f>('Pivot Table for Data Exchange'!$O$342)*100</f>
        <v>0</v>
      </c>
      <c r="H236" s="163">
        <f>('Pivot Table for Data Exchange'!$O$345)*100</f>
        <v>0</v>
      </c>
      <c r="I236" s="201"/>
      <c r="J236" s="201"/>
      <c r="K236" s="201"/>
      <c r="L236" s="201"/>
      <c r="M236" s="201"/>
      <c r="N236" s="201"/>
      <c r="O236" s="201"/>
      <c r="P236" s="202"/>
      <c r="Q236" s="168">
        <f t="shared" si="52"/>
        <v>100</v>
      </c>
      <c r="R236" s="168"/>
      <c r="Z236" s="169"/>
      <c r="AA236" s="169"/>
      <c r="AB236" s="169"/>
      <c r="AC236" s="169"/>
      <c r="AD236" s="169"/>
      <c r="AE236" s="169"/>
      <c r="AF236" s="169"/>
      <c r="AG236" s="169"/>
      <c r="AH236" s="169"/>
      <c r="AI236" s="169"/>
      <c r="AJ236" s="169"/>
      <c r="AK236" s="169"/>
      <c r="AL236" s="169"/>
      <c r="AM236" s="169"/>
      <c r="AN236" s="169"/>
      <c r="AO236" s="169"/>
    </row>
    <row r="237" spans="1:41" ht="15.75" customHeight="1">
      <c r="A237" s="134" t="s">
        <v>628</v>
      </c>
      <c r="B237" s="163">
        <f>('Pivot Table for Data Exchange'!$O$366)*100</f>
        <v>0</v>
      </c>
      <c r="C237" s="163">
        <f>('Pivot Table for Data Exchange'!$O$369)*100</f>
        <v>0</v>
      </c>
      <c r="D237" s="164">
        <f t="shared" si="60"/>
        <v>0</v>
      </c>
      <c r="E237" s="163">
        <f>('Pivot Table for Data Exchange'!$O$372)*100</f>
        <v>0</v>
      </c>
      <c r="F237" s="163">
        <f>('Pivot Table for Data Exchange'!$O$375)*100</f>
        <v>0</v>
      </c>
      <c r="G237" s="171">
        <f>('Pivot Table for Data Exchange'!$O$378)*100</f>
        <v>0</v>
      </c>
      <c r="H237" s="175">
        <f>('Pivot Table for Data Exchange'!$O$381)*100</f>
        <v>0</v>
      </c>
      <c r="I237" s="201"/>
      <c r="J237" s="201"/>
      <c r="K237" s="201"/>
      <c r="L237" s="201"/>
      <c r="M237" s="201"/>
      <c r="N237" s="201"/>
      <c r="O237" s="201"/>
      <c r="P237" s="202"/>
      <c r="Q237" s="168">
        <f t="shared" si="52"/>
        <v>0</v>
      </c>
      <c r="R237" s="168"/>
      <c r="Z237" s="169"/>
      <c r="AA237" s="169"/>
      <c r="AB237" s="169"/>
      <c r="AC237" s="169"/>
      <c r="AD237" s="169"/>
      <c r="AE237" s="169"/>
      <c r="AF237" s="169"/>
      <c r="AG237" s="169"/>
      <c r="AH237" s="169"/>
      <c r="AI237" s="169"/>
      <c r="AJ237" s="169"/>
      <c r="AK237" s="169"/>
      <c r="AL237" s="169"/>
      <c r="AM237" s="169"/>
      <c r="AN237" s="169"/>
      <c r="AO237" s="169"/>
    </row>
    <row r="238" spans="1:41" ht="15.75" customHeight="1">
      <c r="A238" s="134" t="s">
        <v>629</v>
      </c>
      <c r="B238" s="163">
        <f>('Pivot Table for Data Exchange'!$O$402)*100</f>
        <v>30.557314096123712</v>
      </c>
      <c r="C238" s="163">
        <f>('Pivot Table for Data Exchange'!$O$405)*100</f>
        <v>7.5032740617482983</v>
      </c>
      <c r="D238" s="164">
        <f>SUM(E238:G238)</f>
        <v>61.939411842127988</v>
      </c>
      <c r="E238" s="163">
        <f>('Pivot Table for Data Exchange'!$O$408)*100</f>
        <v>61.300619912846535</v>
      </c>
      <c r="F238" s="163">
        <f>('Pivot Table for Data Exchange'!$O$411)*100</f>
        <v>0.30796131515144654</v>
      </c>
      <c r="G238" s="171">
        <f>('Pivot Table for Data Exchange'!$O$414)*100</f>
        <v>0.3308306141300108</v>
      </c>
      <c r="H238" s="163">
        <f>('Pivot Table for Data Exchange'!$O$417)*100</f>
        <v>0</v>
      </c>
      <c r="I238" s="201"/>
      <c r="J238" s="201"/>
      <c r="K238" s="201"/>
      <c r="L238" s="201"/>
      <c r="M238" s="201"/>
      <c r="N238" s="201"/>
      <c r="O238" s="201"/>
      <c r="P238" s="202"/>
      <c r="Q238" s="168">
        <f t="shared" si="52"/>
        <v>100</v>
      </c>
      <c r="R238" s="168"/>
      <c r="Z238" s="169"/>
      <c r="AA238" s="169"/>
      <c r="AB238" s="169"/>
      <c r="AC238" s="169"/>
      <c r="AD238" s="169"/>
      <c r="AE238" s="169"/>
      <c r="AF238" s="169"/>
      <c r="AG238" s="169"/>
      <c r="AH238" s="169"/>
      <c r="AI238" s="169"/>
      <c r="AJ238" s="169"/>
      <c r="AK238" s="169"/>
      <c r="AL238" s="169"/>
      <c r="AM238" s="169"/>
      <c r="AN238" s="169"/>
      <c r="AO238" s="169"/>
    </row>
    <row r="239" spans="1:41" ht="10.5" customHeight="1">
      <c r="B239" s="163"/>
      <c r="C239" s="163"/>
      <c r="D239" s="164"/>
      <c r="E239" s="163"/>
      <c r="F239" s="163"/>
      <c r="G239" s="171"/>
      <c r="H239" s="163"/>
      <c r="I239" s="201"/>
      <c r="J239" s="201"/>
      <c r="K239" s="201"/>
      <c r="L239" s="201"/>
      <c r="M239" s="201"/>
      <c r="N239" s="201"/>
      <c r="O239" s="201"/>
      <c r="P239" s="202"/>
      <c r="Q239" s="168">
        <f t="shared" si="52"/>
        <v>0</v>
      </c>
      <c r="R239" s="168"/>
      <c r="Z239" s="169"/>
      <c r="AA239" s="169"/>
      <c r="AB239" s="169"/>
      <c r="AC239" s="169"/>
      <c r="AD239" s="169"/>
      <c r="AE239" s="169"/>
      <c r="AF239" s="169"/>
      <c r="AG239" s="169"/>
      <c r="AH239" s="169"/>
      <c r="AI239" s="169"/>
      <c r="AJ239" s="169"/>
      <c r="AK239" s="169"/>
      <c r="AL239" s="169"/>
      <c r="AM239" s="169"/>
      <c r="AN239" s="169"/>
      <c r="AO239" s="169"/>
    </row>
    <row r="240" spans="1:41" ht="15.75" customHeight="1">
      <c r="A240" s="134" t="s">
        <v>630</v>
      </c>
      <c r="B240" s="163">
        <f>('Pivot Table for Data Exchange'!$O$438)*100</f>
        <v>19.619739132314944</v>
      </c>
      <c r="C240" s="163">
        <f>('Pivot Table for Data Exchange'!$O$441)*100</f>
        <v>19.949945404815185</v>
      </c>
      <c r="D240" s="164">
        <f>SUM(E240:G240)</f>
        <v>60.254502751381096</v>
      </c>
      <c r="E240" s="163">
        <f>('Pivot Table for Data Exchange'!$O$444)*100</f>
        <v>45.616506664936921</v>
      </c>
      <c r="F240" s="163">
        <f>('Pivot Table for Data Exchange'!$O$447)*100</f>
        <v>1.0804170855901145</v>
      </c>
      <c r="G240" s="171">
        <f>('Pivot Table for Data Exchange'!$O$450)*100</f>
        <v>13.557579000854064</v>
      </c>
      <c r="H240" s="163">
        <f>('Pivot Table for Data Exchange'!$O$453)*100</f>
        <v>0.17581271148877284</v>
      </c>
      <c r="I240" s="201"/>
      <c r="J240" s="201"/>
      <c r="K240" s="201"/>
      <c r="L240" s="201"/>
      <c r="M240" s="201"/>
      <c r="N240" s="201"/>
      <c r="O240" s="201"/>
      <c r="P240" s="202"/>
      <c r="Q240" s="168">
        <f t="shared" si="52"/>
        <v>100</v>
      </c>
      <c r="R240" s="168"/>
      <c r="Z240" s="169"/>
      <c r="AA240" s="169"/>
      <c r="AB240" s="169"/>
      <c r="AC240" s="169"/>
      <c r="AD240" s="169"/>
      <c r="AE240" s="169"/>
      <c r="AF240" s="169"/>
      <c r="AG240" s="169"/>
      <c r="AH240" s="169"/>
      <c r="AI240" s="169"/>
      <c r="AJ240" s="169"/>
      <c r="AK240" s="169"/>
      <c r="AL240" s="169"/>
      <c r="AM240" s="169"/>
      <c r="AN240" s="169"/>
      <c r="AO240" s="169"/>
    </row>
    <row r="241" spans="1:41" ht="15.75" customHeight="1">
      <c r="A241" s="134" t="s">
        <v>631</v>
      </c>
      <c r="B241" s="163">
        <f>('Pivot Table for Data Exchange'!$O$474)*100</f>
        <v>32.266962837602762</v>
      </c>
      <c r="C241" s="163">
        <f>('Pivot Table for Data Exchange'!$O$477)*100</f>
        <v>8.9014461229104906</v>
      </c>
      <c r="D241" s="164">
        <f>SUM(E241:G241)</f>
        <v>58.831591039486746</v>
      </c>
      <c r="E241" s="163">
        <f>('Pivot Table for Data Exchange'!$O$480)*100</f>
        <v>57.85288899041673</v>
      </c>
      <c r="F241" s="163">
        <f>('Pivot Table for Data Exchange'!$O$483)*100</f>
        <v>0.90336162812872134</v>
      </c>
      <c r="G241" s="171">
        <f>('Pivot Table for Data Exchange'!$O$486)*100</f>
        <v>7.5340420941295852E-2</v>
      </c>
      <c r="H241" s="163">
        <f>('Pivot Table for Data Exchange'!$O$489)*100</f>
        <v>0</v>
      </c>
      <c r="I241" s="201"/>
      <c r="J241" s="201"/>
      <c r="K241" s="201"/>
      <c r="L241" s="201"/>
      <c r="M241" s="201"/>
      <c r="N241" s="201"/>
      <c r="O241" s="201"/>
      <c r="P241" s="202"/>
      <c r="Q241" s="168">
        <f t="shared" si="52"/>
        <v>100</v>
      </c>
      <c r="R241" s="168"/>
      <c r="Z241" s="169"/>
      <c r="AA241" s="169"/>
      <c r="AB241" s="169"/>
      <c r="AC241" s="169"/>
      <c r="AD241" s="169"/>
      <c r="AE241" s="169"/>
      <c r="AF241" s="169"/>
      <c r="AG241" s="169"/>
      <c r="AH241" s="169"/>
      <c r="AI241" s="169"/>
      <c r="AJ241" s="169"/>
      <c r="AK241" s="169"/>
      <c r="AL241" s="169"/>
      <c r="AM241" s="169"/>
      <c r="AN241" s="169"/>
      <c r="AO241" s="169"/>
    </row>
    <row r="242" spans="1:41" ht="15.75" customHeight="1">
      <c r="A242" s="134" t="s">
        <v>632</v>
      </c>
      <c r="B242" s="163">
        <f>('Pivot Table for Data Exchange'!$O$510)*100</f>
        <v>29.382171610734297</v>
      </c>
      <c r="C242" s="163">
        <f>('Pivot Table for Data Exchange'!$O$513)*100</f>
        <v>13.928850044758988</v>
      </c>
      <c r="D242" s="164">
        <f t="shared" ref="D242" si="61">SUM(E242:G242)</f>
        <v>56.688978344506708</v>
      </c>
      <c r="E242" s="163">
        <f>('Pivot Table for Data Exchange'!$O$516)*100</f>
        <v>51.472872404610037</v>
      </c>
      <c r="F242" s="163">
        <f>('Pivot Table for Data Exchange'!$O$519)*100</f>
        <v>4.4805992933972778</v>
      </c>
      <c r="G242" s="171">
        <f>('Pivot Table for Data Exchange'!$O$522)*100</f>
        <v>0.73550664649939801</v>
      </c>
      <c r="H242" s="163">
        <f>('Pivot Table for Data Exchange'!$O$525)*100</f>
        <v>0</v>
      </c>
      <c r="I242" s="201"/>
      <c r="J242" s="201"/>
      <c r="K242" s="201"/>
      <c r="L242" s="201"/>
      <c r="M242" s="201"/>
      <c r="N242" s="201"/>
      <c r="O242" s="201"/>
      <c r="P242" s="202"/>
      <c r="Q242" s="168">
        <f t="shared" si="52"/>
        <v>100</v>
      </c>
      <c r="R242" s="168"/>
      <c r="Z242" s="169"/>
      <c r="AA242" s="169"/>
      <c r="AB242" s="169"/>
      <c r="AC242" s="169"/>
      <c r="AD242" s="169"/>
      <c r="AE242" s="169"/>
      <c r="AF242" s="169"/>
      <c r="AG242" s="169"/>
      <c r="AH242" s="169"/>
      <c r="AI242" s="169"/>
      <c r="AJ242" s="169"/>
      <c r="AK242" s="169"/>
      <c r="AL242" s="169"/>
      <c r="AM242" s="169"/>
      <c r="AN242" s="169"/>
      <c r="AO242" s="169"/>
    </row>
    <row r="243" spans="1:41" ht="15.75" customHeight="1">
      <c r="A243" s="140" t="s">
        <v>633</v>
      </c>
      <c r="B243" s="176">
        <f>('Pivot Table for Data Exchange'!$O$546)*100</f>
        <v>44.729314199134976</v>
      </c>
      <c r="C243" s="176">
        <f>('Pivot Table for Data Exchange'!$O$549)*100</f>
        <v>6.8002607585215351</v>
      </c>
      <c r="D243" s="177">
        <f>SUM(E243:G243)</f>
        <v>48.470425042343493</v>
      </c>
      <c r="E243" s="176">
        <f>('Pivot Table for Data Exchange'!$O$552)*100</f>
        <v>47.20205511053959</v>
      </c>
      <c r="F243" s="176">
        <f>('Pivot Table for Data Exchange'!$O$555)*100</f>
        <v>0.8486558731689603</v>
      </c>
      <c r="G243" s="178">
        <f>('Pivot Table for Data Exchange'!$O$558)*100</f>
        <v>0.41971405863494698</v>
      </c>
      <c r="H243" s="176">
        <f>('Pivot Table for Data Exchange'!$O$561)*100</f>
        <v>0</v>
      </c>
      <c r="I243" s="201"/>
      <c r="J243" s="201"/>
      <c r="K243" s="201"/>
      <c r="L243" s="201"/>
      <c r="M243" s="201"/>
      <c r="N243" s="201"/>
      <c r="O243" s="201"/>
      <c r="P243" s="202"/>
      <c r="Q243" s="168">
        <f t="shared" si="52"/>
        <v>100</v>
      </c>
      <c r="R243" s="168"/>
      <c r="Z243" s="169"/>
      <c r="AA243" s="169"/>
      <c r="AB243" s="169"/>
      <c r="AC243" s="169"/>
      <c r="AD243" s="169"/>
      <c r="AE243" s="169"/>
      <c r="AF243" s="169"/>
      <c r="AG243" s="169"/>
      <c r="AH243" s="169"/>
      <c r="AI243" s="169"/>
      <c r="AJ243" s="169"/>
      <c r="AK243" s="169"/>
      <c r="AL243" s="169"/>
      <c r="AM243" s="169"/>
      <c r="AN243" s="169"/>
      <c r="AO243" s="169"/>
    </row>
    <row r="244" spans="1:41" s="181" customFormat="1" ht="14.25" customHeight="1">
      <c r="A244" s="182" t="s">
        <v>658</v>
      </c>
      <c r="B244" s="183"/>
      <c r="C244" s="183"/>
      <c r="D244" s="184"/>
      <c r="E244" s="183"/>
      <c r="F244" s="184"/>
      <c r="G244" s="184"/>
      <c r="H244" s="183"/>
      <c r="I244" s="192"/>
      <c r="J244" s="183"/>
      <c r="K244" s="183"/>
      <c r="L244" s="184"/>
      <c r="M244" s="183"/>
      <c r="N244" s="184"/>
      <c r="O244" s="184"/>
      <c r="P244" s="183"/>
      <c r="Q244" s="168">
        <f t="shared" si="52"/>
        <v>0</v>
      </c>
      <c r="R244" s="203"/>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row>
    <row r="245" spans="1:41" s="181" customFormat="1" ht="24" customHeight="1">
      <c r="A245" s="633" t="s">
        <v>673</v>
      </c>
      <c r="B245" s="650"/>
      <c r="C245" s="650"/>
      <c r="D245" s="650"/>
      <c r="E245" s="650"/>
      <c r="F245" s="650"/>
      <c r="G245" s="650"/>
      <c r="H245" s="650"/>
      <c r="I245" s="192"/>
      <c r="P245" s="194"/>
      <c r="Q245" s="168">
        <f t="shared" si="52"/>
        <v>0</v>
      </c>
      <c r="R245" s="204"/>
    </row>
    <row r="246" spans="1:41" ht="12" customHeight="1">
      <c r="B246" s="205"/>
      <c r="C246" s="205"/>
      <c r="D246" s="206"/>
      <c r="E246" s="205"/>
      <c r="F246" s="206"/>
      <c r="G246" s="206"/>
      <c r="H246" s="205"/>
      <c r="I246" s="134"/>
      <c r="J246" s="205"/>
      <c r="K246" s="205"/>
      <c r="L246" s="206"/>
      <c r="M246" s="205"/>
      <c r="N246" s="206"/>
      <c r="O246" s="206"/>
      <c r="P246" s="205"/>
      <c r="Q246" s="168">
        <f t="shared" si="52"/>
        <v>0</v>
      </c>
      <c r="R246" s="168"/>
      <c r="S246" s="169"/>
      <c r="T246" s="169"/>
      <c r="U246" s="169"/>
      <c r="V246" s="169"/>
      <c r="W246" s="169"/>
      <c r="X246" s="169"/>
      <c r="Y246" s="169"/>
      <c r="Z246" s="169"/>
      <c r="AA246" s="169"/>
      <c r="AB246" s="169"/>
      <c r="AC246" s="169"/>
      <c r="AD246" s="169"/>
      <c r="AE246" s="169"/>
      <c r="AF246" s="169"/>
      <c r="AG246" s="169"/>
      <c r="AH246" s="169"/>
      <c r="AI246" s="169"/>
      <c r="AJ246" s="169"/>
      <c r="AK246" s="169"/>
      <c r="AL246" s="169"/>
      <c r="AM246" s="169"/>
      <c r="AN246" s="169"/>
      <c r="AO246" s="169"/>
    </row>
    <row r="247" spans="1:41" s="181" customFormat="1">
      <c r="H247" s="187" t="s">
        <v>992</v>
      </c>
      <c r="Q247" s="168">
        <f t="shared" si="52"/>
        <v>0</v>
      </c>
      <c r="R247" s="207"/>
    </row>
    <row r="248" spans="1:41" ht="18">
      <c r="A248" s="129" t="s">
        <v>674</v>
      </c>
      <c r="B248" s="130"/>
      <c r="C248" s="130"/>
      <c r="D248" s="130"/>
      <c r="E248" s="130"/>
      <c r="F248" s="130"/>
      <c r="G248" s="130"/>
      <c r="H248" s="130"/>
      <c r="Q248" s="168">
        <f t="shared" si="52"/>
        <v>0</v>
      </c>
    </row>
    <row r="249" spans="1:41">
      <c r="A249" s="135"/>
      <c r="B249" s="131"/>
      <c r="C249" s="131"/>
      <c r="D249" s="131"/>
      <c r="E249" s="131"/>
      <c r="F249" s="131"/>
      <c r="G249" s="131"/>
      <c r="H249" s="131"/>
      <c r="Q249" s="168">
        <f t="shared" si="52"/>
        <v>0</v>
      </c>
    </row>
    <row r="250" spans="1:41" ht="15.75">
      <c r="A250" s="137" t="s">
        <v>639</v>
      </c>
      <c r="B250" s="131"/>
      <c r="C250" s="131"/>
      <c r="D250" s="131"/>
      <c r="E250" s="131"/>
      <c r="F250" s="131"/>
      <c r="G250" s="131"/>
      <c r="H250" s="131"/>
      <c r="Q250" s="168">
        <f t="shared" si="52"/>
        <v>0</v>
      </c>
    </row>
    <row r="251" spans="1:41" ht="15.75">
      <c r="A251" s="137" t="s">
        <v>871</v>
      </c>
      <c r="B251" s="131"/>
      <c r="C251" s="131"/>
      <c r="D251" s="131"/>
      <c r="E251" s="131"/>
      <c r="F251" s="131"/>
      <c r="G251" s="131"/>
      <c r="H251" s="131"/>
      <c r="Q251" s="168">
        <f t="shared" si="52"/>
        <v>0</v>
      </c>
    </row>
    <row r="252" spans="1:41">
      <c r="A252" s="140"/>
      <c r="B252" s="141"/>
      <c r="C252" s="141"/>
      <c r="D252" s="141"/>
      <c r="E252" s="141"/>
      <c r="F252" s="141"/>
      <c r="G252" s="141"/>
      <c r="H252" s="141"/>
      <c r="Q252" s="168">
        <f t="shared" si="52"/>
        <v>0</v>
      </c>
    </row>
    <row r="253" spans="1:41">
      <c r="A253" s="145"/>
      <c r="B253" s="146" t="s">
        <v>641</v>
      </c>
      <c r="C253" s="146"/>
      <c r="D253" s="146"/>
      <c r="E253" s="146"/>
      <c r="F253" s="146"/>
      <c r="G253" s="146"/>
      <c r="H253" s="147"/>
      <c r="Q253" s="168">
        <f t="shared" si="52"/>
        <v>0</v>
      </c>
    </row>
    <row r="254" spans="1:41">
      <c r="A254" s="145"/>
      <c r="B254" s="146" t="s">
        <v>642</v>
      </c>
      <c r="C254" s="146"/>
      <c r="D254" s="639" t="s">
        <v>643</v>
      </c>
      <c r="E254" s="637"/>
      <c r="F254" s="637"/>
      <c r="G254" s="637"/>
      <c r="H254" s="153" t="s">
        <v>533</v>
      </c>
      <c r="Q254" s="168">
        <f t="shared" si="52"/>
        <v>0</v>
      </c>
    </row>
    <row r="255" spans="1:41" ht="36">
      <c r="A255" s="145"/>
      <c r="B255" s="154" t="s">
        <v>644</v>
      </c>
      <c r="C255" s="155" t="s">
        <v>645</v>
      </c>
      <c r="D255" s="156" t="s">
        <v>646</v>
      </c>
      <c r="E255" s="157" t="s">
        <v>8</v>
      </c>
      <c r="F255" s="154" t="s">
        <v>647</v>
      </c>
      <c r="G255" s="158" t="s">
        <v>656</v>
      </c>
      <c r="H255" s="159" t="s">
        <v>649</v>
      </c>
      <c r="Q255" s="168">
        <f t="shared" si="52"/>
        <v>0</v>
      </c>
    </row>
    <row r="256" spans="1:41" ht="15.75" customHeight="1">
      <c r="A256" s="189" t="s">
        <v>618</v>
      </c>
      <c r="B256" s="163">
        <f>('Pivot Table for Data Exchange'!$K$6)*100</f>
        <v>0</v>
      </c>
      <c r="C256" s="163">
        <f>('Pivot Table for Data Exchange'!$K$9)*100</f>
        <v>0</v>
      </c>
      <c r="D256" s="164">
        <f>SUM(E256:G256)</f>
        <v>0</v>
      </c>
      <c r="E256" s="163">
        <f>('Pivot Table for Data Exchange'!$K$12)*100</f>
        <v>0</v>
      </c>
      <c r="F256" s="163">
        <f>('Pivot Table for Data Exchange'!$K$15)*100</f>
        <v>0</v>
      </c>
      <c r="G256" s="167">
        <f>('Pivot Table for Data Exchange'!$K$18)*100</f>
        <v>0</v>
      </c>
      <c r="H256" s="163">
        <f>('Pivot Table for Data Exchange'!$K$21)*100</f>
        <v>0</v>
      </c>
      <c r="I256" s="134"/>
      <c r="J256" s="202"/>
      <c r="K256" s="202"/>
      <c r="L256" s="202"/>
      <c r="M256" s="202"/>
      <c r="N256" s="202"/>
      <c r="O256" s="202"/>
      <c r="P256" s="202"/>
      <c r="Q256" s="168">
        <f t="shared" si="52"/>
        <v>0</v>
      </c>
      <c r="R256" s="168"/>
      <c r="S256" s="169"/>
      <c r="T256" s="169"/>
      <c r="U256" s="169"/>
      <c r="V256" s="169"/>
      <c r="W256" s="169"/>
      <c r="X256" s="169"/>
      <c r="Y256" s="169"/>
      <c r="Z256" s="169"/>
      <c r="AA256" s="169"/>
      <c r="AB256" s="169"/>
      <c r="AC256" s="169"/>
      <c r="AD256" s="169"/>
      <c r="AE256" s="169"/>
      <c r="AF256" s="169"/>
      <c r="AG256" s="169"/>
      <c r="AH256" s="169"/>
      <c r="AI256" s="169"/>
      <c r="AJ256" s="169"/>
      <c r="AK256" s="169"/>
      <c r="AL256" s="169"/>
      <c r="AM256" s="169"/>
      <c r="AN256" s="169"/>
      <c r="AO256" s="169"/>
    </row>
    <row r="257" spans="1:41" ht="15.75" customHeight="1">
      <c r="A257" s="134" t="s">
        <v>619</v>
      </c>
      <c r="B257" s="163">
        <f>('Pivot Table for Data Exchange'!$K$42)*100</f>
        <v>0</v>
      </c>
      <c r="C257" s="163">
        <f>('Pivot Table for Data Exchange'!$K$45)*100</f>
        <v>0</v>
      </c>
      <c r="D257" s="164">
        <f t="shared" ref="D257:D259" si="62">SUM(E257:G257)</f>
        <v>0</v>
      </c>
      <c r="E257" s="163">
        <f>('Pivot Table for Data Exchange'!$K$48)*100</f>
        <v>0</v>
      </c>
      <c r="F257" s="163">
        <f>('Pivot Table for Data Exchange'!$K$51)*100</f>
        <v>0</v>
      </c>
      <c r="G257" s="171">
        <f>('Pivot Table for Data Exchange'!$K$54)*100</f>
        <v>0</v>
      </c>
      <c r="H257" s="163">
        <f>('Pivot Table for Data Exchange'!$K$57)*100</f>
        <v>0</v>
      </c>
      <c r="I257" s="134"/>
      <c r="J257" s="202"/>
      <c r="K257" s="202"/>
      <c r="L257" s="202"/>
      <c r="M257" s="202"/>
      <c r="N257" s="202"/>
      <c r="O257" s="202"/>
      <c r="P257" s="202"/>
      <c r="Q257" s="168">
        <f t="shared" si="52"/>
        <v>0</v>
      </c>
      <c r="R257" s="168"/>
      <c r="S257" s="169"/>
      <c r="T257" s="169"/>
      <c r="U257" s="169"/>
      <c r="V257" s="169"/>
      <c r="W257" s="169"/>
      <c r="X257" s="169"/>
      <c r="Y257" s="169"/>
      <c r="Z257" s="169"/>
      <c r="AA257" s="169"/>
      <c r="AB257" s="169"/>
      <c r="AC257" s="169"/>
      <c r="AD257" s="169"/>
      <c r="AE257" s="169"/>
      <c r="AF257" s="169"/>
      <c r="AG257" s="169"/>
      <c r="AH257" s="169"/>
      <c r="AI257" s="169"/>
      <c r="AJ257" s="169"/>
      <c r="AK257" s="169"/>
      <c r="AL257" s="169"/>
      <c r="AM257" s="169"/>
      <c r="AN257" s="169"/>
      <c r="AO257" s="169"/>
    </row>
    <row r="258" spans="1:41" ht="15.75" customHeight="1">
      <c r="A258" s="134" t="s">
        <v>620</v>
      </c>
      <c r="B258" s="163">
        <f>('Pivot Table for Data Exchange'!$K$78)*100</f>
        <v>74.155805748893073</v>
      </c>
      <c r="C258" s="163">
        <f>('Pivot Table for Data Exchange'!$K$81)*100</f>
        <v>0</v>
      </c>
      <c r="D258" s="164">
        <f t="shared" si="62"/>
        <v>25.844194251106913</v>
      </c>
      <c r="E258" s="163">
        <f>('Pivot Table for Data Exchange'!$K$84)*100</f>
        <v>24.750396741099877</v>
      </c>
      <c r="F258" s="163">
        <f>('Pivot Table for Data Exchange'!$K$87)*100</f>
        <v>0.40777904124024805</v>
      </c>
      <c r="G258" s="171">
        <f>('Pivot Table for Data Exchange'!$K$90)*100</f>
        <v>0.68601846876679118</v>
      </c>
      <c r="H258" s="163">
        <f>('Pivot Table for Data Exchange'!$K$93)*100</f>
        <v>0</v>
      </c>
      <c r="I258" s="134"/>
      <c r="J258" s="202"/>
      <c r="K258" s="202"/>
      <c r="L258" s="202"/>
      <c r="M258" s="202"/>
      <c r="N258" s="202"/>
      <c r="O258" s="202"/>
      <c r="P258" s="202"/>
      <c r="Q258" s="168">
        <f t="shared" si="52"/>
        <v>99.999999999999986</v>
      </c>
      <c r="R258" s="168"/>
      <c r="S258" s="169"/>
      <c r="T258" s="143"/>
      <c r="U258" s="169"/>
      <c r="V258" s="169"/>
      <c r="W258" s="169"/>
      <c r="X258" s="169"/>
      <c r="Y258" s="169"/>
      <c r="Z258" s="169"/>
      <c r="AA258" s="169"/>
      <c r="AB258" s="169"/>
      <c r="AC258" s="169"/>
      <c r="AD258" s="169"/>
      <c r="AE258" s="169"/>
      <c r="AF258" s="169"/>
      <c r="AG258" s="169"/>
      <c r="AH258" s="169"/>
      <c r="AI258" s="169"/>
      <c r="AJ258" s="169"/>
      <c r="AK258" s="169"/>
      <c r="AL258" s="169"/>
      <c r="AM258" s="169"/>
      <c r="AN258" s="169"/>
      <c r="AO258" s="169"/>
    </row>
    <row r="259" spans="1:41" ht="15.75" customHeight="1">
      <c r="A259" s="134" t="s">
        <v>657</v>
      </c>
      <c r="B259" s="163">
        <f>('Pivot Table for Data Exchange'!$K$114)*100</f>
        <v>36.206881033365654</v>
      </c>
      <c r="C259" s="163">
        <f>('Pivot Table for Data Exchange'!$K$117)*100</f>
        <v>2.4914934369430455</v>
      </c>
      <c r="D259" s="164">
        <f t="shared" si="62"/>
        <v>61.260323965011061</v>
      </c>
      <c r="E259" s="163">
        <f>('Pivot Table for Data Exchange'!$K$120)*100</f>
        <v>48.813530788110675</v>
      </c>
      <c r="F259" s="163">
        <f>('Pivot Table for Data Exchange'!$K$123)*100</f>
        <v>12.412020251204281</v>
      </c>
      <c r="G259" s="171">
        <f>('Pivot Table for Data Exchange'!$K$126)*100</f>
        <v>3.4772925696101874E-2</v>
      </c>
      <c r="H259" s="163">
        <f>('Pivot Table for Data Exchange'!$K$129)*100</f>
        <v>4.1301564680240571E-2</v>
      </c>
      <c r="I259" s="134"/>
      <c r="J259" s="202"/>
      <c r="K259" s="202"/>
      <c r="L259" s="202"/>
      <c r="M259" s="202"/>
      <c r="N259" s="202"/>
      <c r="O259" s="202"/>
      <c r="P259" s="202"/>
      <c r="Q259" s="168">
        <f t="shared" si="52"/>
        <v>100</v>
      </c>
      <c r="R259" s="168"/>
      <c r="S259" s="169"/>
      <c r="U259" s="169"/>
      <c r="V259" s="169"/>
      <c r="W259" s="169"/>
      <c r="X259" s="169"/>
      <c r="Y259" s="169"/>
      <c r="Z259" s="169"/>
      <c r="AA259" s="169"/>
      <c r="AB259" s="169"/>
      <c r="AC259" s="169"/>
      <c r="AD259" s="169"/>
      <c r="AE259" s="169"/>
      <c r="AF259" s="169"/>
      <c r="AG259" s="169"/>
      <c r="AH259" s="169"/>
      <c r="AI259" s="169"/>
      <c r="AJ259" s="169"/>
      <c r="AK259" s="169"/>
      <c r="AL259" s="169"/>
      <c r="AM259" s="169"/>
      <c r="AN259" s="169"/>
      <c r="AO259" s="169"/>
    </row>
    <row r="260" spans="1:41" ht="15.75" customHeight="1">
      <c r="B260" s="163"/>
      <c r="C260" s="163"/>
      <c r="D260" s="164"/>
      <c r="E260" s="163"/>
      <c r="F260" s="163"/>
      <c r="G260" s="171"/>
      <c r="H260" s="163"/>
      <c r="I260" s="134"/>
      <c r="J260" s="202"/>
      <c r="K260" s="202"/>
      <c r="L260" s="202"/>
      <c r="M260" s="202"/>
      <c r="N260" s="202"/>
      <c r="O260" s="202"/>
      <c r="P260" s="202"/>
      <c r="Q260" s="168">
        <f t="shared" si="52"/>
        <v>0</v>
      </c>
      <c r="R260" s="168"/>
      <c r="S260" s="169"/>
      <c r="U260" s="169"/>
      <c r="V260" s="169"/>
      <c r="W260" s="169"/>
      <c r="X260" s="169"/>
      <c r="Y260" s="169"/>
      <c r="Z260" s="169"/>
      <c r="AA260" s="169"/>
      <c r="AB260" s="169"/>
      <c r="AC260" s="169"/>
      <c r="AD260" s="169"/>
      <c r="AE260" s="169"/>
      <c r="AF260" s="169"/>
      <c r="AG260" s="169"/>
      <c r="AH260" s="169"/>
      <c r="AI260" s="169"/>
      <c r="AJ260" s="169"/>
      <c r="AK260" s="169"/>
      <c r="AL260" s="169"/>
      <c r="AM260" s="169"/>
      <c r="AN260" s="169"/>
      <c r="AO260" s="169"/>
    </row>
    <row r="261" spans="1:41" ht="15.75" customHeight="1">
      <c r="A261" s="134" t="s">
        <v>622</v>
      </c>
      <c r="B261" s="163">
        <f>('Pivot Table for Data Exchange'!$K$150)*100</f>
        <v>36.683602170922207</v>
      </c>
      <c r="C261" s="163">
        <f>('Pivot Table for Data Exchange'!$K$153)*100</f>
        <v>11.089324854748259</v>
      </c>
      <c r="D261" s="164">
        <f t="shared" ref="D261:D264" si="63">SUM(E261:G261)</f>
        <v>52.227072974329538</v>
      </c>
      <c r="E261" s="163">
        <f>('Pivot Table for Data Exchange'!$K$156)*100</f>
        <v>52.227072974329538</v>
      </c>
      <c r="F261" s="163">
        <f>('Pivot Table for Data Exchange'!$K$159)*100</f>
        <v>0</v>
      </c>
      <c r="G261" s="171">
        <f>('Pivot Table for Data Exchange'!$K$162)*100</f>
        <v>0</v>
      </c>
      <c r="H261" s="163">
        <f>('Pivot Table for Data Exchange'!$K$165)*100</f>
        <v>0</v>
      </c>
      <c r="I261" s="134"/>
      <c r="J261" s="202"/>
      <c r="K261" s="202"/>
      <c r="L261" s="202"/>
      <c r="M261" s="202"/>
      <c r="N261" s="202"/>
      <c r="O261" s="202"/>
      <c r="P261" s="202"/>
      <c r="Q261" s="168">
        <f t="shared" si="52"/>
        <v>100</v>
      </c>
      <c r="R261" s="168"/>
      <c r="S261" s="169"/>
      <c r="T261" s="169"/>
      <c r="U261" s="169"/>
      <c r="V261" s="169"/>
      <c r="W261" s="169"/>
      <c r="X261" s="169"/>
      <c r="Y261" s="169"/>
      <c r="Z261" s="169"/>
      <c r="AA261" s="169"/>
      <c r="AB261" s="169"/>
      <c r="AC261" s="169"/>
      <c r="AD261" s="169"/>
      <c r="AE261" s="169"/>
      <c r="AF261" s="169"/>
      <c r="AG261" s="169"/>
      <c r="AH261" s="169"/>
      <c r="AI261" s="169"/>
      <c r="AJ261" s="169"/>
      <c r="AK261" s="169"/>
      <c r="AL261" s="169"/>
      <c r="AM261" s="169"/>
      <c r="AN261" s="169"/>
      <c r="AO261" s="169"/>
    </row>
    <row r="262" spans="1:41" ht="15.75" customHeight="1">
      <c r="A262" s="134" t="s">
        <v>623</v>
      </c>
      <c r="B262" s="163">
        <f>('Pivot Table for Data Exchange'!$K$186)*100</f>
        <v>0</v>
      </c>
      <c r="C262" s="163">
        <f>('Pivot Table for Data Exchange'!$K$189)*100</f>
        <v>0</v>
      </c>
      <c r="D262" s="164">
        <f t="shared" si="63"/>
        <v>0</v>
      </c>
      <c r="E262" s="163">
        <f>('Pivot Table for Data Exchange'!$K$192)*100</f>
        <v>0</v>
      </c>
      <c r="F262" s="163">
        <f>('Pivot Table for Data Exchange'!$K$195)*100</f>
        <v>0</v>
      </c>
      <c r="G262" s="171">
        <f>('Pivot Table for Data Exchange'!$K$198)*100</f>
        <v>0</v>
      </c>
      <c r="H262" s="163">
        <f>('Pivot Table for Data Exchange'!$K$201)*100</f>
        <v>0</v>
      </c>
      <c r="I262" s="134"/>
      <c r="J262" s="202"/>
      <c r="K262" s="202"/>
      <c r="L262" s="202"/>
      <c r="M262" s="202"/>
      <c r="N262" s="202"/>
      <c r="O262" s="202"/>
      <c r="P262" s="202"/>
      <c r="Q262" s="168">
        <f t="shared" si="52"/>
        <v>0</v>
      </c>
      <c r="R262" s="168"/>
      <c r="S262" s="169"/>
      <c r="T262" s="169"/>
      <c r="U262" s="169"/>
      <c r="V262" s="169"/>
      <c r="W262" s="169"/>
      <c r="X262" s="169"/>
      <c r="Y262" s="169"/>
      <c r="Z262" s="169"/>
      <c r="AA262" s="169"/>
      <c r="AB262" s="169"/>
      <c r="AC262" s="169"/>
      <c r="AD262" s="169"/>
      <c r="AE262" s="169"/>
      <c r="AF262" s="169"/>
      <c r="AG262" s="169"/>
      <c r="AH262" s="169"/>
      <c r="AI262" s="169"/>
      <c r="AJ262" s="169"/>
      <c r="AK262" s="169"/>
      <c r="AL262" s="169"/>
      <c r="AM262" s="169"/>
      <c r="AN262" s="169"/>
      <c r="AO262" s="169"/>
    </row>
    <row r="263" spans="1:41" ht="15.75" customHeight="1">
      <c r="A263" s="134" t="s">
        <v>624</v>
      </c>
      <c r="B263" s="163">
        <f>('Pivot Table for Data Exchange'!$K$222)*100</f>
        <v>0</v>
      </c>
      <c r="C263" s="163">
        <f>('Pivot Table for Data Exchange'!$K$225)*100</f>
        <v>0</v>
      </c>
      <c r="D263" s="164">
        <f t="shared" si="63"/>
        <v>0</v>
      </c>
      <c r="E263" s="163">
        <f>('Pivot Table for Data Exchange'!$K$228)*100</f>
        <v>0</v>
      </c>
      <c r="F263" s="163">
        <f>('Pivot Table for Data Exchange'!$K$231)*100</f>
        <v>0</v>
      </c>
      <c r="G263" s="171">
        <f>('Pivot Table for Data Exchange'!$K$234)*100</f>
        <v>0</v>
      </c>
      <c r="H263" s="163">
        <f>('Pivot Table for Data Exchange'!$K$237)*100</f>
        <v>0</v>
      </c>
      <c r="I263" s="134"/>
      <c r="J263" s="202"/>
      <c r="K263" s="202"/>
      <c r="L263" s="202"/>
      <c r="M263" s="202"/>
      <c r="N263" s="202"/>
      <c r="O263" s="202"/>
      <c r="P263" s="202"/>
      <c r="Q263" s="168">
        <f t="shared" si="52"/>
        <v>0</v>
      </c>
      <c r="R263" s="168"/>
      <c r="S263" s="169"/>
      <c r="T263" s="143"/>
      <c r="U263" s="169"/>
      <c r="V263" s="169"/>
      <c r="W263" s="169"/>
      <c r="X263" s="169"/>
      <c r="Y263" s="169"/>
      <c r="Z263" s="169"/>
      <c r="AA263" s="169"/>
      <c r="AB263" s="169"/>
      <c r="AC263" s="169"/>
      <c r="AD263" s="169"/>
      <c r="AE263" s="169"/>
      <c r="AF263" s="169"/>
      <c r="AG263" s="169"/>
      <c r="AH263" s="169"/>
      <c r="AI263" s="169"/>
      <c r="AJ263" s="169"/>
      <c r="AK263" s="169"/>
      <c r="AL263" s="169"/>
      <c r="AM263" s="169"/>
      <c r="AN263" s="169"/>
      <c r="AO263" s="169"/>
    </row>
    <row r="264" spans="1:41" ht="15.75" customHeight="1">
      <c r="A264" s="134" t="s">
        <v>625</v>
      </c>
      <c r="B264" s="163">
        <f>('Pivot Table for Data Exchange'!$K$258)*100</f>
        <v>0</v>
      </c>
      <c r="C264" s="163">
        <f>('Pivot Table for Data Exchange'!$K$261)*100</f>
        <v>0</v>
      </c>
      <c r="D264" s="164">
        <f t="shared" si="63"/>
        <v>0</v>
      </c>
      <c r="E264" s="163">
        <f>('Pivot Table for Data Exchange'!$K$264)*100</f>
        <v>0</v>
      </c>
      <c r="F264" s="163">
        <f>('Pivot Table for Data Exchange'!$K$267)*100</f>
        <v>0</v>
      </c>
      <c r="G264" s="171">
        <f>('Pivot Table for Data Exchange'!$K$270)*100</f>
        <v>0</v>
      </c>
      <c r="H264" s="163">
        <f>('Pivot Table for Data Exchange'!$K$273)*100</f>
        <v>0</v>
      </c>
      <c r="I264" s="134"/>
      <c r="J264" s="202"/>
      <c r="K264" s="202"/>
      <c r="L264" s="202"/>
      <c r="M264" s="202"/>
      <c r="N264" s="202"/>
      <c r="O264" s="202"/>
      <c r="P264" s="202"/>
      <c r="Q264" s="168">
        <f t="shared" si="52"/>
        <v>0</v>
      </c>
      <c r="R264" s="168"/>
      <c r="S264" s="169"/>
      <c r="U264" s="169"/>
      <c r="V264" s="169"/>
      <c r="W264" s="169"/>
      <c r="X264" s="169"/>
      <c r="Y264" s="169"/>
      <c r="Z264" s="169"/>
      <c r="AA264" s="169"/>
      <c r="AB264" s="169"/>
      <c r="AC264" s="169"/>
      <c r="AD264" s="169"/>
      <c r="AE264" s="169"/>
      <c r="AF264" s="169"/>
      <c r="AG264" s="169"/>
      <c r="AH264" s="169"/>
      <c r="AI264" s="169"/>
      <c r="AJ264" s="169"/>
      <c r="AK264" s="169"/>
      <c r="AL264" s="169"/>
      <c r="AM264" s="169"/>
      <c r="AN264" s="169"/>
      <c r="AO264" s="169"/>
    </row>
    <row r="265" spans="1:41" ht="15.75" customHeight="1">
      <c r="B265" s="163"/>
      <c r="C265" s="163"/>
      <c r="D265" s="164"/>
      <c r="E265" s="163"/>
      <c r="F265" s="163"/>
      <c r="G265" s="171"/>
      <c r="H265" s="163"/>
      <c r="I265" s="134"/>
      <c r="J265" s="202"/>
      <c r="K265" s="202"/>
      <c r="L265" s="202"/>
      <c r="M265" s="202"/>
      <c r="N265" s="202"/>
      <c r="O265" s="202"/>
      <c r="P265" s="202"/>
      <c r="Q265" s="168">
        <f t="shared" si="52"/>
        <v>0</v>
      </c>
      <c r="R265" s="168"/>
      <c r="S265" s="169"/>
      <c r="U265" s="169"/>
      <c r="V265" s="169"/>
      <c r="W265" s="169"/>
      <c r="X265" s="169"/>
      <c r="Y265" s="169"/>
      <c r="Z265" s="169"/>
      <c r="AA265" s="169"/>
      <c r="AB265" s="169"/>
      <c r="AC265" s="169"/>
      <c r="AD265" s="169"/>
      <c r="AE265" s="169"/>
      <c r="AF265" s="169"/>
      <c r="AG265" s="169"/>
      <c r="AH265" s="169"/>
      <c r="AI265" s="169"/>
      <c r="AJ265" s="169"/>
      <c r="AK265" s="169"/>
      <c r="AL265" s="169"/>
      <c r="AM265" s="169"/>
      <c r="AN265" s="169"/>
      <c r="AO265" s="169"/>
    </row>
    <row r="266" spans="1:41" ht="15.75" customHeight="1">
      <c r="A266" s="134" t="s">
        <v>626</v>
      </c>
      <c r="B266" s="163">
        <f>('Pivot Table for Data Exchange'!$K$294)*100</f>
        <v>0</v>
      </c>
      <c r="C266" s="163">
        <f>('Pivot Table for Data Exchange'!$K$297)*100</f>
        <v>0</v>
      </c>
      <c r="D266" s="164">
        <f t="shared" ref="D266:D268" si="64">SUM(E266:G266)</f>
        <v>0</v>
      </c>
      <c r="E266" s="163">
        <f>('Pivot Table for Data Exchange'!$K$300)*100</f>
        <v>0</v>
      </c>
      <c r="F266" s="163">
        <f>('Pivot Table for Data Exchange'!$K$303)*100</f>
        <v>0</v>
      </c>
      <c r="G266" s="171">
        <f>('Pivot Table for Data Exchange'!$K$306)*100</f>
        <v>0</v>
      </c>
      <c r="H266" s="163">
        <f>('Pivot Table for Data Exchange'!$K$309)*100</f>
        <v>0</v>
      </c>
      <c r="I266" s="134"/>
      <c r="J266" s="202"/>
      <c r="K266" s="202"/>
      <c r="L266" s="202"/>
      <c r="M266" s="202"/>
      <c r="N266" s="202"/>
      <c r="O266" s="202"/>
      <c r="P266" s="202"/>
      <c r="Q266" s="168">
        <f t="shared" si="52"/>
        <v>0</v>
      </c>
      <c r="R266" s="168"/>
      <c r="S266" s="169"/>
      <c r="T266" s="169"/>
      <c r="U266" s="169"/>
      <c r="V266" s="169"/>
      <c r="W266" s="169"/>
      <c r="X266" s="169"/>
      <c r="Y266" s="169"/>
      <c r="Z266" s="169"/>
      <c r="AA266" s="169"/>
      <c r="AB266" s="169"/>
      <c r="AC266" s="169"/>
      <c r="AD266" s="169"/>
      <c r="AE266" s="169"/>
      <c r="AF266" s="169"/>
      <c r="AG266" s="169"/>
      <c r="AH266" s="169"/>
      <c r="AI266" s="169"/>
      <c r="AJ266" s="169"/>
      <c r="AK266" s="169"/>
      <c r="AL266" s="169"/>
      <c r="AM266" s="169"/>
      <c r="AN266" s="169"/>
      <c r="AO266" s="169"/>
    </row>
    <row r="267" spans="1:41" ht="15.75" customHeight="1">
      <c r="A267" s="134" t="s">
        <v>627</v>
      </c>
      <c r="B267" s="163">
        <f>('Pivot Table for Data Exchange'!$K$330)*100</f>
        <v>0</v>
      </c>
      <c r="C267" s="163">
        <f>('Pivot Table for Data Exchange'!$K$333)*100</f>
        <v>0</v>
      </c>
      <c r="D267" s="164">
        <f t="shared" si="64"/>
        <v>0</v>
      </c>
      <c r="E267" s="163">
        <f>('Pivot Table for Data Exchange'!$K$336)*100</f>
        <v>0</v>
      </c>
      <c r="F267" s="163">
        <f>('Pivot Table for Data Exchange'!$K$339)*100</f>
        <v>0</v>
      </c>
      <c r="G267" s="171">
        <f>('Pivot Table for Data Exchange'!$K$342)*100</f>
        <v>0</v>
      </c>
      <c r="H267" s="163">
        <f>('Pivot Table for Data Exchange'!$K$345)*100</f>
        <v>0</v>
      </c>
      <c r="I267" s="134"/>
      <c r="J267" s="202"/>
      <c r="K267" s="202"/>
      <c r="L267" s="202"/>
      <c r="M267" s="202"/>
      <c r="N267" s="202"/>
      <c r="O267" s="202"/>
      <c r="P267" s="202"/>
      <c r="Q267" s="168">
        <f t="shared" ref="Q267:Q330" si="65">SUM(B267,C267,D267,H267)</f>
        <v>0</v>
      </c>
      <c r="R267" s="168"/>
      <c r="S267" s="169"/>
      <c r="T267" s="169"/>
      <c r="U267" s="169"/>
      <c r="V267" s="169"/>
      <c r="W267" s="169"/>
      <c r="X267" s="169"/>
      <c r="Y267" s="169"/>
      <c r="Z267" s="169"/>
      <c r="AA267" s="169"/>
      <c r="AB267" s="169"/>
      <c r="AC267" s="169"/>
      <c r="AD267" s="169"/>
      <c r="AE267" s="169"/>
      <c r="AF267" s="169"/>
      <c r="AG267" s="169"/>
      <c r="AH267" s="169"/>
      <c r="AI267" s="169"/>
      <c r="AJ267" s="169"/>
      <c r="AK267" s="169"/>
      <c r="AL267" s="169"/>
      <c r="AM267" s="169"/>
      <c r="AN267" s="169"/>
      <c r="AO267" s="169"/>
    </row>
    <row r="268" spans="1:41" ht="15.75" customHeight="1">
      <c r="A268" s="134" t="s">
        <v>628</v>
      </c>
      <c r="B268" s="163">
        <f>('Pivot Table for Data Exchange'!$K$366)*100</f>
        <v>0</v>
      </c>
      <c r="C268" s="163">
        <f>('Pivot Table for Data Exchange'!$K$369)*100</f>
        <v>0</v>
      </c>
      <c r="D268" s="164">
        <f t="shared" si="64"/>
        <v>0</v>
      </c>
      <c r="E268" s="163">
        <f>('Pivot Table for Data Exchange'!$K$372)*100</f>
        <v>0</v>
      </c>
      <c r="F268" s="163">
        <f>('Pivot Table for Data Exchange'!$K$375)*100</f>
        <v>0</v>
      </c>
      <c r="G268" s="171">
        <f>('Pivot Table for Data Exchange'!$K$378)*100</f>
        <v>0</v>
      </c>
      <c r="H268" s="163">
        <f>('Pivot Table for Data Exchange'!$K$381)*100</f>
        <v>0</v>
      </c>
      <c r="I268" s="134"/>
      <c r="J268" s="202"/>
      <c r="K268" s="202"/>
      <c r="L268" s="202"/>
      <c r="M268" s="202"/>
      <c r="N268" s="202"/>
      <c r="O268" s="202"/>
      <c r="P268" s="202"/>
      <c r="Q268" s="168">
        <f t="shared" si="65"/>
        <v>0</v>
      </c>
      <c r="R268" s="168"/>
      <c r="S268" s="169"/>
      <c r="T268" s="143"/>
      <c r="U268" s="169"/>
      <c r="V268" s="169"/>
      <c r="W268" s="169"/>
      <c r="X268" s="169"/>
      <c r="Y268" s="169"/>
      <c r="Z268" s="169"/>
      <c r="AA268" s="169"/>
      <c r="AB268" s="169"/>
      <c r="AC268" s="169"/>
      <c r="AD268" s="169"/>
      <c r="AE268" s="169"/>
      <c r="AF268" s="169"/>
      <c r="AG268" s="169"/>
      <c r="AH268" s="169"/>
      <c r="AI268" s="169"/>
      <c r="AJ268" s="169"/>
      <c r="AK268" s="169"/>
      <c r="AL268" s="169"/>
      <c r="AM268" s="169"/>
      <c r="AN268" s="169"/>
      <c r="AO268" s="169"/>
    </row>
    <row r="269" spans="1:41" ht="15.75" customHeight="1">
      <c r="A269" s="134" t="s">
        <v>629</v>
      </c>
      <c r="B269" s="163">
        <f>('Pivot Table for Data Exchange'!$K$402)*100</f>
        <v>0</v>
      </c>
      <c r="C269" s="163">
        <f>('Pivot Table for Data Exchange'!$K$405)*100</f>
        <v>0</v>
      </c>
      <c r="D269" s="164">
        <f>SUM(E269:G269)</f>
        <v>0</v>
      </c>
      <c r="E269" s="163">
        <f>('Pivot Table for Data Exchange'!$K$408)*100</f>
        <v>0</v>
      </c>
      <c r="F269" s="163">
        <f>('Pivot Table for Data Exchange'!$K$411)*100</f>
        <v>0</v>
      </c>
      <c r="G269" s="171">
        <f>('Pivot Table for Data Exchange'!$K$414)*100</f>
        <v>0</v>
      </c>
      <c r="H269" s="163">
        <f>('Pivot Table for Data Exchange'!$K$417)*100</f>
        <v>0</v>
      </c>
      <c r="I269" s="134"/>
      <c r="J269" s="202"/>
      <c r="K269" s="202"/>
      <c r="L269" s="202"/>
      <c r="M269" s="202"/>
      <c r="N269" s="202"/>
      <c r="O269" s="202"/>
      <c r="P269" s="202"/>
      <c r="Q269" s="168">
        <f t="shared" si="65"/>
        <v>0</v>
      </c>
      <c r="R269" s="168"/>
      <c r="S269" s="169"/>
      <c r="T269" s="169"/>
      <c r="U269" s="169"/>
      <c r="V269" s="169"/>
      <c r="W269" s="169"/>
      <c r="X269" s="169"/>
      <c r="Y269" s="169"/>
      <c r="Z269" s="169"/>
      <c r="AA269" s="169"/>
      <c r="AB269" s="169"/>
      <c r="AC269" s="169"/>
      <c r="AD269" s="169"/>
      <c r="AE269" s="169"/>
      <c r="AF269" s="169"/>
      <c r="AG269" s="169"/>
      <c r="AH269" s="169"/>
      <c r="AI269" s="169"/>
      <c r="AJ269" s="169"/>
      <c r="AK269" s="169"/>
      <c r="AL269" s="169"/>
      <c r="AM269" s="169"/>
      <c r="AN269" s="169"/>
      <c r="AO269" s="169"/>
    </row>
    <row r="270" spans="1:41" ht="15.75" customHeight="1">
      <c r="B270" s="163"/>
      <c r="C270" s="163"/>
      <c r="D270" s="164"/>
      <c r="E270" s="163"/>
      <c r="F270" s="163"/>
      <c r="G270" s="171"/>
      <c r="H270" s="163"/>
      <c r="I270" s="134"/>
      <c r="J270" s="202"/>
      <c r="K270" s="202"/>
      <c r="L270" s="202"/>
      <c r="M270" s="202"/>
      <c r="N270" s="202"/>
      <c r="O270" s="202"/>
      <c r="P270" s="202"/>
      <c r="Q270" s="168">
        <f t="shared" si="65"/>
        <v>0</v>
      </c>
      <c r="R270" s="168"/>
      <c r="S270" s="169"/>
      <c r="T270" s="169"/>
      <c r="U270" s="169"/>
      <c r="V270" s="169"/>
      <c r="W270" s="169"/>
      <c r="X270" s="169"/>
      <c r="Y270" s="169"/>
      <c r="Z270" s="169"/>
      <c r="AA270" s="169"/>
      <c r="AB270" s="169"/>
      <c r="AC270" s="169"/>
      <c r="AD270" s="169"/>
      <c r="AE270" s="169"/>
      <c r="AF270" s="169"/>
      <c r="AG270" s="169"/>
      <c r="AH270" s="169"/>
      <c r="AI270" s="169"/>
      <c r="AJ270" s="169"/>
      <c r="AK270" s="169"/>
      <c r="AL270" s="169"/>
      <c r="AM270" s="169"/>
      <c r="AN270" s="169"/>
      <c r="AO270" s="169"/>
    </row>
    <row r="271" spans="1:41" ht="15.75" customHeight="1">
      <c r="A271" s="134" t="s">
        <v>630</v>
      </c>
      <c r="B271" s="163">
        <f>('Pivot Table for Data Exchange'!$K$438)*100</f>
        <v>0</v>
      </c>
      <c r="C271" s="163">
        <f>('Pivot Table for Data Exchange'!$K$441)*100</f>
        <v>0</v>
      </c>
      <c r="D271" s="164">
        <f>SUM(E271:G271)</f>
        <v>0</v>
      </c>
      <c r="E271" s="163">
        <f>('Pivot Table for Data Exchange'!$K$444)*100</f>
        <v>0</v>
      </c>
      <c r="F271" s="163">
        <f>('Pivot Table for Data Exchange'!$K$447)*100</f>
        <v>0</v>
      </c>
      <c r="G271" s="171">
        <f>('Pivot Table for Data Exchange'!$K$450)*100</f>
        <v>0</v>
      </c>
      <c r="H271" s="163">
        <f>('Pivot Table for Data Exchange'!$K$453)*100</f>
        <v>0</v>
      </c>
      <c r="I271" s="134"/>
      <c r="J271" s="202"/>
      <c r="K271" s="202"/>
      <c r="L271" s="202"/>
      <c r="M271" s="202"/>
      <c r="N271" s="202"/>
      <c r="O271" s="202"/>
      <c r="P271" s="202"/>
      <c r="Q271" s="168">
        <f t="shared" si="65"/>
        <v>0</v>
      </c>
      <c r="R271" s="168"/>
      <c r="S271" s="169"/>
      <c r="T271" s="169"/>
      <c r="U271" s="169"/>
      <c r="V271" s="169"/>
      <c r="W271" s="169"/>
      <c r="X271" s="169"/>
      <c r="Y271" s="169"/>
      <c r="Z271" s="169"/>
      <c r="AA271" s="169"/>
      <c r="AB271" s="169"/>
      <c r="AC271" s="169"/>
      <c r="AD271" s="169"/>
      <c r="AE271" s="169"/>
      <c r="AF271" s="169"/>
      <c r="AG271" s="169"/>
      <c r="AH271" s="169"/>
      <c r="AI271" s="169"/>
      <c r="AJ271" s="169"/>
      <c r="AK271" s="169"/>
      <c r="AL271" s="169"/>
      <c r="AM271" s="169"/>
      <c r="AN271" s="169"/>
      <c r="AO271" s="169"/>
    </row>
    <row r="272" spans="1:41" ht="15.75" customHeight="1">
      <c r="A272" s="134" t="s">
        <v>631</v>
      </c>
      <c r="B272" s="163">
        <f>('Pivot Table for Data Exchange'!$K$474)*100</f>
        <v>35.51734818245324</v>
      </c>
      <c r="C272" s="163">
        <f>('Pivot Table for Data Exchange'!$K$477)*100</f>
        <v>1.4810683106891405</v>
      </c>
      <c r="D272" s="164">
        <f>SUM(E272:G272)</f>
        <v>63.001583506857621</v>
      </c>
      <c r="E272" s="163">
        <f>('Pivot Table for Data Exchange'!$K$480)*100</f>
        <v>62.915905193392987</v>
      </c>
      <c r="F272" s="163">
        <f>('Pivot Table for Data Exchange'!$K$483)*100</f>
        <v>8.5678313464635239E-2</v>
      </c>
      <c r="G272" s="174">
        <f>('Pivot Table for Data Exchange'!$K$486)*100</f>
        <v>0</v>
      </c>
      <c r="H272" s="163">
        <f>('Pivot Table for Data Exchange'!$K$489)*100</f>
        <v>0</v>
      </c>
      <c r="I272" s="134"/>
      <c r="J272" s="202"/>
      <c r="K272" s="202"/>
      <c r="L272" s="202"/>
      <c r="M272" s="202"/>
      <c r="N272" s="202"/>
      <c r="O272" s="202"/>
      <c r="P272" s="202"/>
      <c r="Q272" s="168">
        <f t="shared" si="65"/>
        <v>100</v>
      </c>
      <c r="R272" s="168"/>
      <c r="S272" s="169"/>
      <c r="T272" s="169"/>
      <c r="U272" s="169"/>
      <c r="V272" s="169"/>
      <c r="W272" s="169"/>
      <c r="X272" s="169"/>
      <c r="Y272" s="169"/>
      <c r="Z272" s="169"/>
      <c r="AA272" s="169"/>
      <c r="AB272" s="169"/>
      <c r="AC272" s="169"/>
      <c r="AD272" s="169"/>
      <c r="AE272" s="169"/>
      <c r="AF272" s="169"/>
      <c r="AG272" s="169"/>
      <c r="AH272" s="169"/>
      <c r="AI272" s="169"/>
      <c r="AJ272" s="169"/>
      <c r="AK272" s="169"/>
      <c r="AL272" s="169"/>
      <c r="AM272" s="169"/>
      <c r="AN272" s="169"/>
      <c r="AO272" s="169"/>
    </row>
    <row r="273" spans="1:41" ht="15.75" customHeight="1">
      <c r="A273" s="134" t="s">
        <v>632</v>
      </c>
      <c r="B273" s="163">
        <f>('Pivot Table for Data Exchange'!$K$510)*100</f>
        <v>0</v>
      </c>
      <c r="C273" s="163">
        <f>('Pivot Table for Data Exchange'!$K$513)*100</f>
        <v>0</v>
      </c>
      <c r="D273" s="164">
        <f t="shared" ref="D273" si="66">SUM(E273:G273)</f>
        <v>0</v>
      </c>
      <c r="E273" s="163">
        <f>('Pivot Table for Data Exchange'!$K$516)*100</f>
        <v>0</v>
      </c>
      <c r="F273" s="163">
        <f>('Pivot Table for Data Exchange'!$K$519)*100</f>
        <v>0</v>
      </c>
      <c r="G273" s="171">
        <f>('Pivot Table for Data Exchange'!$K$522)*100</f>
        <v>0</v>
      </c>
      <c r="H273" s="163">
        <f>('Pivot Table for Data Exchange'!$K$525)*100</f>
        <v>0</v>
      </c>
      <c r="I273" s="134"/>
      <c r="J273" s="202"/>
      <c r="K273" s="202"/>
      <c r="L273" s="202"/>
      <c r="M273" s="202"/>
      <c r="N273" s="202"/>
      <c r="O273" s="202"/>
      <c r="P273" s="202"/>
      <c r="Q273" s="168">
        <f t="shared" si="65"/>
        <v>0</v>
      </c>
      <c r="R273" s="168"/>
      <c r="S273" s="169"/>
      <c r="T273" s="169"/>
      <c r="U273" s="169"/>
      <c r="V273" s="169"/>
      <c r="W273" s="169"/>
      <c r="X273" s="169"/>
      <c r="Y273" s="169"/>
      <c r="Z273" s="169"/>
      <c r="AA273" s="169"/>
      <c r="AB273" s="169"/>
      <c r="AC273" s="169"/>
      <c r="AD273" s="169"/>
      <c r="AE273" s="169"/>
      <c r="AF273" s="169"/>
      <c r="AG273" s="169"/>
      <c r="AH273" s="169"/>
      <c r="AI273" s="169"/>
      <c r="AJ273" s="169"/>
      <c r="AK273" s="169"/>
      <c r="AL273" s="169"/>
      <c r="AM273" s="169"/>
      <c r="AN273" s="169"/>
      <c r="AO273" s="169"/>
    </row>
    <row r="274" spans="1:41" ht="15.75" customHeight="1">
      <c r="A274" s="140" t="s">
        <v>633</v>
      </c>
      <c r="B274" s="176">
        <f>('Pivot Table for Data Exchange'!$K$546)*100</f>
        <v>55.62799594126497</v>
      </c>
      <c r="C274" s="176">
        <f>('Pivot Table for Data Exchange'!$K$549)*100</f>
        <v>6.5592890215882713</v>
      </c>
      <c r="D274" s="177">
        <f>SUM(E274:G274)</f>
        <v>37.812715037146759</v>
      </c>
      <c r="E274" s="176">
        <f>('Pivot Table for Data Exchange'!$K$552)*100</f>
        <v>37.809216127640219</v>
      </c>
      <c r="F274" s="176">
        <f>('Pivot Table for Data Exchange'!$K$555)*100</f>
        <v>0</v>
      </c>
      <c r="G274" s="178">
        <f>('Pivot Table for Data Exchange'!$K$558)*100</f>
        <v>3.4989095065371292E-3</v>
      </c>
      <c r="H274" s="176">
        <f>('Pivot Table for Data Exchange'!$K$561)*100</f>
        <v>0</v>
      </c>
      <c r="I274" s="134"/>
      <c r="J274" s="202"/>
      <c r="K274" s="202"/>
      <c r="L274" s="202"/>
      <c r="M274" s="202"/>
      <c r="N274" s="202"/>
      <c r="O274" s="202"/>
      <c r="P274" s="202"/>
      <c r="Q274" s="168">
        <f t="shared" si="65"/>
        <v>100</v>
      </c>
      <c r="R274" s="168"/>
      <c r="S274" s="169"/>
      <c r="T274" s="169"/>
      <c r="U274" s="169"/>
      <c r="V274" s="169"/>
      <c r="W274" s="169"/>
      <c r="X274" s="169"/>
      <c r="Y274" s="169"/>
      <c r="Z274" s="169"/>
      <c r="AA274" s="169"/>
      <c r="AB274" s="169"/>
      <c r="AC274" s="169"/>
      <c r="AD274" s="169"/>
      <c r="AE274" s="169"/>
      <c r="AF274" s="169"/>
      <c r="AG274" s="169"/>
      <c r="AH274" s="169"/>
      <c r="AI274" s="169"/>
      <c r="AJ274" s="169"/>
      <c r="AK274" s="169"/>
      <c r="AL274" s="169"/>
      <c r="AM274" s="169"/>
      <c r="AN274" s="169"/>
      <c r="AO274" s="169"/>
    </row>
    <row r="275" spans="1:41" s="181" customFormat="1" ht="12" customHeight="1">
      <c r="A275" s="182" t="s">
        <v>658</v>
      </c>
      <c r="B275" s="183"/>
      <c r="C275" s="183"/>
      <c r="D275" s="184"/>
      <c r="E275" s="183"/>
      <c r="F275" s="184"/>
      <c r="G275" s="184"/>
      <c r="H275" s="183"/>
      <c r="I275" s="192"/>
      <c r="J275" s="183"/>
      <c r="K275" s="183"/>
      <c r="L275" s="184"/>
      <c r="M275" s="183"/>
      <c r="N275" s="184"/>
      <c r="O275" s="184"/>
      <c r="P275" s="183"/>
      <c r="Q275" s="168">
        <f t="shared" si="65"/>
        <v>0</v>
      </c>
      <c r="R275" s="203"/>
      <c r="S275" s="185"/>
      <c r="T275" s="185"/>
      <c r="U275" s="185"/>
      <c r="V275" s="185"/>
      <c r="W275" s="185"/>
      <c r="X275" s="185"/>
      <c r="Y275" s="185"/>
      <c r="Z275" s="185"/>
      <c r="AA275" s="185"/>
      <c r="AB275" s="185"/>
      <c r="AC275" s="185"/>
      <c r="AD275" s="185"/>
      <c r="AE275" s="185"/>
      <c r="AF275" s="185"/>
      <c r="AG275" s="185"/>
      <c r="AH275" s="185"/>
      <c r="AI275" s="185"/>
      <c r="AJ275" s="185"/>
      <c r="AK275" s="185"/>
      <c r="AL275" s="185"/>
      <c r="AM275" s="185"/>
      <c r="AN275" s="185"/>
      <c r="AO275" s="185"/>
    </row>
    <row r="276" spans="1:41" s="181" customFormat="1" ht="23.25" customHeight="1">
      <c r="A276" s="633" t="s">
        <v>675</v>
      </c>
      <c r="B276" s="650"/>
      <c r="C276" s="650"/>
      <c r="D276" s="650"/>
      <c r="E276" s="650"/>
      <c r="F276" s="650"/>
      <c r="G276" s="650"/>
      <c r="H276" s="650"/>
      <c r="I276" s="192"/>
      <c r="P276" s="194"/>
      <c r="Q276" s="168">
        <f t="shared" si="65"/>
        <v>0</v>
      </c>
      <c r="R276" s="204"/>
    </row>
    <row r="277" spans="1:41" s="181" customFormat="1" ht="13.5" customHeight="1">
      <c r="I277" s="192"/>
      <c r="Q277" s="168">
        <f t="shared" si="65"/>
        <v>0</v>
      </c>
      <c r="R277" s="204"/>
    </row>
    <row r="278" spans="1:41" s="181" customFormat="1">
      <c r="B278" s="183"/>
      <c r="C278" s="183"/>
      <c r="D278" s="184"/>
      <c r="E278" s="183"/>
      <c r="F278" s="184"/>
      <c r="G278" s="184"/>
      <c r="H278" s="187" t="s">
        <v>992</v>
      </c>
      <c r="I278" s="208"/>
      <c r="Q278" s="168">
        <f t="shared" si="65"/>
        <v>0</v>
      </c>
      <c r="R278" s="204"/>
    </row>
    <row r="279" spans="1:41" ht="18">
      <c r="A279" s="129" t="s">
        <v>676</v>
      </c>
      <c r="B279" s="130"/>
      <c r="C279" s="130"/>
      <c r="D279" s="130"/>
      <c r="E279" s="130"/>
      <c r="F279" s="130"/>
      <c r="G279" s="130"/>
      <c r="H279" s="130"/>
      <c r="Q279" s="168">
        <f t="shared" si="65"/>
        <v>0</v>
      </c>
    </row>
    <row r="280" spans="1:41">
      <c r="A280" s="135"/>
      <c r="B280" s="131"/>
      <c r="C280" s="131"/>
      <c r="D280" s="131"/>
      <c r="E280" s="131"/>
      <c r="F280" s="131"/>
      <c r="G280" s="131"/>
      <c r="H280" s="131"/>
      <c r="Q280" s="168">
        <f t="shared" si="65"/>
        <v>0</v>
      </c>
    </row>
    <row r="281" spans="1:41" ht="15.75">
      <c r="A281" s="137" t="s">
        <v>639</v>
      </c>
      <c r="B281" s="131"/>
      <c r="C281" s="131"/>
      <c r="D281" s="131"/>
      <c r="E281" s="131"/>
      <c r="F281" s="131"/>
      <c r="G281" s="131"/>
      <c r="H281" s="131"/>
      <c r="Q281" s="168">
        <f t="shared" si="65"/>
        <v>0</v>
      </c>
    </row>
    <row r="282" spans="1:41" ht="15.75">
      <c r="A282" s="137" t="s">
        <v>872</v>
      </c>
      <c r="B282" s="131"/>
      <c r="C282" s="131"/>
      <c r="D282" s="131"/>
      <c r="E282" s="131"/>
      <c r="F282" s="131"/>
      <c r="G282" s="131"/>
      <c r="H282" s="131"/>
      <c r="Q282" s="168">
        <f t="shared" si="65"/>
        <v>0</v>
      </c>
    </row>
    <row r="283" spans="1:41">
      <c r="A283" s="140"/>
      <c r="B283" s="141"/>
      <c r="C283" s="141"/>
      <c r="D283" s="141"/>
      <c r="E283" s="141"/>
      <c r="F283" s="141"/>
      <c r="G283" s="141"/>
      <c r="H283" s="141"/>
      <c r="Q283" s="168">
        <f t="shared" si="65"/>
        <v>0</v>
      </c>
    </row>
    <row r="284" spans="1:41">
      <c r="A284" s="145"/>
      <c r="B284" s="146" t="s">
        <v>641</v>
      </c>
      <c r="C284" s="146"/>
      <c r="D284" s="146"/>
      <c r="E284" s="146"/>
      <c r="F284" s="146"/>
      <c r="G284" s="146"/>
      <c r="H284" s="147"/>
      <c r="Q284" s="168">
        <f t="shared" si="65"/>
        <v>0</v>
      </c>
    </row>
    <row r="285" spans="1:41">
      <c r="A285" s="145"/>
      <c r="B285" s="146" t="s">
        <v>642</v>
      </c>
      <c r="C285" s="146"/>
      <c r="D285" s="639" t="s">
        <v>643</v>
      </c>
      <c r="E285" s="637"/>
      <c r="F285" s="637"/>
      <c r="G285" s="637"/>
      <c r="H285" s="153" t="s">
        <v>533</v>
      </c>
      <c r="Q285" s="168">
        <f t="shared" si="65"/>
        <v>0</v>
      </c>
    </row>
    <row r="286" spans="1:41" ht="36">
      <c r="A286" s="145"/>
      <c r="B286" s="154" t="s">
        <v>644</v>
      </c>
      <c r="C286" s="155" t="s">
        <v>645</v>
      </c>
      <c r="D286" s="156" t="s">
        <v>646</v>
      </c>
      <c r="E286" s="157" t="s">
        <v>8</v>
      </c>
      <c r="F286" s="154" t="s">
        <v>647</v>
      </c>
      <c r="G286" s="158" t="s">
        <v>656</v>
      </c>
      <c r="H286" s="159" t="s">
        <v>649</v>
      </c>
      <c r="Q286" s="168">
        <f t="shared" si="65"/>
        <v>0</v>
      </c>
    </row>
    <row r="287" spans="1:41" ht="15.75" customHeight="1">
      <c r="A287" s="189" t="s">
        <v>618</v>
      </c>
      <c r="B287" s="163">
        <f>('Pivot Table for Data Exchange'!$L$6)*100</f>
        <v>39.900715882219558</v>
      </c>
      <c r="C287" s="163">
        <f>('Pivot Table for Data Exchange'!$L$9)*100</f>
        <v>4.1620776780797515</v>
      </c>
      <c r="D287" s="164">
        <f>SUM(E287:G287)</f>
        <v>55.937206439700695</v>
      </c>
      <c r="E287" s="163">
        <f>('Pivot Table for Data Exchange'!$L$12)*100</f>
        <v>55.799131871335561</v>
      </c>
      <c r="F287" s="163">
        <f>('Pivot Table for Data Exchange'!$L$15)*100</f>
        <v>0</v>
      </c>
      <c r="G287" s="167">
        <f>('Pivot Table for Data Exchange'!$L$18)*100</f>
        <v>0.13807456836513232</v>
      </c>
      <c r="H287" s="163">
        <f>('Pivot Table for Data Exchange'!$L$21)*100</f>
        <v>0</v>
      </c>
      <c r="I287" s="134"/>
      <c r="J287" s="202"/>
      <c r="K287" s="202"/>
      <c r="L287" s="202"/>
      <c r="M287" s="202"/>
      <c r="N287" s="202"/>
      <c r="O287" s="202"/>
      <c r="P287" s="202"/>
      <c r="Q287" s="168">
        <f t="shared" si="65"/>
        <v>100</v>
      </c>
      <c r="R287" s="168"/>
      <c r="S287" s="169"/>
      <c r="T287" s="169"/>
      <c r="U287" s="169"/>
      <c r="V287" s="169"/>
      <c r="W287" s="169"/>
      <c r="X287" s="169"/>
      <c r="Y287" s="169"/>
      <c r="Z287" s="169"/>
      <c r="AA287" s="169"/>
      <c r="AB287" s="169"/>
      <c r="AC287" s="169"/>
      <c r="AD287" s="169"/>
      <c r="AE287" s="169"/>
      <c r="AF287" s="169"/>
      <c r="AG287" s="169"/>
      <c r="AH287" s="169"/>
      <c r="AI287" s="169"/>
      <c r="AJ287" s="169"/>
      <c r="AK287" s="169"/>
      <c r="AL287" s="169"/>
      <c r="AM287" s="169"/>
      <c r="AN287" s="169"/>
      <c r="AO287" s="169"/>
    </row>
    <row r="288" spans="1:41" ht="15.75" customHeight="1">
      <c r="A288" s="134" t="s">
        <v>619</v>
      </c>
      <c r="B288" s="163">
        <f>('Pivot Table for Data Exchange'!$L$42)*100</f>
        <v>52.73117285987724</v>
      </c>
      <c r="C288" s="163">
        <f>('Pivot Table for Data Exchange'!$L$45)*100</f>
        <v>11.94310606560623</v>
      </c>
      <c r="D288" s="164">
        <f t="shared" ref="D288:D290" si="67">SUM(E288:G288)</f>
        <v>35.325721074516537</v>
      </c>
      <c r="E288" s="163">
        <f>('Pivot Table for Data Exchange'!$L$48)*100</f>
        <v>35.325721074516537</v>
      </c>
      <c r="F288" s="175">
        <f>('Pivot Table for Data Exchange'!$L$51)*100</f>
        <v>0</v>
      </c>
      <c r="G288" s="171">
        <f>('Pivot Table for Data Exchange'!$L$54)*100</f>
        <v>0</v>
      </c>
      <c r="H288" s="163">
        <f>('Pivot Table for Data Exchange'!$L$57)*100</f>
        <v>0</v>
      </c>
      <c r="I288" s="134"/>
      <c r="J288" s="202"/>
      <c r="K288" s="202"/>
      <c r="L288" s="202"/>
      <c r="M288" s="202"/>
      <c r="N288" s="202"/>
      <c r="O288" s="202"/>
      <c r="P288" s="202"/>
      <c r="Q288" s="168">
        <f t="shared" si="65"/>
        <v>100</v>
      </c>
      <c r="R288" s="168"/>
      <c r="S288" s="169"/>
      <c r="T288" s="169"/>
      <c r="U288" s="169"/>
      <c r="V288" s="169"/>
      <c r="W288" s="169"/>
      <c r="X288" s="169"/>
      <c r="Y288" s="169"/>
      <c r="Z288" s="169"/>
      <c r="AA288" s="169"/>
      <c r="AB288" s="169"/>
      <c r="AC288" s="169"/>
      <c r="AD288" s="169"/>
      <c r="AE288" s="169"/>
      <c r="AF288" s="169"/>
      <c r="AG288" s="169"/>
      <c r="AH288" s="169"/>
      <c r="AI288" s="169"/>
      <c r="AJ288" s="169"/>
      <c r="AK288" s="169"/>
      <c r="AL288" s="169"/>
      <c r="AM288" s="169"/>
      <c r="AN288" s="169"/>
      <c r="AO288" s="169"/>
    </row>
    <row r="289" spans="1:41" ht="15.75" customHeight="1">
      <c r="A289" s="134" t="s">
        <v>620</v>
      </c>
      <c r="B289" s="163">
        <f>('Pivot Table for Data Exchange'!$L$78)*100</f>
        <v>0</v>
      </c>
      <c r="C289" s="163">
        <f>('Pivot Table for Data Exchange'!$L$81)*100</f>
        <v>0</v>
      </c>
      <c r="D289" s="164">
        <f t="shared" si="67"/>
        <v>0</v>
      </c>
      <c r="E289" s="163">
        <f>('Pivot Table for Data Exchange'!$L$84)*100</f>
        <v>0</v>
      </c>
      <c r="F289" s="163">
        <f>('Pivot Table for Data Exchange'!$L$87)*100</f>
        <v>0</v>
      </c>
      <c r="G289" s="171">
        <f>('Pivot Table for Data Exchange'!$L$90)*100</f>
        <v>0</v>
      </c>
      <c r="H289" s="163">
        <f>('Pivot Table for Data Exchange'!$L$93)*100</f>
        <v>0</v>
      </c>
      <c r="I289" s="134"/>
      <c r="J289" s="202"/>
      <c r="K289" s="202"/>
      <c r="L289" s="202"/>
      <c r="M289" s="202"/>
      <c r="N289" s="202"/>
      <c r="O289" s="202"/>
      <c r="P289" s="202"/>
      <c r="Q289" s="168">
        <f t="shared" si="65"/>
        <v>0</v>
      </c>
      <c r="R289" s="168"/>
      <c r="S289" s="169"/>
      <c r="T289" s="143"/>
      <c r="U289" s="169"/>
      <c r="V289" s="169"/>
      <c r="W289" s="169"/>
      <c r="X289" s="169"/>
      <c r="Y289" s="169"/>
      <c r="Z289" s="169"/>
      <c r="AA289" s="169"/>
      <c r="AB289" s="169"/>
      <c r="AC289" s="169"/>
      <c r="AD289" s="169"/>
      <c r="AE289" s="169"/>
      <c r="AF289" s="169"/>
      <c r="AG289" s="169"/>
      <c r="AH289" s="169"/>
      <c r="AI289" s="169"/>
      <c r="AJ289" s="169"/>
      <c r="AK289" s="169"/>
      <c r="AL289" s="169"/>
      <c r="AM289" s="169"/>
      <c r="AN289" s="169"/>
      <c r="AO289" s="169"/>
    </row>
    <row r="290" spans="1:41" ht="15.75" customHeight="1">
      <c r="A290" s="134" t="s">
        <v>657</v>
      </c>
      <c r="B290" s="163">
        <f>('Pivot Table for Data Exchange'!$L$114)*100</f>
        <v>31.194785856391356</v>
      </c>
      <c r="C290" s="163">
        <f>('Pivot Table for Data Exchange'!$L$117)*100</f>
        <v>5.1731334903760482</v>
      </c>
      <c r="D290" s="164">
        <f t="shared" si="67"/>
        <v>63.632080653232606</v>
      </c>
      <c r="E290" s="163">
        <f>('Pivot Table for Data Exchange'!$L$120)*100</f>
        <v>63.632080653232606</v>
      </c>
      <c r="F290" s="163">
        <f>('Pivot Table for Data Exchange'!$L$123)*100</f>
        <v>0</v>
      </c>
      <c r="G290" s="170">
        <f>('Pivot Table for Data Exchange'!$L$126)*100</f>
        <v>0</v>
      </c>
      <c r="H290" s="175">
        <f>('Pivot Table for Data Exchange'!$L$129)*100</f>
        <v>0</v>
      </c>
      <c r="I290" s="134"/>
      <c r="J290" s="202"/>
      <c r="K290" s="202"/>
      <c r="L290" s="202"/>
      <c r="M290" s="202"/>
      <c r="N290" s="202"/>
      <c r="O290" s="202"/>
      <c r="P290" s="202"/>
      <c r="Q290" s="168">
        <f t="shared" si="65"/>
        <v>100</v>
      </c>
      <c r="R290" s="168"/>
      <c r="S290" s="169"/>
      <c r="U290" s="169"/>
      <c r="V290" s="169"/>
      <c r="W290" s="169"/>
      <c r="X290" s="169"/>
      <c r="Y290" s="169"/>
      <c r="Z290" s="169"/>
      <c r="AA290" s="169"/>
      <c r="AB290" s="169"/>
      <c r="AC290" s="169"/>
      <c r="AD290" s="169"/>
      <c r="AE290" s="169"/>
      <c r="AF290" s="169"/>
      <c r="AG290" s="169"/>
      <c r="AH290" s="169"/>
      <c r="AI290" s="169"/>
      <c r="AJ290" s="169"/>
      <c r="AK290" s="169"/>
      <c r="AL290" s="169"/>
      <c r="AM290" s="169"/>
      <c r="AN290" s="169"/>
      <c r="AO290" s="169"/>
    </row>
    <row r="291" spans="1:41" ht="15.75" customHeight="1">
      <c r="B291" s="163"/>
      <c r="C291" s="163"/>
      <c r="D291" s="164"/>
      <c r="E291" s="163"/>
      <c r="F291" s="163"/>
      <c r="G291" s="171"/>
      <c r="H291" s="163"/>
      <c r="I291" s="134"/>
      <c r="J291" s="202"/>
      <c r="K291" s="202"/>
      <c r="L291" s="202"/>
      <c r="M291" s="202"/>
      <c r="N291" s="202"/>
      <c r="O291" s="202"/>
      <c r="P291" s="202"/>
      <c r="Q291" s="168">
        <f t="shared" si="65"/>
        <v>0</v>
      </c>
      <c r="R291" s="168"/>
      <c r="S291" s="169"/>
      <c r="U291" s="169"/>
      <c r="V291" s="169"/>
      <c r="W291" s="169"/>
      <c r="X291" s="169"/>
      <c r="Y291" s="169"/>
      <c r="Z291" s="169"/>
      <c r="AA291" s="169"/>
      <c r="AB291" s="169"/>
      <c r="AC291" s="169"/>
      <c r="AD291" s="169"/>
      <c r="AE291" s="169"/>
      <c r="AF291" s="169"/>
      <c r="AG291" s="169"/>
      <c r="AH291" s="169"/>
      <c r="AI291" s="169"/>
      <c r="AJ291" s="169"/>
      <c r="AK291" s="169"/>
      <c r="AL291" s="169"/>
      <c r="AM291" s="169"/>
      <c r="AN291" s="169"/>
      <c r="AO291" s="169"/>
    </row>
    <row r="292" spans="1:41" ht="15.75" customHeight="1">
      <c r="A292" s="134" t="s">
        <v>622</v>
      </c>
      <c r="B292" s="163">
        <f>('Pivot Table for Data Exchange'!$L$150)*100</f>
        <v>0</v>
      </c>
      <c r="C292" s="163">
        <f>('Pivot Table for Data Exchange'!$L$153)*100</f>
        <v>0</v>
      </c>
      <c r="D292" s="164">
        <f t="shared" ref="D292:D295" si="68">SUM(E292:G292)</f>
        <v>0</v>
      </c>
      <c r="E292" s="163">
        <f>('Pivot Table for Data Exchange'!$L$156)*100</f>
        <v>0</v>
      </c>
      <c r="F292" s="163">
        <f>('Pivot Table for Data Exchange'!$L$159)*100</f>
        <v>0</v>
      </c>
      <c r="G292" s="171">
        <f>('Pivot Table for Data Exchange'!$L$162)*100</f>
        <v>0</v>
      </c>
      <c r="H292" s="163">
        <f>('Pivot Table for Data Exchange'!$L$165)*100</f>
        <v>0</v>
      </c>
      <c r="I292" s="134"/>
      <c r="J292" s="202"/>
      <c r="K292" s="202"/>
      <c r="L292" s="202"/>
      <c r="M292" s="202"/>
      <c r="N292" s="202"/>
      <c r="O292" s="202"/>
      <c r="P292" s="202"/>
      <c r="Q292" s="168">
        <f t="shared" si="65"/>
        <v>0</v>
      </c>
      <c r="R292" s="168"/>
      <c r="S292" s="169"/>
      <c r="T292" s="169"/>
      <c r="U292" s="169"/>
      <c r="V292" s="169"/>
      <c r="W292" s="169"/>
      <c r="X292" s="169"/>
      <c r="Y292" s="169"/>
      <c r="Z292" s="169"/>
      <c r="AA292" s="169"/>
      <c r="AB292" s="169"/>
      <c r="AC292" s="169"/>
      <c r="AD292" s="169"/>
      <c r="AE292" s="169"/>
      <c r="AF292" s="169"/>
      <c r="AG292" s="169"/>
      <c r="AH292" s="169"/>
      <c r="AI292" s="169"/>
      <c r="AJ292" s="169"/>
      <c r="AK292" s="169"/>
      <c r="AL292" s="169"/>
      <c r="AM292" s="169"/>
      <c r="AN292" s="169"/>
      <c r="AO292" s="169"/>
    </row>
    <row r="293" spans="1:41" ht="15.75" customHeight="1">
      <c r="A293" s="134" t="s">
        <v>623</v>
      </c>
      <c r="B293" s="163">
        <f>('Pivot Table for Data Exchange'!$L$186)*100</f>
        <v>46.604006305273501</v>
      </c>
      <c r="C293" s="163">
        <f>('Pivot Table for Data Exchange'!$L$189)*100</f>
        <v>6.7259662626924346</v>
      </c>
      <c r="D293" s="164">
        <f t="shared" si="68"/>
        <v>46.670027432034068</v>
      </c>
      <c r="E293" s="163">
        <f>('Pivot Table for Data Exchange'!$L$192)*100</f>
        <v>46.670027432034068</v>
      </c>
      <c r="F293" s="175">
        <f>('Pivot Table for Data Exchange'!$L$195)*100</f>
        <v>0</v>
      </c>
      <c r="G293" s="170">
        <f>('Pivot Table for Data Exchange'!$L$198)*100</f>
        <v>0</v>
      </c>
      <c r="H293" s="163">
        <f>('Pivot Table for Data Exchange'!$L$201)*100</f>
        <v>0</v>
      </c>
      <c r="I293" s="134"/>
      <c r="J293" s="202"/>
      <c r="K293" s="202"/>
      <c r="L293" s="202"/>
      <c r="M293" s="202"/>
      <c r="N293" s="202"/>
      <c r="O293" s="202"/>
      <c r="P293" s="202"/>
      <c r="Q293" s="168">
        <f t="shared" si="65"/>
        <v>100</v>
      </c>
      <c r="R293" s="168"/>
      <c r="S293" s="169"/>
      <c r="T293" s="169"/>
      <c r="U293" s="169"/>
      <c r="V293" s="169"/>
      <c r="W293" s="169"/>
      <c r="X293" s="169"/>
      <c r="Y293" s="169"/>
      <c r="Z293" s="169"/>
      <c r="AA293" s="169"/>
      <c r="AB293" s="169"/>
      <c r="AC293" s="169"/>
      <c r="AD293" s="169"/>
      <c r="AE293" s="169"/>
      <c r="AF293" s="169"/>
      <c r="AG293" s="169"/>
      <c r="AH293" s="169"/>
      <c r="AI293" s="169"/>
      <c r="AJ293" s="169"/>
      <c r="AK293" s="169"/>
      <c r="AL293" s="169"/>
      <c r="AM293" s="169"/>
      <c r="AN293" s="169"/>
      <c r="AO293" s="169"/>
    </row>
    <row r="294" spans="1:41" ht="15.75" customHeight="1">
      <c r="A294" s="134" t="s">
        <v>624</v>
      </c>
      <c r="B294" s="163">
        <f>('Pivot Table for Data Exchange'!$L$222)*100</f>
        <v>44.143373388796768</v>
      </c>
      <c r="C294" s="163">
        <f>('Pivot Table for Data Exchange'!$L$225)*100</f>
        <v>0</v>
      </c>
      <c r="D294" s="164">
        <f t="shared" si="68"/>
        <v>55.856626611203232</v>
      </c>
      <c r="E294" s="163">
        <f>('Pivot Table for Data Exchange'!$L$228)*100</f>
        <v>55.856626611203232</v>
      </c>
      <c r="F294" s="163">
        <f>('Pivot Table for Data Exchange'!$L$231)*100</f>
        <v>0</v>
      </c>
      <c r="G294" s="171">
        <f>('Pivot Table for Data Exchange'!$L$234)*100</f>
        <v>0</v>
      </c>
      <c r="H294" s="163">
        <f>('Pivot Table for Data Exchange'!$L$237)*100</f>
        <v>0</v>
      </c>
      <c r="I294" s="134"/>
      <c r="J294" s="202"/>
      <c r="K294" s="202"/>
      <c r="L294" s="202"/>
      <c r="M294" s="202"/>
      <c r="N294" s="202"/>
      <c r="O294" s="202"/>
      <c r="P294" s="202"/>
      <c r="Q294" s="168">
        <f t="shared" si="65"/>
        <v>100</v>
      </c>
      <c r="R294" s="168"/>
      <c r="S294" s="169"/>
      <c r="T294" s="143"/>
      <c r="U294" s="169"/>
      <c r="V294" s="169"/>
      <c r="W294" s="169"/>
      <c r="X294" s="169"/>
      <c r="Y294" s="169"/>
      <c r="Z294" s="169"/>
      <c r="AA294" s="169"/>
      <c r="AB294" s="169"/>
      <c r="AC294" s="169"/>
      <c r="AD294" s="169"/>
      <c r="AE294" s="169"/>
      <c r="AF294" s="169"/>
      <c r="AG294" s="169"/>
      <c r="AH294" s="169"/>
      <c r="AI294" s="169"/>
      <c r="AJ294" s="169"/>
      <c r="AK294" s="169"/>
      <c r="AL294" s="169"/>
      <c r="AM294" s="169"/>
      <c r="AN294" s="169"/>
      <c r="AO294" s="169"/>
    </row>
    <row r="295" spans="1:41" ht="15.75" customHeight="1">
      <c r="A295" s="134" t="s">
        <v>625</v>
      </c>
      <c r="B295" s="163">
        <f>('Pivot Table for Data Exchange'!$L$258)*100</f>
        <v>26.209077259220965</v>
      </c>
      <c r="C295" s="163">
        <f>('Pivot Table for Data Exchange'!$L$261)*100</f>
        <v>9.285025916775524</v>
      </c>
      <c r="D295" s="164">
        <f t="shared" si="68"/>
        <v>64.505896824003514</v>
      </c>
      <c r="E295" s="163">
        <f>('Pivot Table for Data Exchange'!$L$264)*100</f>
        <v>63.553390947665953</v>
      </c>
      <c r="F295" s="163">
        <f>('Pivot Table for Data Exchange'!$L$267)*100</f>
        <v>0.95250587633755857</v>
      </c>
      <c r="G295" s="170">
        <f>('Pivot Table for Data Exchange'!$L$270)*100</f>
        <v>0</v>
      </c>
      <c r="H295" s="163">
        <f>('Pivot Table for Data Exchange'!$L$273)*100</f>
        <v>0</v>
      </c>
      <c r="I295" s="134"/>
      <c r="J295" s="202"/>
      <c r="K295" s="202"/>
      <c r="L295" s="202"/>
      <c r="M295" s="202"/>
      <c r="N295" s="202"/>
      <c r="O295" s="202"/>
      <c r="P295" s="202"/>
      <c r="Q295" s="168">
        <f t="shared" si="65"/>
        <v>100</v>
      </c>
      <c r="R295" s="168"/>
      <c r="S295" s="169"/>
      <c r="U295" s="169"/>
      <c r="V295" s="169"/>
      <c r="W295" s="169"/>
      <c r="X295" s="169"/>
      <c r="Y295" s="169"/>
      <c r="Z295" s="169"/>
      <c r="AA295" s="169"/>
      <c r="AB295" s="169"/>
      <c r="AC295" s="169"/>
      <c r="AD295" s="169"/>
      <c r="AE295" s="169"/>
      <c r="AF295" s="169"/>
      <c r="AG295" s="169"/>
      <c r="AH295" s="169"/>
      <c r="AI295" s="169"/>
      <c r="AJ295" s="169"/>
      <c r="AK295" s="169"/>
      <c r="AL295" s="169"/>
      <c r="AM295" s="169"/>
      <c r="AN295" s="169"/>
      <c r="AO295" s="169"/>
    </row>
    <row r="296" spans="1:41" ht="9.75" customHeight="1">
      <c r="B296" s="163"/>
      <c r="C296" s="163"/>
      <c r="D296" s="164"/>
      <c r="E296" s="163"/>
      <c r="F296" s="163"/>
      <c r="G296" s="171"/>
      <c r="H296" s="163"/>
      <c r="I296" s="134"/>
      <c r="J296" s="202"/>
      <c r="K296" s="202"/>
      <c r="L296" s="202"/>
      <c r="M296" s="202"/>
      <c r="N296" s="202"/>
      <c r="O296" s="202"/>
      <c r="P296" s="202"/>
      <c r="Q296" s="168">
        <f t="shared" si="65"/>
        <v>0</v>
      </c>
      <c r="R296" s="168"/>
      <c r="S296" s="169"/>
      <c r="U296" s="169"/>
      <c r="V296" s="169"/>
      <c r="W296" s="169"/>
      <c r="X296" s="169"/>
      <c r="Y296" s="169"/>
      <c r="Z296" s="169"/>
      <c r="AA296" s="169"/>
      <c r="AB296" s="169"/>
      <c r="AC296" s="169"/>
      <c r="AD296" s="169"/>
      <c r="AE296" s="169"/>
      <c r="AF296" s="169"/>
      <c r="AG296" s="169"/>
      <c r="AH296" s="169"/>
      <c r="AI296" s="169"/>
      <c r="AJ296" s="169"/>
      <c r="AK296" s="169"/>
      <c r="AL296" s="169"/>
      <c r="AM296" s="169"/>
      <c r="AN296" s="169"/>
      <c r="AO296" s="169"/>
    </row>
    <row r="297" spans="1:41" ht="15.75" customHeight="1">
      <c r="A297" s="134" t="s">
        <v>672</v>
      </c>
      <c r="B297" s="163">
        <f>('Pivot Table for Data Exchange'!$L$294)*100</f>
        <v>52.507936669772093</v>
      </c>
      <c r="C297" s="163">
        <f>('Pivot Table for Data Exchange'!$L$297)*100</f>
        <v>6.6390194851455879</v>
      </c>
      <c r="D297" s="164">
        <f t="shared" ref="D297:D299" si="69">SUM(E297:G297)</f>
        <v>40.853043845082318</v>
      </c>
      <c r="E297" s="163">
        <f>('Pivot Table for Data Exchange'!$L$300)*100</f>
        <v>40.853043845082318</v>
      </c>
      <c r="F297" s="163">
        <f>('Pivot Table for Data Exchange'!$L$303)*100</f>
        <v>0</v>
      </c>
      <c r="G297" s="171">
        <f>('Pivot Table for Data Exchange'!$L$306)*100</f>
        <v>0</v>
      </c>
      <c r="H297" s="163">
        <f>('Pivot Table for Data Exchange'!$L$309)*100</f>
        <v>0</v>
      </c>
      <c r="I297" s="209"/>
      <c r="J297" s="202"/>
      <c r="K297" s="202"/>
      <c r="L297" s="202"/>
      <c r="M297" s="202"/>
      <c r="N297" s="202"/>
      <c r="O297" s="202"/>
      <c r="P297" s="202"/>
      <c r="Q297" s="168">
        <f t="shared" si="65"/>
        <v>100</v>
      </c>
      <c r="R297" s="168"/>
      <c r="S297" s="169"/>
      <c r="T297" s="169"/>
      <c r="U297" s="169"/>
      <c r="V297" s="169"/>
      <c r="W297" s="169"/>
      <c r="X297" s="169"/>
      <c r="Y297" s="169"/>
      <c r="Z297" s="169"/>
      <c r="AA297" s="169"/>
      <c r="AB297" s="169"/>
      <c r="AC297" s="169"/>
      <c r="AD297" s="169"/>
      <c r="AE297" s="169"/>
      <c r="AF297" s="169"/>
      <c r="AG297" s="169"/>
      <c r="AH297" s="169"/>
      <c r="AI297" s="169"/>
      <c r="AJ297" s="169"/>
      <c r="AK297" s="169"/>
      <c r="AL297" s="169"/>
      <c r="AM297" s="169"/>
      <c r="AN297" s="169"/>
      <c r="AO297" s="169"/>
    </row>
    <row r="298" spans="1:41" ht="15.75" customHeight="1">
      <c r="A298" s="134" t="s">
        <v>627</v>
      </c>
      <c r="B298" s="163">
        <f>('Pivot Table for Data Exchange'!$L$330)*100</f>
        <v>33.276157353208127</v>
      </c>
      <c r="C298" s="163">
        <f>('Pivot Table for Data Exchange'!$L$333)*100</f>
        <v>2.0492949106282512</v>
      </c>
      <c r="D298" s="164">
        <f t="shared" si="69"/>
        <v>64.674547736163618</v>
      </c>
      <c r="E298" s="163">
        <f>('Pivot Table for Data Exchange'!$L$336)*100</f>
        <v>64.674547736163618</v>
      </c>
      <c r="F298" s="163">
        <f>('Pivot Table for Data Exchange'!$L$339)*100</f>
        <v>0</v>
      </c>
      <c r="G298" s="171">
        <f>('Pivot Table for Data Exchange'!$L$342)*100</f>
        <v>0</v>
      </c>
      <c r="H298" s="163">
        <f>('Pivot Table for Data Exchange'!$L$345)*100</f>
        <v>0</v>
      </c>
      <c r="I298" s="134"/>
      <c r="J298" s="202"/>
      <c r="K298" s="202"/>
      <c r="L298" s="202"/>
      <c r="M298" s="202"/>
      <c r="N298" s="202"/>
      <c r="O298" s="202"/>
      <c r="P298" s="202"/>
      <c r="Q298" s="168">
        <f t="shared" si="65"/>
        <v>100</v>
      </c>
      <c r="R298" s="168"/>
      <c r="S298" s="169"/>
      <c r="T298" s="169"/>
      <c r="U298" s="169"/>
      <c r="V298" s="169"/>
      <c r="W298" s="169"/>
      <c r="X298" s="169"/>
      <c r="Y298" s="169"/>
      <c r="Z298" s="169"/>
      <c r="AA298" s="169"/>
      <c r="AB298" s="169"/>
      <c r="AC298" s="169"/>
      <c r="AD298" s="169"/>
      <c r="AE298" s="169"/>
      <c r="AF298" s="169"/>
      <c r="AG298" s="169"/>
      <c r="AH298" s="169"/>
      <c r="AI298" s="169"/>
      <c r="AJ298" s="169"/>
      <c r="AK298" s="169"/>
      <c r="AL298" s="169"/>
      <c r="AM298" s="169"/>
      <c r="AN298" s="169"/>
      <c r="AO298" s="169"/>
    </row>
    <row r="299" spans="1:41" ht="15.75" customHeight="1">
      <c r="A299" s="134" t="s">
        <v>628</v>
      </c>
      <c r="B299" s="163">
        <f>('Pivot Table for Data Exchange'!$L$366)*100</f>
        <v>0</v>
      </c>
      <c r="C299" s="163">
        <f>('Pivot Table for Data Exchange'!$L$369)*100</f>
        <v>0</v>
      </c>
      <c r="D299" s="164">
        <f t="shared" si="69"/>
        <v>0</v>
      </c>
      <c r="E299" s="163">
        <f>('Pivot Table for Data Exchange'!$L$372)*100</f>
        <v>0</v>
      </c>
      <c r="F299" s="163">
        <f>('Pivot Table for Data Exchange'!$L$375)*100</f>
        <v>0</v>
      </c>
      <c r="G299" s="171">
        <f>('Pivot Table for Data Exchange'!$L$378)*100</f>
        <v>0</v>
      </c>
      <c r="H299" s="175">
        <f>('Pivot Table for Data Exchange'!$L$381)*100</f>
        <v>0</v>
      </c>
      <c r="I299" s="134"/>
      <c r="J299" s="202"/>
      <c r="K299" s="202"/>
      <c r="L299" s="202"/>
      <c r="M299" s="202"/>
      <c r="N299" s="202"/>
      <c r="O299" s="202"/>
      <c r="P299" s="202"/>
      <c r="Q299" s="168">
        <f t="shared" si="65"/>
        <v>0</v>
      </c>
      <c r="R299" s="168"/>
      <c r="S299" s="169"/>
      <c r="T299" s="143"/>
      <c r="U299" s="169"/>
      <c r="V299" s="169"/>
      <c r="W299" s="169"/>
      <c r="X299" s="169"/>
      <c r="Y299" s="169"/>
      <c r="Z299" s="169"/>
      <c r="AA299" s="169"/>
      <c r="AB299" s="169"/>
      <c r="AC299" s="169"/>
      <c r="AD299" s="169"/>
      <c r="AE299" s="169"/>
      <c r="AF299" s="169"/>
      <c r="AG299" s="169"/>
      <c r="AH299" s="169"/>
      <c r="AI299" s="169"/>
      <c r="AJ299" s="169"/>
      <c r="AK299" s="169"/>
      <c r="AL299" s="169"/>
      <c r="AM299" s="169"/>
      <c r="AN299" s="169"/>
      <c r="AO299" s="169"/>
    </row>
    <row r="300" spans="1:41" ht="15.75" customHeight="1">
      <c r="A300" s="134" t="s">
        <v>629</v>
      </c>
      <c r="B300" s="163">
        <f>('Pivot Table for Data Exchange'!$L$402)*100</f>
        <v>30.917703957692495</v>
      </c>
      <c r="C300" s="163">
        <f>('Pivot Table for Data Exchange'!$L$405)*100</f>
        <v>6.8819527899361628</v>
      </c>
      <c r="D300" s="164">
        <f>SUM(E300:G300)</f>
        <v>62.200343252371347</v>
      </c>
      <c r="E300" s="163">
        <f>('Pivot Table for Data Exchange'!$L$408)*100</f>
        <v>62.200343252371347</v>
      </c>
      <c r="F300" s="163">
        <f>('Pivot Table for Data Exchange'!$L$411)*100</f>
        <v>0</v>
      </c>
      <c r="G300" s="171">
        <f>('Pivot Table for Data Exchange'!$L$414)*100</f>
        <v>0</v>
      </c>
      <c r="H300" s="163">
        <f>('Pivot Table for Data Exchange'!$L$417)*100</f>
        <v>0</v>
      </c>
      <c r="I300" s="134"/>
      <c r="J300" s="202"/>
      <c r="K300" s="202"/>
      <c r="L300" s="202"/>
      <c r="M300" s="202"/>
      <c r="N300" s="202"/>
      <c r="O300" s="202"/>
      <c r="P300" s="202"/>
      <c r="Q300" s="168">
        <f t="shared" si="65"/>
        <v>100</v>
      </c>
      <c r="R300" s="168"/>
      <c r="S300" s="169"/>
      <c r="T300" s="169"/>
      <c r="U300" s="169"/>
      <c r="V300" s="169"/>
      <c r="W300" s="169"/>
      <c r="X300" s="169"/>
      <c r="Y300" s="169"/>
      <c r="Z300" s="169"/>
      <c r="AA300" s="169"/>
      <c r="AB300" s="169"/>
      <c r="AC300" s="169"/>
      <c r="AD300" s="169"/>
      <c r="AE300" s="169"/>
      <c r="AF300" s="169"/>
      <c r="AG300" s="169"/>
      <c r="AH300" s="169"/>
      <c r="AI300" s="169"/>
      <c r="AJ300" s="169"/>
      <c r="AK300" s="169"/>
      <c r="AL300" s="169"/>
      <c r="AM300" s="169"/>
      <c r="AN300" s="169"/>
      <c r="AO300" s="169"/>
    </row>
    <row r="301" spans="1:41" ht="11.25" customHeight="1">
      <c r="B301" s="163"/>
      <c r="C301" s="163"/>
      <c r="D301" s="164"/>
      <c r="E301" s="163"/>
      <c r="F301" s="163"/>
      <c r="G301" s="171"/>
      <c r="H301" s="163"/>
      <c r="I301" s="134"/>
      <c r="J301" s="202"/>
      <c r="K301" s="202"/>
      <c r="L301" s="202"/>
      <c r="M301" s="202"/>
      <c r="N301" s="202"/>
      <c r="O301" s="202"/>
      <c r="P301" s="202"/>
      <c r="Q301" s="168">
        <f t="shared" si="65"/>
        <v>0</v>
      </c>
      <c r="R301" s="168"/>
      <c r="S301" s="169"/>
      <c r="T301" s="169"/>
      <c r="U301" s="169"/>
      <c r="V301" s="169"/>
      <c r="W301" s="169"/>
      <c r="X301" s="169"/>
      <c r="Y301" s="169"/>
      <c r="Z301" s="169"/>
      <c r="AA301" s="169"/>
      <c r="AB301" s="169"/>
      <c r="AC301" s="169"/>
      <c r="AD301" s="169"/>
      <c r="AE301" s="169"/>
      <c r="AF301" s="169"/>
      <c r="AG301" s="169"/>
      <c r="AH301" s="169"/>
      <c r="AI301" s="169"/>
      <c r="AJ301" s="169"/>
      <c r="AK301" s="169"/>
      <c r="AL301" s="169"/>
      <c r="AM301" s="169"/>
      <c r="AN301" s="169"/>
      <c r="AO301" s="169"/>
    </row>
    <row r="302" spans="1:41" ht="15.75" customHeight="1">
      <c r="A302" s="134" t="s">
        <v>630</v>
      </c>
      <c r="B302" s="163">
        <f>('Pivot Table for Data Exchange'!$L$438)*100</f>
        <v>19.391538620493364</v>
      </c>
      <c r="C302" s="163">
        <f>('Pivot Table for Data Exchange'!$L$441)*100</f>
        <v>15.418305826636983</v>
      </c>
      <c r="D302" s="164">
        <f>SUM(E302:G302)</f>
        <v>65.054733971972155</v>
      </c>
      <c r="E302" s="163">
        <f>('Pivot Table for Data Exchange'!$L$444)*100</f>
        <v>51.413673940703021</v>
      </c>
      <c r="F302" s="163">
        <f>('Pivot Table for Data Exchange'!$L$447)*100</f>
        <v>0.18779672206994874</v>
      </c>
      <c r="G302" s="171">
        <f>('Pivot Table for Data Exchange'!$L$450)*100</f>
        <v>13.453263309199182</v>
      </c>
      <c r="H302" s="163">
        <f>('Pivot Table for Data Exchange'!$L$453)*100</f>
        <v>0.13542158089749937</v>
      </c>
      <c r="I302" s="134"/>
      <c r="J302" s="202"/>
      <c r="K302" s="202"/>
      <c r="L302" s="202"/>
      <c r="M302" s="202"/>
      <c r="N302" s="202"/>
      <c r="O302" s="202"/>
      <c r="P302" s="202"/>
      <c r="Q302" s="168">
        <f t="shared" si="65"/>
        <v>100</v>
      </c>
      <c r="R302" s="168"/>
      <c r="S302" s="169"/>
      <c r="T302" s="169"/>
      <c r="U302" s="169"/>
      <c r="V302" s="169"/>
      <c r="W302" s="169"/>
      <c r="X302" s="169"/>
      <c r="Y302" s="169"/>
      <c r="Z302" s="169"/>
      <c r="AA302" s="169"/>
      <c r="AB302" s="169"/>
      <c r="AC302" s="169"/>
      <c r="AD302" s="169"/>
      <c r="AE302" s="169"/>
      <c r="AF302" s="169"/>
      <c r="AG302" s="169"/>
      <c r="AH302" s="169"/>
      <c r="AI302" s="169"/>
      <c r="AJ302" s="169"/>
      <c r="AK302" s="169"/>
      <c r="AL302" s="169"/>
      <c r="AM302" s="169"/>
      <c r="AN302" s="169"/>
      <c r="AO302" s="169"/>
    </row>
    <row r="303" spans="1:41" ht="15.75" customHeight="1">
      <c r="A303" s="134" t="s">
        <v>631</v>
      </c>
      <c r="B303" s="163">
        <f>('Pivot Table for Data Exchange'!$L$474)*100</f>
        <v>33.593472773086027</v>
      </c>
      <c r="C303" s="163">
        <f>('Pivot Table for Data Exchange'!$L$477)*100</f>
        <v>7.9273347941730954</v>
      </c>
      <c r="D303" s="164">
        <f>SUM(E303:G303)</f>
        <v>58.479192432740888</v>
      </c>
      <c r="E303" s="163">
        <f>('Pivot Table for Data Exchange'!$L$480)*100</f>
        <v>58.066591613421416</v>
      </c>
      <c r="F303" s="163">
        <f>('Pivot Table for Data Exchange'!$L$483)*100</f>
        <v>0.40833574128319622</v>
      </c>
      <c r="G303" s="171">
        <f>('Pivot Table for Data Exchange'!$L$486)*100</f>
        <v>4.2650780362731748E-3</v>
      </c>
      <c r="H303" s="163">
        <f>('Pivot Table for Data Exchange'!$L$489)*100</f>
        <v>0</v>
      </c>
      <c r="I303" s="134"/>
      <c r="J303" s="202"/>
      <c r="K303" s="202"/>
      <c r="L303" s="202"/>
      <c r="M303" s="202"/>
      <c r="N303" s="202"/>
      <c r="O303" s="202"/>
      <c r="P303" s="202"/>
      <c r="Q303" s="168">
        <f t="shared" si="65"/>
        <v>100.00000000000001</v>
      </c>
      <c r="R303" s="168"/>
      <c r="S303" s="169"/>
      <c r="T303" s="169"/>
      <c r="U303" s="169"/>
      <c r="V303" s="169"/>
      <c r="W303" s="169"/>
      <c r="X303" s="169"/>
      <c r="Y303" s="169"/>
      <c r="Z303" s="169"/>
      <c r="AA303" s="169"/>
      <c r="AB303" s="169"/>
      <c r="AC303" s="169"/>
      <c r="AD303" s="169"/>
      <c r="AE303" s="169"/>
      <c r="AF303" s="169"/>
      <c r="AG303" s="169"/>
      <c r="AH303" s="169"/>
      <c r="AI303" s="169"/>
      <c r="AJ303" s="169"/>
      <c r="AK303" s="169"/>
      <c r="AL303" s="169"/>
      <c r="AM303" s="169"/>
      <c r="AN303" s="169"/>
      <c r="AO303" s="169"/>
    </row>
    <row r="304" spans="1:41" ht="15.75" customHeight="1">
      <c r="A304" s="134" t="s">
        <v>632</v>
      </c>
      <c r="B304" s="163">
        <f>('Pivot Table for Data Exchange'!$L$510)*100</f>
        <v>34.489797832332449</v>
      </c>
      <c r="C304" s="163">
        <f>('Pivot Table for Data Exchange'!$L$513)*100</f>
        <v>10.629949075130595</v>
      </c>
      <c r="D304" s="164">
        <f t="shared" ref="D304" si="70">SUM(E304:G304)</f>
        <v>54.880253092536961</v>
      </c>
      <c r="E304" s="163">
        <f>('Pivot Table for Data Exchange'!$L$516)*100</f>
        <v>50.739926785731036</v>
      </c>
      <c r="F304" s="163">
        <f>('Pivot Table for Data Exchange'!$L$519)*100</f>
        <v>3.4327551010838335</v>
      </c>
      <c r="G304" s="171">
        <f>('Pivot Table for Data Exchange'!$L$522)*100</f>
        <v>0.70757120572209209</v>
      </c>
      <c r="H304" s="163">
        <f>('Pivot Table for Data Exchange'!$L$525)*100</f>
        <v>0</v>
      </c>
      <c r="I304" s="134"/>
      <c r="J304" s="202"/>
      <c r="K304" s="202"/>
      <c r="L304" s="202"/>
      <c r="M304" s="202"/>
      <c r="N304" s="202"/>
      <c r="O304" s="202"/>
      <c r="P304" s="202"/>
      <c r="Q304" s="168">
        <f t="shared" si="65"/>
        <v>100</v>
      </c>
      <c r="R304" s="168"/>
      <c r="S304" s="169"/>
      <c r="T304" s="169"/>
      <c r="U304" s="169"/>
      <c r="V304" s="169"/>
      <c r="W304" s="169"/>
      <c r="X304" s="169"/>
      <c r="Y304" s="169"/>
      <c r="Z304" s="169"/>
      <c r="AA304" s="169"/>
      <c r="AB304" s="169"/>
      <c r="AC304" s="169"/>
      <c r="AD304" s="169"/>
      <c r="AE304" s="169"/>
      <c r="AF304" s="169"/>
      <c r="AG304" s="169"/>
      <c r="AH304" s="169"/>
      <c r="AI304" s="169"/>
      <c r="AJ304" s="169"/>
      <c r="AK304" s="169"/>
      <c r="AL304" s="169"/>
      <c r="AM304" s="169"/>
      <c r="AN304" s="169"/>
      <c r="AO304" s="169"/>
    </row>
    <row r="305" spans="1:41" ht="15.75" customHeight="1">
      <c r="A305" s="140" t="s">
        <v>633</v>
      </c>
      <c r="B305" s="176">
        <f>('Pivot Table for Data Exchange'!$L$546)*100</f>
        <v>0</v>
      </c>
      <c r="C305" s="176">
        <f>('Pivot Table for Data Exchange'!$L$549)*100</f>
        <v>0</v>
      </c>
      <c r="D305" s="177">
        <f>SUM(E305:G305)</f>
        <v>0</v>
      </c>
      <c r="E305" s="176">
        <f>('Pivot Table for Data Exchange'!$L$552)*100</f>
        <v>0</v>
      </c>
      <c r="F305" s="176">
        <f>('Pivot Table for Data Exchange'!$L$555)*100</f>
        <v>0</v>
      </c>
      <c r="G305" s="178">
        <f>('Pivot Table for Data Exchange'!$L$558)*100</f>
        <v>0</v>
      </c>
      <c r="H305" s="176">
        <f>('Pivot Table for Data Exchange'!$L$561)*100</f>
        <v>0</v>
      </c>
      <c r="I305" s="134"/>
      <c r="J305" s="202"/>
      <c r="K305" s="202"/>
      <c r="L305" s="202"/>
      <c r="M305" s="202"/>
      <c r="N305" s="202"/>
      <c r="O305" s="202"/>
      <c r="P305" s="202"/>
      <c r="Q305" s="168">
        <f t="shared" si="65"/>
        <v>0</v>
      </c>
      <c r="R305" s="168"/>
      <c r="S305" s="169"/>
      <c r="T305" s="169"/>
      <c r="U305" s="169"/>
      <c r="V305" s="169"/>
      <c r="W305" s="169"/>
      <c r="X305" s="169"/>
      <c r="Y305" s="169"/>
      <c r="Z305" s="169"/>
      <c r="AA305" s="169"/>
      <c r="AB305" s="169"/>
      <c r="AC305" s="169"/>
      <c r="AD305" s="169"/>
      <c r="AE305" s="169"/>
      <c r="AF305" s="169"/>
      <c r="AG305" s="169"/>
      <c r="AH305" s="169"/>
      <c r="AI305" s="169"/>
      <c r="AJ305" s="169"/>
      <c r="AK305" s="169"/>
      <c r="AL305" s="169"/>
      <c r="AM305" s="169"/>
      <c r="AN305" s="169"/>
      <c r="AO305" s="169"/>
    </row>
    <row r="306" spans="1:41" s="181" customFormat="1" ht="13.5" customHeight="1">
      <c r="A306" s="182" t="s">
        <v>658</v>
      </c>
      <c r="B306" s="183"/>
      <c r="C306" s="183"/>
      <c r="D306" s="184"/>
      <c r="E306" s="183"/>
      <c r="F306" s="184"/>
      <c r="G306" s="184"/>
      <c r="H306" s="183"/>
      <c r="I306" s="192"/>
      <c r="J306" s="183"/>
      <c r="K306" s="183"/>
      <c r="L306" s="184"/>
      <c r="M306" s="183"/>
      <c r="N306" s="184"/>
      <c r="O306" s="184"/>
      <c r="P306" s="183"/>
      <c r="Q306" s="168">
        <f t="shared" si="65"/>
        <v>0</v>
      </c>
      <c r="R306" s="203"/>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row>
    <row r="307" spans="1:41" s="181" customFormat="1" ht="24" customHeight="1">
      <c r="A307" s="633" t="s">
        <v>673</v>
      </c>
      <c r="B307" s="650"/>
      <c r="C307" s="650"/>
      <c r="D307" s="650"/>
      <c r="E307" s="650"/>
      <c r="F307" s="650"/>
      <c r="G307" s="650"/>
      <c r="H307" s="650"/>
      <c r="I307" s="192"/>
      <c r="P307" s="194"/>
      <c r="Q307" s="168">
        <f t="shared" si="65"/>
        <v>0</v>
      </c>
      <c r="R307" s="204"/>
    </row>
    <row r="308" spans="1:41" s="181" customFormat="1" ht="13.5" customHeight="1">
      <c r="A308" s="192"/>
      <c r="I308" s="192"/>
      <c r="Q308" s="168">
        <f t="shared" si="65"/>
        <v>0</v>
      </c>
      <c r="R308" s="204"/>
    </row>
    <row r="309" spans="1:41" s="181" customFormat="1">
      <c r="H309" s="187" t="s">
        <v>992</v>
      </c>
      <c r="I309" s="208"/>
      <c r="Q309" s="168">
        <f t="shared" si="65"/>
        <v>0</v>
      </c>
      <c r="R309" s="204"/>
    </row>
    <row r="310" spans="1:41" ht="18">
      <c r="A310" s="129" t="s">
        <v>677</v>
      </c>
      <c r="B310" s="130"/>
      <c r="C310" s="130"/>
      <c r="D310" s="130"/>
      <c r="E310" s="130"/>
      <c r="F310" s="130"/>
      <c r="G310" s="130"/>
      <c r="H310" s="130"/>
      <c r="Q310" s="168">
        <f t="shared" si="65"/>
        <v>0</v>
      </c>
    </row>
    <row r="311" spans="1:41">
      <c r="A311" s="135"/>
      <c r="B311" s="131"/>
      <c r="C311" s="131"/>
      <c r="D311" s="131"/>
      <c r="E311" s="131"/>
      <c r="F311" s="131"/>
      <c r="G311" s="131"/>
      <c r="H311" s="131"/>
      <c r="Q311" s="168">
        <f t="shared" si="65"/>
        <v>0</v>
      </c>
    </row>
    <row r="312" spans="1:41" ht="15.75">
      <c r="A312" s="137" t="s">
        <v>639</v>
      </c>
      <c r="B312" s="131"/>
      <c r="C312" s="131"/>
      <c r="D312" s="131"/>
      <c r="E312" s="131"/>
      <c r="F312" s="131"/>
      <c r="G312" s="131"/>
      <c r="H312" s="131"/>
      <c r="Q312" s="168">
        <f t="shared" si="65"/>
        <v>0</v>
      </c>
    </row>
    <row r="313" spans="1:41" ht="15.75">
      <c r="A313" s="137" t="s">
        <v>873</v>
      </c>
      <c r="B313" s="131"/>
      <c r="C313" s="131"/>
      <c r="D313" s="131"/>
      <c r="E313" s="131"/>
      <c r="F313" s="131"/>
      <c r="G313" s="131"/>
      <c r="H313" s="131"/>
      <c r="Q313" s="168">
        <f t="shared" si="65"/>
        <v>0</v>
      </c>
    </row>
    <row r="314" spans="1:41">
      <c r="A314" s="140"/>
      <c r="B314" s="141"/>
      <c r="C314" s="141"/>
      <c r="D314" s="141"/>
      <c r="E314" s="141"/>
      <c r="F314" s="141"/>
      <c r="G314" s="141"/>
      <c r="H314" s="141"/>
      <c r="Q314" s="168">
        <f t="shared" si="65"/>
        <v>0</v>
      </c>
    </row>
    <row r="315" spans="1:41">
      <c r="A315" s="145"/>
      <c r="B315" s="146" t="s">
        <v>641</v>
      </c>
      <c r="C315" s="146"/>
      <c r="D315" s="146"/>
      <c r="E315" s="146"/>
      <c r="F315" s="146"/>
      <c r="G315" s="146"/>
      <c r="H315" s="147"/>
      <c r="Q315" s="168">
        <f t="shared" si="65"/>
        <v>0</v>
      </c>
    </row>
    <row r="316" spans="1:41">
      <c r="A316" s="145"/>
      <c r="B316" s="146" t="s">
        <v>642</v>
      </c>
      <c r="C316" s="146"/>
      <c r="D316" s="639" t="s">
        <v>643</v>
      </c>
      <c r="E316" s="637"/>
      <c r="F316" s="637"/>
      <c r="G316" s="637"/>
      <c r="H316" s="153" t="s">
        <v>533</v>
      </c>
      <c r="Q316" s="168">
        <f t="shared" si="65"/>
        <v>0</v>
      </c>
    </row>
    <row r="317" spans="1:41" ht="36">
      <c r="A317" s="145"/>
      <c r="B317" s="154" t="s">
        <v>644</v>
      </c>
      <c r="C317" s="155" t="s">
        <v>645</v>
      </c>
      <c r="D317" s="156" t="s">
        <v>646</v>
      </c>
      <c r="E317" s="157" t="s">
        <v>8</v>
      </c>
      <c r="F317" s="154" t="s">
        <v>647</v>
      </c>
      <c r="G317" s="158" t="s">
        <v>656</v>
      </c>
      <c r="H317" s="159" t="s">
        <v>649</v>
      </c>
      <c r="Q317" s="168">
        <f t="shared" si="65"/>
        <v>0</v>
      </c>
    </row>
    <row r="318" spans="1:41" ht="15.75" customHeight="1">
      <c r="A318" s="189" t="s">
        <v>618</v>
      </c>
      <c r="B318" s="163">
        <f>('Pivot Table for Data Exchange'!$M$6)*100</f>
        <v>49.782127285345709</v>
      </c>
      <c r="C318" s="163">
        <f>('Pivot Table for Data Exchange'!$M$9)*100</f>
        <v>6.3985706490355332</v>
      </c>
      <c r="D318" s="164">
        <f>SUM(E318:G318)</f>
        <v>43.753211801416633</v>
      </c>
      <c r="E318" s="163">
        <f>('Pivot Table for Data Exchange'!$M$12)*100</f>
        <v>42.88013159776856</v>
      </c>
      <c r="F318" s="163">
        <f>('Pivot Table for Data Exchange'!$M$15)*100</f>
        <v>0.28515498762959784</v>
      </c>
      <c r="G318" s="167">
        <f>('Pivot Table for Data Exchange'!$M$18)*100</f>
        <v>0.5879252160184788</v>
      </c>
      <c r="H318" s="163">
        <f>('Pivot Table for Data Exchange'!$M$21)*100</f>
        <v>6.6090264202122301E-2</v>
      </c>
      <c r="I318" s="134"/>
      <c r="J318" s="202"/>
      <c r="K318" s="202"/>
      <c r="L318" s="202"/>
      <c r="M318" s="202"/>
      <c r="N318" s="202"/>
      <c r="O318" s="202"/>
      <c r="P318" s="202"/>
      <c r="Q318" s="168">
        <f t="shared" si="65"/>
        <v>99.999999999999986</v>
      </c>
      <c r="R318" s="168"/>
      <c r="S318" s="169"/>
      <c r="T318" s="169"/>
      <c r="U318" s="169"/>
      <c r="V318" s="169"/>
      <c r="W318" s="169"/>
      <c r="X318" s="169"/>
      <c r="Y318" s="169"/>
      <c r="Z318" s="169"/>
      <c r="AA318" s="169"/>
      <c r="AB318" s="169"/>
      <c r="AC318" s="169"/>
      <c r="AD318" s="169"/>
      <c r="AE318" s="169"/>
      <c r="AF318" s="169"/>
      <c r="AG318" s="169"/>
      <c r="AH318" s="169"/>
      <c r="AI318" s="169"/>
      <c r="AJ318" s="169"/>
      <c r="AK318" s="169"/>
      <c r="AL318" s="169"/>
      <c r="AM318" s="169"/>
      <c r="AN318" s="169"/>
      <c r="AO318" s="169"/>
    </row>
    <row r="319" spans="1:41" ht="15.75" customHeight="1">
      <c r="A319" s="134" t="s">
        <v>619</v>
      </c>
      <c r="B319" s="163">
        <f>('Pivot Table for Data Exchange'!$M$42)*100</f>
        <v>57.558548809061016</v>
      </c>
      <c r="C319" s="163">
        <f>('Pivot Table for Data Exchange'!$M$45)*100</f>
        <v>5.221849816657385</v>
      </c>
      <c r="D319" s="164">
        <f t="shared" ref="D319:D321" si="71">SUM(E319:G319)</f>
        <v>37.219601374281602</v>
      </c>
      <c r="E319" s="163">
        <f>('Pivot Table for Data Exchange'!$M$48)*100</f>
        <v>37.16391565189069</v>
      </c>
      <c r="F319" s="163">
        <f>('Pivot Table for Data Exchange'!$M$51)*100</f>
        <v>5.5685722390913767E-2</v>
      </c>
      <c r="G319" s="171">
        <f>('Pivot Table for Data Exchange'!$M$54)*100</f>
        <v>0</v>
      </c>
      <c r="H319" s="163">
        <f>('Pivot Table for Data Exchange'!$M$57)*100</f>
        <v>0</v>
      </c>
      <c r="I319" s="134"/>
      <c r="J319" s="202"/>
      <c r="K319" s="202"/>
      <c r="L319" s="202"/>
      <c r="M319" s="202"/>
      <c r="N319" s="202"/>
      <c r="O319" s="202"/>
      <c r="P319" s="202"/>
      <c r="Q319" s="168">
        <f t="shared" si="65"/>
        <v>100</v>
      </c>
      <c r="R319" s="168"/>
      <c r="S319" s="169"/>
      <c r="T319" s="169"/>
      <c r="U319" s="169"/>
      <c r="V319" s="169"/>
      <c r="W319" s="169"/>
      <c r="X319" s="169"/>
      <c r="Y319" s="169"/>
      <c r="Z319" s="169"/>
      <c r="AA319" s="169"/>
      <c r="AB319" s="169"/>
      <c r="AC319" s="169"/>
      <c r="AD319" s="169"/>
      <c r="AE319" s="169"/>
      <c r="AF319" s="169"/>
      <c r="AG319" s="169"/>
      <c r="AH319" s="169"/>
      <c r="AI319" s="169"/>
      <c r="AJ319" s="169"/>
      <c r="AK319" s="169"/>
      <c r="AL319" s="169"/>
      <c r="AM319" s="169"/>
      <c r="AN319" s="169"/>
      <c r="AO319" s="169"/>
    </row>
    <row r="320" spans="1:41" ht="15.75" customHeight="1">
      <c r="A320" s="134" t="s">
        <v>620</v>
      </c>
      <c r="B320" s="163">
        <f>('Pivot Table for Data Exchange'!$M$78)*100</f>
        <v>0</v>
      </c>
      <c r="C320" s="163">
        <f>('Pivot Table for Data Exchange'!$M$81)*100</f>
        <v>0</v>
      </c>
      <c r="D320" s="164">
        <f t="shared" si="71"/>
        <v>0</v>
      </c>
      <c r="E320" s="163">
        <f>('Pivot Table for Data Exchange'!$M$84)*100</f>
        <v>0</v>
      </c>
      <c r="F320" s="163">
        <f>('Pivot Table for Data Exchange'!$M$87)*100</f>
        <v>0</v>
      </c>
      <c r="G320" s="171">
        <f>('Pivot Table for Data Exchange'!$M$90)*100</f>
        <v>0</v>
      </c>
      <c r="H320" s="163">
        <f>('Pivot Table for Data Exchange'!$M$93)*100</f>
        <v>0</v>
      </c>
      <c r="I320" s="134"/>
      <c r="J320" s="202"/>
      <c r="K320" s="202"/>
      <c r="L320" s="202"/>
      <c r="M320" s="202"/>
      <c r="N320" s="202"/>
      <c r="O320" s="202"/>
      <c r="P320" s="202"/>
      <c r="Q320" s="168">
        <f t="shared" si="65"/>
        <v>0</v>
      </c>
      <c r="R320" s="168"/>
      <c r="S320" s="169"/>
      <c r="T320" s="143"/>
      <c r="U320" s="169"/>
      <c r="V320" s="169"/>
      <c r="W320" s="169"/>
      <c r="X320" s="169"/>
      <c r="Y320" s="169"/>
      <c r="Z320" s="169"/>
      <c r="AA320" s="169"/>
      <c r="AB320" s="169"/>
      <c r="AC320" s="169"/>
      <c r="AD320" s="169"/>
      <c r="AE320" s="169"/>
      <c r="AF320" s="169"/>
      <c r="AG320" s="169"/>
      <c r="AH320" s="169"/>
      <c r="AI320" s="169"/>
      <c r="AJ320" s="169"/>
      <c r="AK320" s="169"/>
      <c r="AL320" s="169"/>
      <c r="AM320" s="169"/>
      <c r="AN320" s="169"/>
      <c r="AO320" s="169"/>
    </row>
    <row r="321" spans="1:41" ht="15.75" customHeight="1">
      <c r="A321" s="134" t="s">
        <v>657</v>
      </c>
      <c r="B321" s="163">
        <f>('Pivot Table for Data Exchange'!$M$114)*100</f>
        <v>0</v>
      </c>
      <c r="C321" s="163">
        <f>('Pivot Table for Data Exchange'!$M$117)*100</f>
        <v>0</v>
      </c>
      <c r="D321" s="164">
        <f t="shared" si="71"/>
        <v>0</v>
      </c>
      <c r="E321" s="163">
        <f>('Pivot Table for Data Exchange'!$M$120)*100</f>
        <v>0</v>
      </c>
      <c r="F321" s="163">
        <f>('Pivot Table for Data Exchange'!$M$123)*100</f>
        <v>0</v>
      </c>
      <c r="G321" s="170">
        <f>('Pivot Table for Data Exchange'!$M$126)*100</f>
        <v>0</v>
      </c>
      <c r="H321" s="163">
        <f>('Pivot Table for Data Exchange'!$M$129)*100</f>
        <v>0</v>
      </c>
      <c r="I321" s="134"/>
      <c r="J321" s="202"/>
      <c r="K321" s="202"/>
      <c r="L321" s="202"/>
      <c r="M321" s="202"/>
      <c r="N321" s="202"/>
      <c r="O321" s="202"/>
      <c r="P321" s="202"/>
      <c r="Q321" s="168">
        <f t="shared" si="65"/>
        <v>0</v>
      </c>
      <c r="R321" s="168"/>
      <c r="S321" s="169"/>
      <c r="U321" s="169"/>
      <c r="V321" s="169"/>
      <c r="W321" s="169"/>
      <c r="X321" s="169"/>
      <c r="Y321" s="169"/>
      <c r="Z321" s="169"/>
      <c r="AA321" s="169"/>
      <c r="AB321" s="169"/>
      <c r="AC321" s="169"/>
      <c r="AD321" s="169"/>
      <c r="AE321" s="169"/>
      <c r="AF321" s="169"/>
      <c r="AG321" s="169"/>
      <c r="AH321" s="169"/>
      <c r="AI321" s="169"/>
      <c r="AJ321" s="169"/>
      <c r="AK321" s="169"/>
      <c r="AL321" s="169"/>
      <c r="AM321" s="169"/>
      <c r="AN321" s="169"/>
      <c r="AO321" s="169"/>
    </row>
    <row r="322" spans="1:41" ht="15.75" customHeight="1">
      <c r="B322" s="163"/>
      <c r="C322" s="163"/>
      <c r="D322" s="164"/>
      <c r="E322" s="163"/>
      <c r="F322" s="163"/>
      <c r="G322" s="171"/>
      <c r="H322" s="163"/>
      <c r="I322" s="134"/>
      <c r="J322" s="202"/>
      <c r="K322" s="202"/>
      <c r="L322" s="202"/>
      <c r="M322" s="202"/>
      <c r="N322" s="202"/>
      <c r="O322" s="202"/>
      <c r="P322" s="202"/>
      <c r="Q322" s="168">
        <f t="shared" si="65"/>
        <v>0</v>
      </c>
      <c r="R322" s="168"/>
      <c r="S322" s="169"/>
      <c r="U322" s="169"/>
      <c r="V322" s="169"/>
      <c r="W322" s="169"/>
      <c r="X322" s="169"/>
      <c r="Y322" s="169"/>
      <c r="Z322" s="169"/>
      <c r="AA322" s="169"/>
      <c r="AB322" s="169"/>
      <c r="AC322" s="169"/>
      <c r="AD322" s="169"/>
      <c r="AE322" s="169"/>
      <c r="AF322" s="169"/>
      <c r="AG322" s="169"/>
      <c r="AH322" s="169"/>
      <c r="AI322" s="169"/>
      <c r="AJ322" s="169"/>
      <c r="AK322" s="169"/>
      <c r="AL322" s="169"/>
      <c r="AM322" s="169"/>
      <c r="AN322" s="169"/>
      <c r="AO322" s="169"/>
    </row>
    <row r="323" spans="1:41" ht="15.75" customHeight="1">
      <c r="A323" s="134" t="s">
        <v>622</v>
      </c>
      <c r="B323" s="163">
        <f>('Pivot Table for Data Exchange'!$M$150)*100</f>
        <v>0</v>
      </c>
      <c r="C323" s="163">
        <f>('Pivot Table for Data Exchange'!$M$153)*100</f>
        <v>0</v>
      </c>
      <c r="D323" s="164">
        <f t="shared" ref="D323:D326" si="72">SUM(E323:G323)</f>
        <v>0</v>
      </c>
      <c r="E323" s="163">
        <f>('Pivot Table for Data Exchange'!$M$156)*100</f>
        <v>0</v>
      </c>
      <c r="F323" s="163">
        <f>('Pivot Table for Data Exchange'!$M$159)*100</f>
        <v>0</v>
      </c>
      <c r="G323" s="171">
        <f>('Pivot Table for Data Exchange'!$M$162)*100</f>
        <v>0</v>
      </c>
      <c r="H323" s="163">
        <f>('Pivot Table for Data Exchange'!$M$165)*100</f>
        <v>0</v>
      </c>
      <c r="I323" s="134"/>
      <c r="J323" s="202"/>
      <c r="K323" s="202"/>
      <c r="L323" s="202"/>
      <c r="M323" s="202"/>
      <c r="N323" s="202"/>
      <c r="O323" s="202"/>
      <c r="P323" s="202"/>
      <c r="Q323" s="168">
        <f t="shared" si="65"/>
        <v>0</v>
      </c>
      <c r="R323" s="168"/>
      <c r="S323" s="169"/>
      <c r="T323" s="169"/>
      <c r="U323" s="169"/>
      <c r="V323" s="169"/>
      <c r="W323" s="169"/>
      <c r="X323" s="169"/>
      <c r="Y323" s="169"/>
      <c r="Z323" s="169"/>
      <c r="AA323" s="169"/>
      <c r="AB323" s="169"/>
      <c r="AC323" s="169"/>
      <c r="AD323" s="169"/>
      <c r="AE323" s="169"/>
      <c r="AF323" s="169"/>
      <c r="AG323" s="169"/>
      <c r="AH323" s="169"/>
      <c r="AI323" s="169"/>
      <c r="AJ323" s="169"/>
      <c r="AK323" s="169"/>
      <c r="AL323" s="169"/>
      <c r="AM323" s="169"/>
      <c r="AN323" s="169"/>
      <c r="AO323" s="169"/>
    </row>
    <row r="324" spans="1:41" ht="15.75" customHeight="1">
      <c r="A324" s="134" t="s">
        <v>623</v>
      </c>
      <c r="B324" s="163">
        <f>('Pivot Table for Data Exchange'!$M$186)*100</f>
        <v>40.014015926748598</v>
      </c>
      <c r="C324" s="163">
        <f>('Pivot Table for Data Exchange'!$M$189)*100</f>
        <v>7.0057809635585899</v>
      </c>
      <c r="D324" s="164">
        <f t="shared" si="72"/>
        <v>52.980203109692816</v>
      </c>
      <c r="E324" s="163">
        <f>('Pivot Table for Data Exchange'!$M$192)*100</f>
        <v>52.980203109692816</v>
      </c>
      <c r="F324" s="163">
        <f>('Pivot Table for Data Exchange'!$M$195)*100</f>
        <v>0</v>
      </c>
      <c r="G324" s="171">
        <f>('Pivot Table for Data Exchange'!$M$198)*100</f>
        <v>0</v>
      </c>
      <c r="H324" s="163">
        <f>('Pivot Table for Data Exchange'!$M$201)*100</f>
        <v>0</v>
      </c>
      <c r="I324" s="134"/>
      <c r="J324" s="202"/>
      <c r="K324" s="202"/>
      <c r="L324" s="202"/>
      <c r="M324" s="202"/>
      <c r="N324" s="202"/>
      <c r="O324" s="202"/>
      <c r="P324" s="202"/>
      <c r="Q324" s="168">
        <f t="shared" si="65"/>
        <v>100</v>
      </c>
      <c r="R324" s="168"/>
      <c r="S324" s="169"/>
      <c r="T324" s="169"/>
      <c r="U324" s="169"/>
      <c r="V324" s="169"/>
      <c r="W324" s="169"/>
      <c r="X324" s="169"/>
      <c r="Y324" s="169"/>
      <c r="Z324" s="169"/>
      <c r="AA324" s="169"/>
      <c r="AB324" s="169"/>
      <c r="AC324" s="169"/>
      <c r="AD324" s="169"/>
      <c r="AE324" s="169"/>
      <c r="AF324" s="169"/>
      <c r="AG324" s="169"/>
      <c r="AH324" s="169"/>
      <c r="AI324" s="169"/>
      <c r="AJ324" s="169"/>
      <c r="AK324" s="169"/>
      <c r="AL324" s="169"/>
      <c r="AM324" s="169"/>
      <c r="AN324" s="169"/>
      <c r="AO324" s="169"/>
    </row>
    <row r="325" spans="1:41" ht="15.75" customHeight="1">
      <c r="A325" s="134" t="s">
        <v>624</v>
      </c>
      <c r="B325" s="163">
        <f>('Pivot Table for Data Exchange'!$M$222)*100</f>
        <v>51.917058056546786</v>
      </c>
      <c r="C325" s="163">
        <f>('Pivot Table for Data Exchange'!$M$225)*100</f>
        <v>0</v>
      </c>
      <c r="D325" s="164">
        <f t="shared" si="72"/>
        <v>48.082941943453214</v>
      </c>
      <c r="E325" s="163">
        <f>('Pivot Table for Data Exchange'!$M$228)*100</f>
        <v>48.082941943453214</v>
      </c>
      <c r="F325" s="163">
        <f>('Pivot Table for Data Exchange'!$M$231)*100</f>
        <v>0</v>
      </c>
      <c r="G325" s="171">
        <f>('Pivot Table for Data Exchange'!$M$234)*100</f>
        <v>0</v>
      </c>
      <c r="H325" s="163">
        <f>('Pivot Table for Data Exchange'!$M$237)*100</f>
        <v>0</v>
      </c>
      <c r="I325" s="134"/>
      <c r="J325" s="202"/>
      <c r="K325" s="202"/>
      <c r="L325" s="202"/>
      <c r="M325" s="202"/>
      <c r="N325" s="202"/>
      <c r="O325" s="202"/>
      <c r="P325" s="202"/>
      <c r="Q325" s="168">
        <f t="shared" si="65"/>
        <v>100</v>
      </c>
      <c r="R325" s="168"/>
      <c r="S325" s="169"/>
      <c r="T325" s="143"/>
      <c r="U325" s="169"/>
      <c r="V325" s="169"/>
      <c r="W325" s="169"/>
      <c r="X325" s="169"/>
      <c r="Y325" s="169"/>
      <c r="Z325" s="169"/>
      <c r="AA325" s="169"/>
      <c r="AB325" s="169"/>
      <c r="AC325" s="169"/>
      <c r="AD325" s="169"/>
      <c r="AE325" s="169"/>
      <c r="AF325" s="169"/>
      <c r="AG325" s="169"/>
      <c r="AH325" s="169"/>
      <c r="AI325" s="169"/>
      <c r="AJ325" s="169"/>
      <c r="AK325" s="169"/>
      <c r="AL325" s="169"/>
      <c r="AM325" s="169"/>
      <c r="AN325" s="169"/>
      <c r="AO325" s="169"/>
    </row>
    <row r="326" spans="1:41" ht="15.75" customHeight="1">
      <c r="A326" s="134" t="s">
        <v>625</v>
      </c>
      <c r="B326" s="163">
        <f>('Pivot Table for Data Exchange'!$M$258)*100</f>
        <v>36.684244767173517</v>
      </c>
      <c r="C326" s="163">
        <f>('Pivot Table for Data Exchange'!$M$261)*100</f>
        <v>5.4853950668148279</v>
      </c>
      <c r="D326" s="164">
        <f t="shared" si="72"/>
        <v>57.830360166011658</v>
      </c>
      <c r="E326" s="163">
        <f>('Pivot Table for Data Exchange'!$M$264)*100</f>
        <v>53.133547989866059</v>
      </c>
      <c r="F326" s="163">
        <f>('Pivot Table for Data Exchange'!$M$267)*100</f>
        <v>4.6968121761455972</v>
      </c>
      <c r="G326" s="171">
        <f>('Pivot Table for Data Exchange'!$M$270)*100</f>
        <v>0</v>
      </c>
      <c r="H326" s="175">
        <f>('Pivot Table for Data Exchange'!$M$273)*100</f>
        <v>0</v>
      </c>
      <c r="I326" s="134"/>
      <c r="J326" s="202"/>
      <c r="K326" s="202"/>
      <c r="L326" s="202"/>
      <c r="M326" s="202"/>
      <c r="N326" s="202"/>
      <c r="O326" s="202"/>
      <c r="P326" s="202"/>
      <c r="Q326" s="168">
        <f t="shared" si="65"/>
        <v>100</v>
      </c>
      <c r="R326" s="168"/>
      <c r="S326" s="169"/>
      <c r="U326" s="169"/>
      <c r="V326" s="169"/>
      <c r="W326" s="169"/>
      <c r="X326" s="169"/>
      <c r="Y326" s="169"/>
      <c r="Z326" s="169"/>
      <c r="AA326" s="169"/>
      <c r="AB326" s="169"/>
      <c r="AC326" s="169"/>
      <c r="AD326" s="169"/>
      <c r="AE326" s="169"/>
      <c r="AF326" s="169"/>
      <c r="AG326" s="169"/>
      <c r="AH326" s="169"/>
      <c r="AI326" s="169"/>
      <c r="AJ326" s="169"/>
      <c r="AK326" s="169"/>
      <c r="AL326" s="169"/>
      <c r="AM326" s="169"/>
      <c r="AN326" s="169"/>
      <c r="AO326" s="169"/>
    </row>
    <row r="327" spans="1:41" ht="12" customHeight="1">
      <c r="B327" s="163"/>
      <c r="C327" s="163"/>
      <c r="D327" s="164"/>
      <c r="E327" s="163"/>
      <c r="F327" s="163"/>
      <c r="G327" s="171"/>
      <c r="H327" s="163"/>
      <c r="I327" s="134"/>
      <c r="J327" s="202"/>
      <c r="K327" s="202"/>
      <c r="L327" s="202"/>
      <c r="M327" s="202"/>
      <c r="N327" s="202"/>
      <c r="O327" s="202"/>
      <c r="P327" s="202"/>
      <c r="Q327" s="168">
        <f t="shared" si="65"/>
        <v>0</v>
      </c>
      <c r="R327" s="168"/>
      <c r="S327" s="169"/>
      <c r="U327" s="169"/>
      <c r="V327" s="169"/>
      <c r="W327" s="169"/>
      <c r="X327" s="169"/>
      <c r="Y327" s="169"/>
      <c r="Z327" s="169"/>
      <c r="AA327" s="169"/>
      <c r="AB327" s="169"/>
      <c r="AC327" s="169"/>
      <c r="AD327" s="169"/>
      <c r="AE327" s="169"/>
      <c r="AF327" s="169"/>
      <c r="AG327" s="169"/>
      <c r="AH327" s="169"/>
      <c r="AI327" s="169"/>
      <c r="AJ327" s="169"/>
      <c r="AK327" s="169"/>
      <c r="AL327" s="169"/>
      <c r="AM327" s="169"/>
      <c r="AN327" s="169"/>
      <c r="AO327" s="169"/>
    </row>
    <row r="328" spans="1:41" ht="15.75" customHeight="1">
      <c r="A328" s="134" t="s">
        <v>672</v>
      </c>
      <c r="B328" s="163">
        <f>('Pivot Table for Data Exchange'!$M$294)*100</f>
        <v>59.675386118534</v>
      </c>
      <c r="C328" s="163">
        <f>('Pivot Table for Data Exchange'!$M$297)*100</f>
        <v>3.2066870706155397</v>
      </c>
      <c r="D328" s="164">
        <f t="shared" ref="D328:D330" si="73">SUM(E328:G328)</f>
        <v>37.117926810850463</v>
      </c>
      <c r="E328" s="163">
        <f>('Pivot Table for Data Exchange'!$M$300)*100</f>
        <v>37.117926810850463</v>
      </c>
      <c r="F328" s="163">
        <f>('Pivot Table for Data Exchange'!$M$303)*100</f>
        <v>0</v>
      </c>
      <c r="G328" s="171">
        <f>('Pivot Table for Data Exchange'!$M$306)*100</f>
        <v>0</v>
      </c>
      <c r="H328" s="163">
        <f>('Pivot Table for Data Exchange'!$M$309)*100</f>
        <v>0</v>
      </c>
      <c r="I328" s="209"/>
      <c r="J328" s="202"/>
      <c r="K328" s="202"/>
      <c r="L328" s="202"/>
      <c r="M328" s="202"/>
      <c r="N328" s="202"/>
      <c r="O328" s="202"/>
      <c r="P328" s="202"/>
      <c r="Q328" s="168">
        <f t="shared" si="65"/>
        <v>100</v>
      </c>
      <c r="R328" s="168"/>
      <c r="S328" s="169"/>
      <c r="T328" s="169"/>
      <c r="U328" s="169"/>
      <c r="V328" s="169"/>
      <c r="W328" s="169"/>
      <c r="X328" s="169"/>
      <c r="Y328" s="169"/>
      <c r="Z328" s="169"/>
      <c r="AA328" s="169"/>
      <c r="AB328" s="169"/>
      <c r="AC328" s="169"/>
      <c r="AD328" s="169"/>
      <c r="AE328" s="169"/>
      <c r="AF328" s="169"/>
      <c r="AG328" s="169"/>
      <c r="AH328" s="169"/>
      <c r="AI328" s="169"/>
      <c r="AJ328" s="169"/>
      <c r="AK328" s="169"/>
      <c r="AL328" s="169"/>
      <c r="AM328" s="169"/>
      <c r="AN328" s="169"/>
      <c r="AO328" s="169"/>
    </row>
    <row r="329" spans="1:41" ht="15.75" customHeight="1">
      <c r="A329" s="134" t="s">
        <v>627</v>
      </c>
      <c r="B329" s="163">
        <f>('Pivot Table for Data Exchange'!$M$330)*100</f>
        <v>31.013517504079314</v>
      </c>
      <c r="C329" s="163">
        <f>('Pivot Table for Data Exchange'!$M$333)*100</f>
        <v>5.5499057718580733</v>
      </c>
      <c r="D329" s="164">
        <f t="shared" si="73"/>
        <v>63.436576724062611</v>
      </c>
      <c r="E329" s="163">
        <f>('Pivot Table for Data Exchange'!$M$336)*100</f>
        <v>63.436576724062611</v>
      </c>
      <c r="F329" s="163">
        <f>('Pivot Table for Data Exchange'!$M$339)*100</f>
        <v>0</v>
      </c>
      <c r="G329" s="170">
        <f>('Pivot Table for Data Exchange'!$M$342)*100</f>
        <v>0</v>
      </c>
      <c r="H329" s="163">
        <f>('Pivot Table for Data Exchange'!$M$345)*100</f>
        <v>0</v>
      </c>
      <c r="I329" s="134"/>
      <c r="J329" s="202"/>
      <c r="K329" s="202"/>
      <c r="L329" s="202"/>
      <c r="M329" s="202"/>
      <c r="N329" s="202"/>
      <c r="O329" s="202"/>
      <c r="P329" s="202"/>
      <c r="Q329" s="168">
        <f t="shared" si="65"/>
        <v>100</v>
      </c>
      <c r="R329" s="168"/>
      <c r="S329" s="169"/>
      <c r="T329" s="169"/>
      <c r="U329" s="169"/>
      <c r="V329" s="169"/>
      <c r="W329" s="169"/>
      <c r="X329" s="169"/>
      <c r="Y329" s="169"/>
      <c r="Z329" s="169"/>
      <c r="AA329" s="169"/>
      <c r="AB329" s="169"/>
      <c r="AC329" s="169"/>
      <c r="AD329" s="169"/>
      <c r="AE329" s="169"/>
      <c r="AF329" s="169"/>
      <c r="AG329" s="169"/>
      <c r="AH329" s="169"/>
      <c r="AI329" s="169"/>
      <c r="AJ329" s="169"/>
      <c r="AK329" s="169"/>
      <c r="AL329" s="169"/>
      <c r="AM329" s="169"/>
      <c r="AN329" s="169"/>
      <c r="AO329" s="169"/>
    </row>
    <row r="330" spans="1:41" ht="15.75" customHeight="1">
      <c r="A330" s="134" t="s">
        <v>628</v>
      </c>
      <c r="B330" s="163">
        <f>('Pivot Table for Data Exchange'!$M$366)*100</f>
        <v>0</v>
      </c>
      <c r="C330" s="163">
        <f>('Pivot Table for Data Exchange'!$M$369)*100</f>
        <v>0</v>
      </c>
      <c r="D330" s="164">
        <f t="shared" si="73"/>
        <v>0</v>
      </c>
      <c r="E330" s="163">
        <f>('Pivot Table for Data Exchange'!$M$372)*100</f>
        <v>0</v>
      </c>
      <c r="F330" s="163">
        <f>('Pivot Table for Data Exchange'!$M$375)*100</f>
        <v>0</v>
      </c>
      <c r="G330" s="170">
        <f>('Pivot Table for Data Exchange'!$M$378)*100</f>
        <v>0</v>
      </c>
      <c r="H330" s="163">
        <f>('Pivot Table for Data Exchange'!$M$381)*100</f>
        <v>0</v>
      </c>
      <c r="I330" s="134"/>
      <c r="J330" s="202"/>
      <c r="K330" s="202"/>
      <c r="L330" s="202"/>
      <c r="M330" s="202"/>
      <c r="N330" s="202"/>
      <c r="O330" s="202"/>
      <c r="P330" s="202"/>
      <c r="Q330" s="168">
        <f t="shared" si="65"/>
        <v>0</v>
      </c>
      <c r="R330" s="168"/>
      <c r="S330" s="169"/>
      <c r="T330" s="143"/>
      <c r="U330" s="169"/>
      <c r="V330" s="169"/>
      <c r="W330" s="169"/>
      <c r="X330" s="169"/>
      <c r="Y330" s="169"/>
      <c r="Z330" s="169"/>
      <c r="AA330" s="169"/>
      <c r="AB330" s="169"/>
      <c r="AC330" s="169"/>
      <c r="AD330" s="169"/>
      <c r="AE330" s="169"/>
      <c r="AF330" s="169"/>
      <c r="AG330" s="169"/>
      <c r="AH330" s="169"/>
      <c r="AI330" s="169"/>
      <c r="AJ330" s="169"/>
      <c r="AK330" s="169"/>
      <c r="AL330" s="169"/>
      <c r="AM330" s="169"/>
      <c r="AN330" s="169"/>
      <c r="AO330" s="169"/>
    </row>
    <row r="331" spans="1:41" ht="15.75" customHeight="1">
      <c r="A331" s="134" t="s">
        <v>629</v>
      </c>
      <c r="B331" s="163">
        <f>('Pivot Table for Data Exchange'!$M$402)*100</f>
        <v>29.383868090207123</v>
      </c>
      <c r="C331" s="163">
        <f>('Pivot Table for Data Exchange'!$M$405)*100</f>
        <v>7.562616731246341</v>
      </c>
      <c r="D331" s="164">
        <f>SUM(E331:G331)</f>
        <v>63.05351517854654</v>
      </c>
      <c r="E331" s="163">
        <f>('Pivot Table for Data Exchange'!$M$408)*100</f>
        <v>62.253296351016083</v>
      </c>
      <c r="F331" s="163">
        <f>('Pivot Table for Data Exchange'!$M$411)*100</f>
        <v>0.8002188275304547</v>
      </c>
      <c r="G331" s="174">
        <f>('Pivot Table for Data Exchange'!$M$414)*100</f>
        <v>0</v>
      </c>
      <c r="H331" s="163">
        <f>('Pivot Table for Data Exchange'!$M$417)*100</f>
        <v>0</v>
      </c>
      <c r="I331" s="134"/>
      <c r="J331" s="202"/>
      <c r="K331" s="202"/>
      <c r="L331" s="202"/>
      <c r="M331" s="202"/>
      <c r="N331" s="202"/>
      <c r="O331" s="202"/>
      <c r="P331" s="202"/>
      <c r="Q331" s="168">
        <f t="shared" ref="Q331:Q395" si="74">SUM(B331,C331,D331,H331)</f>
        <v>100</v>
      </c>
      <c r="R331" s="168"/>
      <c r="S331" s="169"/>
      <c r="T331" s="169"/>
      <c r="U331" s="169"/>
      <c r="V331" s="169"/>
      <c r="W331" s="169"/>
      <c r="X331" s="169"/>
      <c r="Y331" s="169"/>
      <c r="Z331" s="169"/>
      <c r="AA331" s="169"/>
      <c r="AB331" s="169"/>
      <c r="AC331" s="169"/>
      <c r="AD331" s="169"/>
      <c r="AE331" s="169"/>
      <c r="AF331" s="169"/>
      <c r="AG331" s="169"/>
      <c r="AH331" s="169"/>
      <c r="AI331" s="169"/>
      <c r="AJ331" s="169"/>
      <c r="AK331" s="169"/>
      <c r="AL331" s="169"/>
      <c r="AM331" s="169"/>
      <c r="AN331" s="169"/>
      <c r="AO331" s="169"/>
    </row>
    <row r="332" spans="1:41" ht="12.75" customHeight="1">
      <c r="B332" s="163"/>
      <c r="C332" s="163"/>
      <c r="D332" s="164"/>
      <c r="E332" s="163"/>
      <c r="F332" s="163"/>
      <c r="G332" s="171"/>
      <c r="H332" s="163"/>
      <c r="I332" s="134"/>
      <c r="J332" s="202"/>
      <c r="K332" s="202"/>
      <c r="L332" s="202"/>
      <c r="M332" s="202"/>
      <c r="N332" s="202"/>
      <c r="O332" s="202"/>
      <c r="P332" s="202"/>
      <c r="Q332" s="168">
        <f t="shared" si="74"/>
        <v>0</v>
      </c>
      <c r="R332" s="168"/>
      <c r="S332" s="169"/>
      <c r="T332" s="169"/>
      <c r="U332" s="169"/>
      <c r="V332" s="169"/>
      <c r="W332" s="169"/>
      <c r="X332" s="169"/>
      <c r="Y332" s="169"/>
      <c r="Z332" s="169"/>
      <c r="AA332" s="169"/>
      <c r="AB332" s="169"/>
      <c r="AC332" s="169"/>
      <c r="AD332" s="169"/>
      <c r="AE332" s="169"/>
      <c r="AF332" s="169"/>
      <c r="AG332" s="169"/>
      <c r="AH332" s="169"/>
      <c r="AI332" s="169"/>
      <c r="AJ332" s="169"/>
      <c r="AK332" s="169"/>
      <c r="AL332" s="169"/>
      <c r="AM332" s="169"/>
      <c r="AN332" s="169"/>
      <c r="AO332" s="169"/>
    </row>
    <row r="333" spans="1:41" ht="15.75" customHeight="1">
      <c r="A333" s="134" t="s">
        <v>630</v>
      </c>
      <c r="B333" s="163">
        <f>('Pivot Table for Data Exchange'!$M$438)*100</f>
        <v>19.309271925847639</v>
      </c>
      <c r="C333" s="163">
        <f>('Pivot Table for Data Exchange'!$M$441)*100</f>
        <v>24.266459643339648</v>
      </c>
      <c r="D333" s="164">
        <f>SUM(E333:G333)</f>
        <v>56.228061263944127</v>
      </c>
      <c r="E333" s="163">
        <f>('Pivot Table for Data Exchange'!$M$444)*100</f>
        <v>39.873268972126148</v>
      </c>
      <c r="F333" s="163">
        <f>('Pivot Table for Data Exchange'!$M$447)*100</f>
        <v>1.7811789715651238</v>
      </c>
      <c r="G333" s="171">
        <f>('Pivot Table for Data Exchange'!$M$450)*100</f>
        <v>14.573613320252857</v>
      </c>
      <c r="H333" s="163">
        <f>('Pivot Table for Data Exchange'!$M$453)*100</f>
        <v>0.19620716686858516</v>
      </c>
      <c r="I333" s="134"/>
      <c r="J333" s="202"/>
      <c r="K333" s="202"/>
      <c r="L333" s="202"/>
      <c r="M333" s="202"/>
      <c r="N333" s="202"/>
      <c r="O333" s="202"/>
      <c r="P333" s="202"/>
      <c r="Q333" s="168">
        <f t="shared" si="74"/>
        <v>100</v>
      </c>
      <c r="R333" s="168"/>
      <c r="S333" s="169"/>
      <c r="T333" s="169"/>
      <c r="U333" s="169"/>
      <c r="V333" s="169"/>
      <c r="W333" s="169"/>
      <c r="X333" s="169"/>
      <c r="Y333" s="169"/>
      <c r="Z333" s="169"/>
      <c r="AA333" s="169"/>
      <c r="AB333" s="169"/>
      <c r="AC333" s="169"/>
      <c r="AD333" s="169"/>
      <c r="AE333" s="169"/>
      <c r="AF333" s="169"/>
      <c r="AG333" s="169"/>
      <c r="AH333" s="169"/>
      <c r="AI333" s="169"/>
      <c r="AJ333" s="169"/>
      <c r="AK333" s="169"/>
      <c r="AL333" s="169"/>
      <c r="AM333" s="169"/>
      <c r="AN333" s="169"/>
      <c r="AO333" s="169"/>
    </row>
    <row r="334" spans="1:41" ht="15.75" customHeight="1">
      <c r="A334" s="134" t="s">
        <v>631</v>
      </c>
      <c r="B334" s="163">
        <f>('Pivot Table for Data Exchange'!$M$474)*100</f>
        <v>26.371594911962156</v>
      </c>
      <c r="C334" s="163">
        <f>('Pivot Table for Data Exchange'!$M$477)*100</f>
        <v>14.730585374212538</v>
      </c>
      <c r="D334" s="164">
        <f>SUM(E334:G334)</f>
        <v>58.897819713825307</v>
      </c>
      <c r="E334" s="163">
        <f>('Pivot Table for Data Exchange'!$M$480)*100</f>
        <v>55.425011881036014</v>
      </c>
      <c r="F334" s="163">
        <f>('Pivot Table for Data Exchange'!$M$483)*100</f>
        <v>3.2462873345201713</v>
      </c>
      <c r="G334" s="171">
        <f>('Pivot Table for Data Exchange'!$M$486)*100</f>
        <v>0.22652049826912513</v>
      </c>
      <c r="H334" s="163">
        <f>('Pivot Table for Data Exchange'!$M$489)*100</f>
        <v>0</v>
      </c>
      <c r="I334" s="134"/>
      <c r="J334" s="202"/>
      <c r="K334" s="202"/>
      <c r="L334" s="202"/>
      <c r="M334" s="202"/>
      <c r="N334" s="202"/>
      <c r="O334" s="202"/>
      <c r="P334" s="202"/>
      <c r="Q334" s="168">
        <f t="shared" si="74"/>
        <v>100</v>
      </c>
      <c r="R334" s="168"/>
      <c r="S334" s="169"/>
      <c r="T334" s="169"/>
      <c r="U334" s="169"/>
      <c r="V334" s="169"/>
      <c r="W334" s="169"/>
      <c r="X334" s="169"/>
      <c r="Y334" s="169"/>
      <c r="Z334" s="169"/>
      <c r="AA334" s="169"/>
      <c r="AB334" s="169"/>
      <c r="AC334" s="169"/>
      <c r="AD334" s="169"/>
      <c r="AE334" s="169"/>
      <c r="AF334" s="169"/>
      <c r="AG334" s="169"/>
      <c r="AH334" s="169"/>
      <c r="AI334" s="169"/>
      <c r="AJ334" s="169"/>
      <c r="AK334" s="169"/>
      <c r="AL334" s="169"/>
      <c r="AM334" s="169"/>
      <c r="AN334" s="169"/>
      <c r="AO334" s="169"/>
    </row>
    <row r="335" spans="1:41" ht="15.75" customHeight="1">
      <c r="A335" s="134" t="s">
        <v>632</v>
      </c>
      <c r="B335" s="163">
        <f>('Pivot Table for Data Exchange'!$M$510)*100</f>
        <v>23.420818762788748</v>
      </c>
      <c r="C335" s="163">
        <f>('Pivot Table for Data Exchange'!$M$513)*100</f>
        <v>17.320803200868383</v>
      </c>
      <c r="D335" s="164">
        <f t="shared" ref="D335" si="75">SUM(E335:G335)</f>
        <v>59.258378036342876</v>
      </c>
      <c r="E335" s="163">
        <f>('Pivot Table for Data Exchange'!$M$516)*100</f>
        <v>54.554433925500845</v>
      </c>
      <c r="F335" s="163">
        <f>('Pivot Table for Data Exchange'!$M$519)*100</f>
        <v>4.536106870523537</v>
      </c>
      <c r="G335" s="171">
        <f>('Pivot Table for Data Exchange'!$M$522)*100</f>
        <v>0.16783724031849206</v>
      </c>
      <c r="H335" s="163">
        <f>('Pivot Table for Data Exchange'!$M$525)*100</f>
        <v>0</v>
      </c>
      <c r="I335" s="134"/>
      <c r="J335" s="202"/>
      <c r="K335" s="202"/>
      <c r="L335" s="202"/>
      <c r="M335" s="202"/>
      <c r="N335" s="202"/>
      <c r="O335" s="202"/>
      <c r="P335" s="202"/>
      <c r="Q335" s="168">
        <f t="shared" si="74"/>
        <v>100</v>
      </c>
      <c r="R335" s="168"/>
      <c r="S335" s="169"/>
      <c r="T335" s="169"/>
      <c r="U335" s="169"/>
      <c r="V335" s="169"/>
      <c r="W335" s="169"/>
      <c r="X335" s="169"/>
      <c r="Y335" s="169"/>
      <c r="Z335" s="169"/>
      <c r="AA335" s="169"/>
      <c r="AB335" s="169"/>
      <c r="AC335" s="169"/>
      <c r="AD335" s="169"/>
      <c r="AE335" s="169"/>
      <c r="AF335" s="169"/>
      <c r="AG335" s="169"/>
      <c r="AH335" s="169"/>
      <c r="AI335" s="169"/>
      <c r="AJ335" s="169"/>
      <c r="AK335" s="169"/>
      <c r="AL335" s="169"/>
      <c r="AM335" s="169"/>
      <c r="AN335" s="169"/>
      <c r="AO335" s="169"/>
    </row>
    <row r="336" spans="1:41" ht="15.75" customHeight="1">
      <c r="A336" s="140" t="s">
        <v>633</v>
      </c>
      <c r="B336" s="176">
        <f>('Pivot Table for Data Exchange'!$M$546)*100</f>
        <v>35.058601431605439</v>
      </c>
      <c r="C336" s="176">
        <f>('Pivot Table for Data Exchange'!$M$549)*100</f>
        <v>9.7577283096043423</v>
      </c>
      <c r="D336" s="177">
        <f>SUM(E336:G336)</f>
        <v>55.183670258790215</v>
      </c>
      <c r="E336" s="176">
        <f>('Pivot Table for Data Exchange'!$M$552)*100</f>
        <v>55.183670258790215</v>
      </c>
      <c r="F336" s="176">
        <f>('Pivot Table for Data Exchange'!$M$555)*100</f>
        <v>0</v>
      </c>
      <c r="G336" s="199">
        <f>('Pivot Table for Data Exchange'!$M$558)*100</f>
        <v>0</v>
      </c>
      <c r="H336" s="176">
        <f>('Pivot Table for Data Exchange'!$M$561)*100</f>
        <v>0</v>
      </c>
      <c r="I336" s="134"/>
      <c r="J336" s="202"/>
      <c r="K336" s="202"/>
      <c r="L336" s="202"/>
      <c r="M336" s="202"/>
      <c r="N336" s="202"/>
      <c r="O336" s="202"/>
      <c r="P336" s="202"/>
      <c r="Q336" s="168">
        <f t="shared" si="74"/>
        <v>100</v>
      </c>
      <c r="R336" s="168"/>
      <c r="S336" s="169"/>
      <c r="T336" s="169"/>
      <c r="U336" s="169"/>
      <c r="V336" s="169"/>
      <c r="W336" s="169"/>
      <c r="X336" s="169"/>
      <c r="Y336" s="169"/>
      <c r="Z336" s="169"/>
      <c r="AA336" s="169"/>
      <c r="AB336" s="169"/>
      <c r="AC336" s="169"/>
      <c r="AD336" s="169"/>
      <c r="AE336" s="169"/>
      <c r="AF336" s="169"/>
      <c r="AG336" s="169"/>
      <c r="AH336" s="169"/>
      <c r="AI336" s="169"/>
      <c r="AJ336" s="169"/>
      <c r="AK336" s="169"/>
      <c r="AL336" s="169"/>
      <c r="AM336" s="169"/>
      <c r="AN336" s="169"/>
      <c r="AO336" s="169"/>
    </row>
    <row r="337" spans="1:41" s="181" customFormat="1" ht="12" customHeight="1">
      <c r="A337" s="182" t="s">
        <v>658</v>
      </c>
      <c r="B337" s="183"/>
      <c r="C337" s="183"/>
      <c r="D337" s="184"/>
      <c r="E337" s="183"/>
      <c r="F337" s="184"/>
      <c r="G337" s="184"/>
      <c r="H337" s="183"/>
      <c r="I337" s="192"/>
      <c r="J337" s="183"/>
      <c r="K337" s="183"/>
      <c r="L337" s="184"/>
      <c r="M337" s="183"/>
      <c r="N337" s="184"/>
      <c r="O337" s="184"/>
      <c r="P337" s="183"/>
      <c r="Q337" s="168">
        <f t="shared" si="74"/>
        <v>0</v>
      </c>
      <c r="R337" s="203"/>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row>
    <row r="338" spans="1:41" s="181" customFormat="1" ht="22.5" customHeight="1">
      <c r="A338" s="633" t="s">
        <v>673</v>
      </c>
      <c r="B338" s="650"/>
      <c r="C338" s="650"/>
      <c r="D338" s="650"/>
      <c r="E338" s="650"/>
      <c r="F338" s="650"/>
      <c r="G338" s="650"/>
      <c r="H338" s="650"/>
      <c r="I338" s="192"/>
      <c r="P338" s="194"/>
      <c r="Q338" s="168">
        <f t="shared" si="74"/>
        <v>0</v>
      </c>
      <c r="R338" s="204"/>
    </row>
    <row r="339" spans="1:41" s="181" customFormat="1" ht="13.5" customHeight="1">
      <c r="A339" s="180"/>
      <c r="B339" s="210"/>
      <c r="C339" s="210"/>
      <c r="D339" s="210"/>
      <c r="E339" s="210"/>
      <c r="F339" s="210"/>
      <c r="G339" s="210"/>
      <c r="H339" s="210"/>
      <c r="I339" s="192"/>
      <c r="P339" s="194"/>
      <c r="Q339" s="168"/>
      <c r="R339" s="204"/>
    </row>
    <row r="340" spans="1:41" s="181" customFormat="1">
      <c r="H340" s="187" t="s">
        <v>992</v>
      </c>
      <c r="Q340" s="168">
        <f t="shared" si="74"/>
        <v>0</v>
      </c>
      <c r="R340" s="207"/>
    </row>
    <row r="341" spans="1:41" ht="18">
      <c r="A341" s="129" t="s">
        <v>678</v>
      </c>
      <c r="B341" s="130"/>
      <c r="C341" s="130"/>
      <c r="D341" s="130"/>
      <c r="E341" s="130"/>
      <c r="F341" s="130"/>
      <c r="G341" s="130"/>
      <c r="H341" s="130"/>
      <c r="L341" s="130"/>
      <c r="Q341" s="168">
        <f t="shared" si="74"/>
        <v>0</v>
      </c>
    </row>
    <row r="342" spans="1:41">
      <c r="A342" s="135"/>
      <c r="B342" s="131"/>
      <c r="C342" s="131"/>
      <c r="D342" s="131"/>
      <c r="E342" s="131"/>
      <c r="F342" s="131"/>
      <c r="G342" s="131"/>
      <c r="H342" s="131"/>
      <c r="Q342" s="168">
        <f t="shared" si="74"/>
        <v>0</v>
      </c>
    </row>
    <row r="343" spans="1:41" ht="15.75">
      <c r="A343" s="137" t="s">
        <v>639</v>
      </c>
      <c r="B343" s="131"/>
      <c r="C343" s="131"/>
      <c r="D343" s="131"/>
      <c r="E343" s="131"/>
      <c r="F343" s="131"/>
      <c r="G343" s="131"/>
      <c r="H343" s="131"/>
      <c r="L343" s="131"/>
      <c r="Q343" s="168">
        <f t="shared" si="74"/>
        <v>0</v>
      </c>
    </row>
    <row r="344" spans="1:41" ht="15.75">
      <c r="A344" s="137" t="s">
        <v>874</v>
      </c>
      <c r="B344" s="131"/>
      <c r="C344" s="131"/>
      <c r="D344" s="131"/>
      <c r="E344" s="131"/>
      <c r="F344" s="131"/>
      <c r="G344" s="131"/>
      <c r="H344" s="131"/>
      <c r="Q344" s="168">
        <f t="shared" si="74"/>
        <v>0</v>
      </c>
    </row>
    <row r="345" spans="1:41">
      <c r="A345" s="140"/>
      <c r="B345" s="141"/>
      <c r="C345" s="141"/>
      <c r="D345" s="141"/>
      <c r="E345" s="141"/>
      <c r="F345" s="141"/>
      <c r="G345" s="141"/>
      <c r="H345" s="141"/>
      <c r="Q345" s="168">
        <f t="shared" si="74"/>
        <v>0</v>
      </c>
    </row>
    <row r="346" spans="1:41">
      <c r="A346" s="145"/>
      <c r="B346" s="146" t="s">
        <v>641</v>
      </c>
      <c r="C346" s="146"/>
      <c r="D346" s="146"/>
      <c r="E346" s="146"/>
      <c r="F346" s="146"/>
      <c r="G346" s="146"/>
      <c r="H346" s="147"/>
      <c r="Q346" s="168">
        <f t="shared" si="74"/>
        <v>0</v>
      </c>
    </row>
    <row r="347" spans="1:41">
      <c r="A347" s="145"/>
      <c r="B347" s="146" t="s">
        <v>642</v>
      </c>
      <c r="C347" s="146"/>
      <c r="D347" s="639" t="s">
        <v>643</v>
      </c>
      <c r="E347" s="637"/>
      <c r="F347" s="637"/>
      <c r="G347" s="637"/>
      <c r="H347" s="153" t="s">
        <v>533</v>
      </c>
      <c r="Q347" s="168">
        <f t="shared" si="74"/>
        <v>0</v>
      </c>
    </row>
    <row r="348" spans="1:41" ht="36">
      <c r="A348" s="145"/>
      <c r="B348" s="154" t="s">
        <v>644</v>
      </c>
      <c r="C348" s="155" t="s">
        <v>645</v>
      </c>
      <c r="D348" s="156" t="s">
        <v>646</v>
      </c>
      <c r="E348" s="157" t="s">
        <v>8</v>
      </c>
      <c r="F348" s="154" t="s">
        <v>647</v>
      </c>
      <c r="G348" s="158" t="s">
        <v>656</v>
      </c>
      <c r="H348" s="159" t="s">
        <v>649</v>
      </c>
      <c r="Q348" s="168">
        <f t="shared" si="74"/>
        <v>0</v>
      </c>
    </row>
    <row r="349" spans="1:41" ht="15.75" customHeight="1">
      <c r="A349" s="189" t="s">
        <v>618</v>
      </c>
      <c r="B349" s="163">
        <f>('Pivot Table for Data Exchange'!$N$6)*100</f>
        <v>40.982549983973421</v>
      </c>
      <c r="C349" s="163">
        <f>('Pivot Table for Data Exchange'!$N$9)*100</f>
        <v>2.6507618657007064</v>
      </c>
      <c r="D349" s="164">
        <f>SUM(E349:G349)</f>
        <v>56.34014951248178</v>
      </c>
      <c r="E349" s="163">
        <f>('Pivot Table for Data Exchange'!$N$12)*100</f>
        <v>56.319125396787108</v>
      </c>
      <c r="F349" s="163">
        <f>('Pivot Table for Data Exchange'!$N$15)*100</f>
        <v>0</v>
      </c>
      <c r="G349" s="167">
        <f>('Pivot Table for Data Exchange'!$N$18)*100</f>
        <v>2.1024115694674696E-2</v>
      </c>
      <c r="H349" s="163">
        <f>('Pivot Table for Data Exchange'!$N$21)*100</f>
        <v>2.6538637844097566E-2</v>
      </c>
      <c r="I349" s="134"/>
      <c r="J349" s="202"/>
      <c r="K349" s="202"/>
      <c r="L349" s="202"/>
      <c r="M349" s="202"/>
      <c r="N349" s="202"/>
      <c r="O349" s="202"/>
      <c r="P349" s="202"/>
      <c r="Q349" s="168">
        <f t="shared" si="74"/>
        <v>100.00000000000001</v>
      </c>
      <c r="R349" s="168"/>
      <c r="S349" s="169"/>
      <c r="T349" s="169"/>
      <c r="U349" s="169"/>
      <c r="V349" s="169"/>
      <c r="W349" s="169"/>
      <c r="X349" s="169"/>
      <c r="Y349" s="169"/>
      <c r="Z349" s="169"/>
      <c r="AA349" s="169"/>
      <c r="AB349" s="169"/>
      <c r="AC349" s="169"/>
      <c r="AD349" s="169"/>
      <c r="AE349" s="169"/>
      <c r="AF349" s="169"/>
      <c r="AG349" s="169"/>
      <c r="AH349" s="169"/>
      <c r="AI349" s="169"/>
      <c r="AJ349" s="169"/>
      <c r="AK349" s="169"/>
      <c r="AL349" s="169"/>
      <c r="AM349" s="169"/>
      <c r="AN349" s="169"/>
      <c r="AO349" s="169"/>
    </row>
    <row r="350" spans="1:41" ht="15.75" customHeight="1">
      <c r="A350" s="134" t="s">
        <v>619</v>
      </c>
      <c r="B350" s="163">
        <f>('Pivot Table for Data Exchange'!$N$42)*100</f>
        <v>54.903094127332594</v>
      </c>
      <c r="C350" s="163">
        <f>('Pivot Table for Data Exchange'!$N$45)*100</f>
        <v>9.2271542261251369</v>
      </c>
      <c r="D350" s="164">
        <f t="shared" ref="D350:D352" si="76">SUM(E350:G350)</f>
        <v>35.869751646542262</v>
      </c>
      <c r="E350" s="163">
        <f>('Pivot Table for Data Exchange'!$N$48)*100</f>
        <v>34.351330954994516</v>
      </c>
      <c r="F350" s="163">
        <f>('Pivot Table for Data Exchange'!$N$51)*100</f>
        <v>1.4451838638858396</v>
      </c>
      <c r="G350" s="171">
        <f>('Pivot Table for Data Exchange'!$N$54)*100</f>
        <v>7.3236827661909989E-2</v>
      </c>
      <c r="H350" s="175">
        <f>('Pivot Table for Data Exchange'!$N$57)*100</f>
        <v>0</v>
      </c>
      <c r="I350" s="134"/>
      <c r="J350" s="202"/>
      <c r="K350" s="202"/>
      <c r="L350" s="202"/>
      <c r="M350" s="202"/>
      <c r="N350" s="202"/>
      <c r="O350" s="202"/>
      <c r="P350" s="202"/>
      <c r="Q350" s="168">
        <f t="shared" si="74"/>
        <v>100</v>
      </c>
      <c r="R350" s="168"/>
      <c r="S350" s="169"/>
      <c r="T350" s="169"/>
      <c r="U350" s="169"/>
      <c r="V350" s="169"/>
      <c r="W350" s="169"/>
      <c r="X350" s="169"/>
      <c r="Y350" s="169"/>
      <c r="Z350" s="169"/>
      <c r="AA350" s="169"/>
      <c r="AB350" s="169"/>
      <c r="AC350" s="169"/>
      <c r="AD350" s="169"/>
      <c r="AE350" s="169"/>
      <c r="AF350" s="169"/>
      <c r="AG350" s="169"/>
      <c r="AH350" s="169"/>
      <c r="AI350" s="169"/>
      <c r="AJ350" s="169"/>
      <c r="AK350" s="169"/>
      <c r="AL350" s="169"/>
      <c r="AM350" s="169"/>
      <c r="AN350" s="169"/>
      <c r="AO350" s="169"/>
    </row>
    <row r="351" spans="1:41" ht="15.75" customHeight="1">
      <c r="A351" s="134" t="s">
        <v>620</v>
      </c>
      <c r="B351" s="163">
        <f>('Pivot Table for Data Exchange'!$N$78)*100</f>
        <v>0</v>
      </c>
      <c r="C351" s="163">
        <f>('Pivot Table for Data Exchange'!$N$81)*100</f>
        <v>0</v>
      </c>
      <c r="D351" s="164">
        <f t="shared" si="76"/>
        <v>0</v>
      </c>
      <c r="E351" s="163">
        <f>('Pivot Table for Data Exchange'!$N$84)*100</f>
        <v>0</v>
      </c>
      <c r="F351" s="163">
        <f>('Pivot Table for Data Exchange'!$N$87)*100</f>
        <v>0</v>
      </c>
      <c r="G351" s="171">
        <f>('Pivot Table for Data Exchange'!$N$90)*100</f>
        <v>0</v>
      </c>
      <c r="H351" s="163">
        <f>('Pivot Table for Data Exchange'!$N$93)*100</f>
        <v>0</v>
      </c>
      <c r="I351" s="134"/>
      <c r="J351" s="202"/>
      <c r="K351" s="202"/>
      <c r="L351" s="202"/>
      <c r="M351" s="202"/>
      <c r="N351" s="202"/>
      <c r="O351" s="202"/>
      <c r="P351" s="202"/>
      <c r="Q351" s="168">
        <f t="shared" si="74"/>
        <v>0</v>
      </c>
      <c r="R351" s="168"/>
      <c r="S351" s="169"/>
      <c r="T351" s="143"/>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row>
    <row r="352" spans="1:41" ht="15.75" customHeight="1">
      <c r="A352" s="134" t="s">
        <v>657</v>
      </c>
      <c r="B352" s="163">
        <f>('Pivot Table for Data Exchange'!$N$114)*100</f>
        <v>39.378129240559637</v>
      </c>
      <c r="C352" s="163">
        <f>('Pivot Table for Data Exchange'!$N$117)*100</f>
        <v>3.6568246689438957</v>
      </c>
      <c r="D352" s="164">
        <f t="shared" si="76"/>
        <v>56.965046090496472</v>
      </c>
      <c r="E352" s="163">
        <f>('Pivot Table for Data Exchange'!$N$120)*100</f>
        <v>56.422254456974407</v>
      </c>
      <c r="F352" s="163">
        <f>('Pivot Table for Data Exchange'!$N$123)*100</f>
        <v>0.54279163352206261</v>
      </c>
      <c r="G352" s="171">
        <f>('Pivot Table for Data Exchange'!$N$126)*100</f>
        <v>0</v>
      </c>
      <c r="H352" s="163">
        <f>('Pivot Table for Data Exchange'!$N$129)*100</f>
        <v>0</v>
      </c>
      <c r="I352" s="134"/>
      <c r="J352" s="202"/>
      <c r="K352" s="202"/>
      <c r="L352" s="202"/>
      <c r="M352" s="202"/>
      <c r="N352" s="202"/>
      <c r="O352" s="202"/>
      <c r="P352" s="202"/>
      <c r="Q352" s="168">
        <f t="shared" si="74"/>
        <v>100</v>
      </c>
      <c r="R352" s="168"/>
      <c r="S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row>
    <row r="353" spans="1:41" ht="15.75" customHeight="1">
      <c r="B353" s="163"/>
      <c r="C353" s="163"/>
      <c r="D353" s="164"/>
      <c r="E353" s="163"/>
      <c r="F353" s="163"/>
      <c r="G353" s="171"/>
      <c r="H353" s="163"/>
      <c r="I353" s="134"/>
      <c r="J353" s="202"/>
      <c r="K353" s="202"/>
      <c r="L353" s="202"/>
      <c r="M353" s="202"/>
      <c r="N353" s="202"/>
      <c r="O353" s="202"/>
      <c r="P353" s="202"/>
      <c r="Q353" s="168">
        <f t="shared" si="74"/>
        <v>0</v>
      </c>
      <c r="R353" s="168"/>
      <c r="S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row>
    <row r="354" spans="1:41" ht="15.75" customHeight="1">
      <c r="A354" s="134" t="s">
        <v>622</v>
      </c>
      <c r="B354" s="163">
        <f>('Pivot Table for Data Exchange'!$N$150)*100</f>
        <v>0</v>
      </c>
      <c r="C354" s="163">
        <f>('Pivot Table for Data Exchange'!$N$153)*100</f>
        <v>0</v>
      </c>
      <c r="D354" s="164">
        <f t="shared" ref="D354:D357" si="77">SUM(E354:G354)</f>
        <v>0</v>
      </c>
      <c r="E354" s="163">
        <f>('Pivot Table for Data Exchange'!$N$156)*100</f>
        <v>0</v>
      </c>
      <c r="F354" s="163">
        <f>('Pivot Table for Data Exchange'!$N$159)*100</f>
        <v>0</v>
      </c>
      <c r="G354" s="171">
        <f>('Pivot Table for Data Exchange'!$N$162)*100</f>
        <v>0</v>
      </c>
      <c r="H354" s="163">
        <f>('Pivot Table for Data Exchange'!$N$165)*100</f>
        <v>0</v>
      </c>
      <c r="I354" s="134"/>
      <c r="J354" s="202"/>
      <c r="K354" s="202"/>
      <c r="L354" s="202"/>
      <c r="M354" s="202"/>
      <c r="N354" s="202"/>
      <c r="O354" s="202"/>
      <c r="P354" s="202"/>
      <c r="Q354" s="168">
        <f t="shared" si="74"/>
        <v>0</v>
      </c>
      <c r="R354" s="168"/>
      <c r="S354" s="169"/>
      <c r="T354" s="169"/>
      <c r="U354" s="169"/>
      <c r="V354" s="169"/>
      <c r="W354" s="169"/>
      <c r="X354" s="169"/>
      <c r="Y354" s="169"/>
      <c r="Z354" s="169"/>
      <c r="AA354" s="169"/>
      <c r="AB354" s="169"/>
      <c r="AC354" s="169"/>
      <c r="AD354" s="169"/>
      <c r="AE354" s="169"/>
      <c r="AF354" s="169"/>
      <c r="AG354" s="169"/>
      <c r="AH354" s="169"/>
      <c r="AI354" s="169"/>
      <c r="AJ354" s="169"/>
      <c r="AK354" s="169"/>
      <c r="AL354" s="169"/>
      <c r="AM354" s="169"/>
      <c r="AN354" s="169"/>
      <c r="AO354" s="169"/>
    </row>
    <row r="355" spans="1:41" ht="15.75" customHeight="1">
      <c r="A355" s="134" t="s">
        <v>623</v>
      </c>
      <c r="B355" s="163">
        <f>('Pivot Table for Data Exchange'!$N$186)*100</f>
        <v>39.884264273557172</v>
      </c>
      <c r="C355" s="163">
        <f>('Pivot Table for Data Exchange'!$N$189)*100</f>
        <v>4.929908711124865</v>
      </c>
      <c r="D355" s="164">
        <f t="shared" si="77"/>
        <v>55.185827015317969</v>
      </c>
      <c r="E355" s="163">
        <f>('Pivot Table for Data Exchange'!$N$192)*100</f>
        <v>55.185827015317969</v>
      </c>
      <c r="F355" s="163">
        <f>('Pivot Table for Data Exchange'!$N$195)*100</f>
        <v>0</v>
      </c>
      <c r="G355" s="171">
        <f>('Pivot Table for Data Exchange'!$N$198)*100</f>
        <v>0</v>
      </c>
      <c r="H355" s="163">
        <f>('Pivot Table for Data Exchange'!$N$201)*100</f>
        <v>0</v>
      </c>
      <c r="I355" s="134"/>
      <c r="J355" s="202"/>
      <c r="K355" s="202"/>
      <c r="L355" s="202"/>
      <c r="M355" s="202"/>
      <c r="N355" s="202"/>
      <c r="O355" s="202"/>
      <c r="P355" s="202"/>
      <c r="Q355" s="168">
        <f t="shared" si="74"/>
        <v>100</v>
      </c>
      <c r="R355" s="168"/>
      <c r="S355" s="169"/>
      <c r="T355" s="169"/>
      <c r="U355" s="169"/>
      <c r="V355" s="169"/>
      <c r="W355" s="169"/>
      <c r="X355" s="169"/>
      <c r="Y355" s="169"/>
      <c r="Z355" s="169"/>
      <c r="AA355" s="169"/>
      <c r="AB355" s="169"/>
      <c r="AC355" s="169"/>
      <c r="AD355" s="169"/>
      <c r="AE355" s="169"/>
      <c r="AF355" s="169"/>
      <c r="AG355" s="169"/>
      <c r="AH355" s="169"/>
      <c r="AI355" s="169"/>
      <c r="AJ355" s="169"/>
      <c r="AK355" s="169"/>
      <c r="AL355" s="169"/>
      <c r="AM355" s="169"/>
      <c r="AN355" s="169"/>
      <c r="AO355" s="169"/>
    </row>
    <row r="356" spans="1:41" ht="15.75" customHeight="1">
      <c r="A356" s="134" t="s">
        <v>624</v>
      </c>
      <c r="B356" s="163">
        <f>('Pivot Table for Data Exchange'!$N$222)*100</f>
        <v>54.242141180507318</v>
      </c>
      <c r="C356" s="163">
        <f>('Pivot Table for Data Exchange'!$N$225)*100</f>
        <v>0</v>
      </c>
      <c r="D356" s="164">
        <f t="shared" si="77"/>
        <v>45.757858819492689</v>
      </c>
      <c r="E356" s="163">
        <f>('Pivot Table for Data Exchange'!$N$228)*100</f>
        <v>45.757858819492689</v>
      </c>
      <c r="F356" s="163">
        <f>('Pivot Table for Data Exchange'!$N$231)*100</f>
        <v>0</v>
      </c>
      <c r="G356" s="171">
        <f>('Pivot Table for Data Exchange'!$N$234)*100</f>
        <v>0</v>
      </c>
      <c r="H356" s="163">
        <f>('Pivot Table for Data Exchange'!$N$237)*100</f>
        <v>0</v>
      </c>
      <c r="I356" s="134"/>
      <c r="J356" s="202"/>
      <c r="K356" s="202"/>
      <c r="L356" s="202"/>
      <c r="M356" s="202"/>
      <c r="N356" s="202"/>
      <c r="O356" s="202"/>
      <c r="P356" s="202"/>
      <c r="Q356" s="168">
        <f t="shared" si="74"/>
        <v>100</v>
      </c>
      <c r="R356" s="168"/>
      <c r="S356" s="169"/>
      <c r="T356" s="143"/>
      <c r="U356" s="169"/>
      <c r="V356" s="169"/>
      <c r="W356" s="169"/>
      <c r="X356" s="169"/>
      <c r="Y356" s="169"/>
      <c r="Z356" s="169"/>
      <c r="AA356" s="169"/>
      <c r="AB356" s="169"/>
      <c r="AC356" s="169"/>
      <c r="AD356" s="169"/>
      <c r="AE356" s="169"/>
      <c r="AF356" s="169"/>
      <c r="AG356" s="169"/>
      <c r="AH356" s="169"/>
      <c r="AI356" s="169"/>
      <c r="AJ356" s="169"/>
      <c r="AK356" s="169"/>
      <c r="AL356" s="169"/>
      <c r="AM356" s="169"/>
      <c r="AN356" s="169"/>
      <c r="AO356" s="169"/>
    </row>
    <row r="357" spans="1:41" ht="15.75" customHeight="1">
      <c r="A357" s="134" t="s">
        <v>625</v>
      </c>
      <c r="B357" s="163">
        <f>('Pivot Table for Data Exchange'!$N$258)*100</f>
        <v>42.648512394498916</v>
      </c>
      <c r="C357" s="163">
        <f>('Pivot Table for Data Exchange'!$N$261)*100</f>
        <v>5.4529923372343863</v>
      </c>
      <c r="D357" s="164">
        <f t="shared" si="77"/>
        <v>51.8984952682667</v>
      </c>
      <c r="E357" s="163">
        <f>('Pivot Table for Data Exchange'!$N$264)*100</f>
        <v>51.428187960748076</v>
      </c>
      <c r="F357" s="163">
        <f>('Pivot Table for Data Exchange'!$N$267)*100</f>
        <v>0.47030730751862571</v>
      </c>
      <c r="G357" s="171">
        <f>('Pivot Table for Data Exchange'!$N$270)*100</f>
        <v>0</v>
      </c>
      <c r="H357" s="163">
        <f>('Pivot Table for Data Exchange'!$N$273)*100</f>
        <v>0</v>
      </c>
      <c r="I357" s="134"/>
      <c r="J357" s="202"/>
      <c r="K357" s="202"/>
      <c r="L357" s="202"/>
      <c r="M357" s="202"/>
      <c r="N357" s="202"/>
      <c r="O357" s="202"/>
      <c r="P357" s="202"/>
      <c r="Q357" s="168">
        <f t="shared" si="74"/>
        <v>100</v>
      </c>
      <c r="R357" s="168"/>
      <c r="S357" s="169"/>
      <c r="U357" s="169"/>
      <c r="V357" s="169"/>
      <c r="W357" s="169"/>
      <c r="X357" s="169"/>
      <c r="Y357" s="169"/>
      <c r="Z357" s="169"/>
      <c r="AA357" s="169"/>
      <c r="AB357" s="169"/>
      <c r="AC357" s="169"/>
      <c r="AD357" s="169"/>
      <c r="AE357" s="169"/>
      <c r="AF357" s="169"/>
      <c r="AG357" s="169"/>
      <c r="AH357" s="169"/>
      <c r="AI357" s="169"/>
      <c r="AJ357" s="169"/>
      <c r="AK357" s="169"/>
      <c r="AL357" s="169"/>
      <c r="AM357" s="169"/>
      <c r="AN357" s="169"/>
      <c r="AO357" s="169"/>
    </row>
    <row r="358" spans="1:41" ht="12.75" customHeight="1">
      <c r="B358" s="163"/>
      <c r="C358" s="163"/>
      <c r="D358" s="164"/>
      <c r="E358" s="163"/>
      <c r="F358" s="163"/>
      <c r="G358" s="171"/>
      <c r="H358" s="163"/>
      <c r="I358" s="134"/>
      <c r="J358" s="202"/>
      <c r="K358" s="202"/>
      <c r="L358" s="202"/>
      <c r="M358" s="202"/>
      <c r="N358" s="202"/>
      <c r="O358" s="202"/>
      <c r="P358" s="202"/>
      <c r="Q358" s="168">
        <f t="shared" si="74"/>
        <v>0</v>
      </c>
      <c r="R358" s="168"/>
      <c r="S358" s="169"/>
      <c r="U358" s="169"/>
      <c r="V358" s="169"/>
      <c r="W358" s="169"/>
      <c r="X358" s="169"/>
      <c r="Y358" s="169"/>
      <c r="Z358" s="169"/>
      <c r="AA358" s="169"/>
      <c r="AB358" s="169"/>
      <c r="AC358" s="169"/>
      <c r="AD358" s="169"/>
      <c r="AE358" s="169"/>
      <c r="AF358" s="169"/>
      <c r="AG358" s="169"/>
      <c r="AH358" s="169"/>
      <c r="AI358" s="169"/>
      <c r="AJ358" s="169"/>
      <c r="AK358" s="169"/>
      <c r="AL358" s="169"/>
      <c r="AM358" s="169"/>
      <c r="AN358" s="169"/>
      <c r="AO358" s="169"/>
    </row>
    <row r="359" spans="1:41" ht="15.75" customHeight="1">
      <c r="A359" s="134" t="s">
        <v>672</v>
      </c>
      <c r="B359" s="163">
        <f>('Pivot Table for Data Exchange'!$N$294)*100</f>
        <v>60.953244173601128</v>
      </c>
      <c r="C359" s="163">
        <f>('Pivot Table for Data Exchange'!$N$297)*100</f>
        <v>0.12438650454637495</v>
      </c>
      <c r="D359" s="164">
        <f t="shared" ref="D359:D361" si="78">SUM(E359:G359)</f>
        <v>38.922369321852493</v>
      </c>
      <c r="E359" s="163">
        <f>('Pivot Table for Data Exchange'!$N$300)*100</f>
        <v>38.922369321852493</v>
      </c>
      <c r="F359" s="163">
        <f>('Pivot Table for Data Exchange'!$N$303)*100</f>
        <v>0</v>
      </c>
      <c r="G359" s="171">
        <f>('Pivot Table for Data Exchange'!$N$306)*100</f>
        <v>0</v>
      </c>
      <c r="H359" s="163">
        <f>('Pivot Table for Data Exchange'!$N$309)*100</f>
        <v>0</v>
      </c>
      <c r="I359" s="209"/>
      <c r="J359" s="202"/>
      <c r="K359" s="202"/>
      <c r="L359" s="202"/>
      <c r="M359" s="202"/>
      <c r="N359" s="202"/>
      <c r="O359" s="202"/>
      <c r="P359" s="202"/>
      <c r="Q359" s="168">
        <f t="shared" si="74"/>
        <v>100</v>
      </c>
      <c r="R359" s="168"/>
      <c r="S359" s="169"/>
      <c r="T359" s="169"/>
      <c r="U359" s="169"/>
      <c r="V359" s="169"/>
      <c r="W359" s="169"/>
      <c r="X359" s="169"/>
      <c r="Y359" s="169"/>
      <c r="Z359" s="169"/>
      <c r="AA359" s="169"/>
      <c r="AB359" s="169"/>
      <c r="AC359" s="169"/>
      <c r="AD359" s="169"/>
      <c r="AE359" s="169"/>
      <c r="AF359" s="169"/>
      <c r="AG359" s="169"/>
      <c r="AH359" s="169"/>
      <c r="AI359" s="169"/>
      <c r="AJ359" s="169"/>
      <c r="AK359" s="169"/>
      <c r="AL359" s="169"/>
      <c r="AM359" s="169"/>
      <c r="AN359" s="169"/>
      <c r="AO359" s="169"/>
    </row>
    <row r="360" spans="1:41" ht="15.75" customHeight="1">
      <c r="A360" s="134" t="s">
        <v>627</v>
      </c>
      <c r="B360" s="163">
        <f>('Pivot Table for Data Exchange'!$N$330)*100</f>
        <v>30.725313579981979</v>
      </c>
      <c r="C360" s="163">
        <f>('Pivot Table for Data Exchange'!$N$333)*100</f>
        <v>5.0564951724745786</v>
      </c>
      <c r="D360" s="164">
        <f t="shared" si="78"/>
        <v>64.218191247543444</v>
      </c>
      <c r="E360" s="163">
        <f>('Pivot Table for Data Exchange'!$N$336)*100</f>
        <v>64.218191247543444</v>
      </c>
      <c r="F360" s="163">
        <f>('Pivot Table for Data Exchange'!$N$339)*100</f>
        <v>0</v>
      </c>
      <c r="G360" s="171">
        <f>('Pivot Table for Data Exchange'!$N$342)*100</f>
        <v>0</v>
      </c>
      <c r="H360" s="163">
        <f>('Pivot Table for Data Exchange'!$N$345)*100</f>
        <v>0</v>
      </c>
      <c r="I360" s="134"/>
      <c r="J360" s="202"/>
      <c r="K360" s="202"/>
      <c r="L360" s="202"/>
      <c r="M360" s="202"/>
      <c r="N360" s="202"/>
      <c r="O360" s="202"/>
      <c r="P360" s="202"/>
      <c r="Q360" s="168">
        <f t="shared" si="74"/>
        <v>100</v>
      </c>
      <c r="R360" s="168"/>
      <c r="S360" s="169"/>
      <c r="T360" s="169"/>
      <c r="U360" s="169"/>
      <c r="V360" s="169"/>
      <c r="W360" s="169"/>
      <c r="X360" s="169"/>
      <c r="Y360" s="169"/>
      <c r="Z360" s="169"/>
      <c r="AA360" s="169"/>
      <c r="AB360" s="169"/>
      <c r="AC360" s="169"/>
      <c r="AD360" s="169"/>
      <c r="AE360" s="169"/>
      <c r="AF360" s="169"/>
      <c r="AG360" s="169"/>
      <c r="AH360" s="169"/>
      <c r="AI360" s="169"/>
      <c r="AJ360" s="169"/>
      <c r="AK360" s="169"/>
      <c r="AL360" s="169"/>
      <c r="AM360" s="169"/>
      <c r="AN360" s="169"/>
      <c r="AO360" s="169"/>
    </row>
    <row r="361" spans="1:41" ht="15.75" customHeight="1">
      <c r="A361" s="134" t="s">
        <v>628</v>
      </c>
      <c r="B361" s="163">
        <f>('Pivot Table for Data Exchange'!$N$366)*100</f>
        <v>0</v>
      </c>
      <c r="C361" s="163">
        <f>('Pivot Table for Data Exchange'!$N$369)*100</f>
        <v>0</v>
      </c>
      <c r="D361" s="164">
        <f t="shared" si="78"/>
        <v>0</v>
      </c>
      <c r="E361" s="163">
        <f>('Pivot Table for Data Exchange'!$N$372)*100</f>
        <v>0</v>
      </c>
      <c r="F361" s="163">
        <f>('Pivot Table for Data Exchange'!$N$375)*100</f>
        <v>0</v>
      </c>
      <c r="G361" s="171">
        <f>('Pivot Table for Data Exchange'!$N$378)*100</f>
        <v>0</v>
      </c>
      <c r="H361" s="163">
        <f>('Pivot Table for Data Exchange'!$N$381)*100</f>
        <v>0</v>
      </c>
      <c r="I361" s="134"/>
      <c r="J361" s="202"/>
      <c r="K361" s="202"/>
      <c r="L361" s="202"/>
      <c r="M361" s="202"/>
      <c r="N361" s="202"/>
      <c r="O361" s="202"/>
      <c r="P361" s="202"/>
      <c r="Q361" s="168">
        <f t="shared" si="74"/>
        <v>0</v>
      </c>
      <c r="R361" s="168"/>
      <c r="S361" s="169"/>
      <c r="T361" s="143"/>
      <c r="U361" s="169"/>
      <c r="V361" s="169"/>
      <c r="W361" s="169"/>
      <c r="X361" s="169"/>
      <c r="Y361" s="169"/>
      <c r="Z361" s="169"/>
      <c r="AA361" s="169"/>
      <c r="AB361" s="169"/>
      <c r="AC361" s="169"/>
      <c r="AD361" s="169"/>
      <c r="AE361" s="169"/>
      <c r="AF361" s="169"/>
      <c r="AG361" s="169"/>
      <c r="AH361" s="169"/>
      <c r="AI361" s="169"/>
      <c r="AJ361" s="169"/>
      <c r="AK361" s="169"/>
      <c r="AL361" s="169"/>
      <c r="AM361" s="169"/>
      <c r="AN361" s="169"/>
      <c r="AO361" s="169"/>
    </row>
    <row r="362" spans="1:41" ht="15.75" customHeight="1">
      <c r="A362" s="134" t="s">
        <v>629</v>
      </c>
      <c r="B362" s="163">
        <f>('Pivot Table for Data Exchange'!$N$402)*100</f>
        <v>31.870650555690201</v>
      </c>
      <c r="C362" s="163">
        <f>('Pivot Table for Data Exchange'!$N$405)*100</f>
        <v>9.1413634317764778</v>
      </c>
      <c r="D362" s="164">
        <f>SUM(E362:G362)</f>
        <v>58.987986012533327</v>
      </c>
      <c r="E362" s="163">
        <f>('Pivot Table for Data Exchange'!$N$408)*100</f>
        <v>56.864591628293461</v>
      </c>
      <c r="F362" s="163">
        <f>('Pivot Table for Data Exchange'!$N$411)*100</f>
        <v>0.20011771630370806</v>
      </c>
      <c r="G362" s="171">
        <f>('Pivot Table for Data Exchange'!$N$414)*100</f>
        <v>1.9232766679361561</v>
      </c>
      <c r="H362" s="163">
        <f>('Pivot Table for Data Exchange'!$N$417)*100</f>
        <v>0</v>
      </c>
      <c r="I362" s="134"/>
      <c r="J362" s="202"/>
      <c r="K362" s="202"/>
      <c r="L362" s="202"/>
      <c r="M362" s="202"/>
      <c r="N362" s="202"/>
      <c r="O362" s="202"/>
      <c r="P362" s="202"/>
      <c r="Q362" s="168">
        <f t="shared" si="74"/>
        <v>100</v>
      </c>
      <c r="R362" s="168"/>
      <c r="S362" s="169"/>
      <c r="T362" s="169"/>
      <c r="U362" s="169"/>
      <c r="V362" s="169"/>
      <c r="W362" s="169"/>
      <c r="X362" s="169"/>
      <c r="Y362" s="169"/>
      <c r="Z362" s="169"/>
      <c r="AA362" s="169"/>
      <c r="AB362" s="169"/>
      <c r="AC362" s="169"/>
      <c r="AD362" s="169"/>
      <c r="AE362" s="169"/>
      <c r="AF362" s="169"/>
      <c r="AG362" s="169"/>
      <c r="AH362" s="169"/>
      <c r="AI362" s="169"/>
      <c r="AJ362" s="169"/>
      <c r="AK362" s="169"/>
      <c r="AL362" s="169"/>
      <c r="AM362" s="169"/>
      <c r="AN362" s="169"/>
      <c r="AO362" s="169"/>
    </row>
    <row r="363" spans="1:41" ht="12" customHeight="1">
      <c r="B363" s="163"/>
      <c r="C363" s="163"/>
      <c r="D363" s="164"/>
      <c r="E363" s="163"/>
      <c r="F363" s="163"/>
      <c r="G363" s="171"/>
      <c r="H363" s="163"/>
      <c r="I363" s="134"/>
      <c r="J363" s="202"/>
      <c r="K363" s="202"/>
      <c r="L363" s="202"/>
      <c r="M363" s="202"/>
      <c r="N363" s="202"/>
      <c r="O363" s="202"/>
      <c r="P363" s="202"/>
      <c r="Q363" s="168">
        <f t="shared" si="74"/>
        <v>0</v>
      </c>
      <c r="R363" s="168"/>
      <c r="S363" s="169"/>
      <c r="T363" s="169"/>
      <c r="U363" s="169"/>
      <c r="V363" s="169"/>
      <c r="W363" s="169"/>
      <c r="X363" s="169"/>
      <c r="Y363" s="169"/>
      <c r="Z363" s="169"/>
      <c r="AA363" s="169"/>
      <c r="AB363" s="169"/>
      <c r="AC363" s="169"/>
      <c r="AD363" s="169"/>
      <c r="AE363" s="169"/>
      <c r="AF363" s="169"/>
      <c r="AG363" s="169"/>
      <c r="AH363" s="169"/>
      <c r="AI363" s="169"/>
      <c r="AJ363" s="169"/>
      <c r="AK363" s="169"/>
      <c r="AL363" s="169"/>
      <c r="AM363" s="169"/>
      <c r="AN363" s="169"/>
      <c r="AO363" s="169"/>
    </row>
    <row r="364" spans="1:41" ht="15.75" customHeight="1">
      <c r="A364" s="134" t="s">
        <v>630</v>
      </c>
      <c r="B364" s="163">
        <f>('Pivot Table for Data Exchange'!$N$438)*100</f>
        <v>27.073371482323434</v>
      </c>
      <c r="C364" s="163">
        <f>('Pivot Table for Data Exchange'!$N$441)*100</f>
        <v>32.493924903974289</v>
      </c>
      <c r="D364" s="164">
        <f>SUM(E364:G364)</f>
        <v>39.911421180528336</v>
      </c>
      <c r="E364" s="163">
        <f>('Pivot Table for Data Exchange'!$N$444)*100</f>
        <v>32.429254526926393</v>
      </c>
      <c r="F364" s="163">
        <f>('Pivot Table for Data Exchange'!$N$447)*100</f>
        <v>5.4832640903033631</v>
      </c>
      <c r="G364" s="171">
        <f>('Pivot Table for Data Exchange'!$N$450)*100</f>
        <v>1.9989025632985811</v>
      </c>
      <c r="H364" s="163">
        <f>('Pivot Table for Data Exchange'!$N$453)*100</f>
        <v>0.52128243317394374</v>
      </c>
      <c r="I364" s="134"/>
      <c r="J364" s="202"/>
      <c r="K364" s="202"/>
      <c r="L364" s="202"/>
      <c r="M364" s="202"/>
      <c r="N364" s="202"/>
      <c r="O364" s="202"/>
      <c r="P364" s="202"/>
      <c r="Q364" s="168">
        <f t="shared" si="74"/>
        <v>100</v>
      </c>
      <c r="R364" s="168"/>
      <c r="S364" s="169"/>
      <c r="T364" s="169"/>
      <c r="U364" s="169"/>
      <c r="V364" s="169"/>
      <c r="W364" s="169"/>
      <c r="X364" s="169"/>
      <c r="Y364" s="169"/>
      <c r="Z364" s="169"/>
      <c r="AA364" s="169"/>
      <c r="AB364" s="169"/>
      <c r="AC364" s="169"/>
      <c r="AD364" s="169"/>
      <c r="AE364" s="169"/>
      <c r="AF364" s="169"/>
      <c r="AG364" s="169"/>
      <c r="AH364" s="169"/>
      <c r="AI364" s="169"/>
      <c r="AJ364" s="169"/>
      <c r="AK364" s="169"/>
      <c r="AL364" s="169"/>
      <c r="AM364" s="169"/>
      <c r="AN364" s="169"/>
      <c r="AO364" s="169"/>
    </row>
    <row r="365" spans="1:41" ht="15.75" customHeight="1">
      <c r="A365" s="134" t="s">
        <v>631</v>
      </c>
      <c r="B365" s="163">
        <f>('Pivot Table for Data Exchange'!$N$474)*100</f>
        <v>28.304709682754886</v>
      </c>
      <c r="C365" s="163">
        <f>('Pivot Table for Data Exchange'!$N$477)*100</f>
        <v>12.312889539356789</v>
      </c>
      <c r="D365" s="164">
        <f>SUM(E365:G365)</f>
        <v>59.382400777888321</v>
      </c>
      <c r="E365" s="163">
        <f>('Pivot Table for Data Exchange'!$N$480)*100</f>
        <v>57.506847873212216</v>
      </c>
      <c r="F365" s="163">
        <f>('Pivot Table for Data Exchange'!$N$483)*100</f>
        <v>0.79467908347513583</v>
      </c>
      <c r="G365" s="171">
        <f>('Pivot Table for Data Exchange'!$N$486)*100</f>
        <v>1.0808738212009652</v>
      </c>
      <c r="H365" s="163">
        <f>('Pivot Table for Data Exchange'!$N$489)*100</f>
        <v>0</v>
      </c>
      <c r="I365" s="134"/>
      <c r="J365" s="202"/>
      <c r="K365" s="202"/>
      <c r="L365" s="202"/>
      <c r="M365" s="202"/>
      <c r="N365" s="202"/>
      <c r="O365" s="202"/>
      <c r="P365" s="202"/>
      <c r="Q365" s="168">
        <f t="shared" si="74"/>
        <v>100</v>
      </c>
      <c r="R365" s="168"/>
      <c r="S365" s="169"/>
      <c r="T365" s="169"/>
      <c r="U365" s="169"/>
      <c r="V365" s="169"/>
      <c r="W365" s="169"/>
      <c r="X365" s="169"/>
      <c r="Y365" s="169"/>
      <c r="Z365" s="169"/>
      <c r="AA365" s="169"/>
      <c r="AB365" s="169"/>
      <c r="AC365" s="169"/>
      <c r="AD365" s="169"/>
      <c r="AE365" s="169"/>
      <c r="AF365" s="169"/>
      <c r="AG365" s="169"/>
      <c r="AH365" s="169"/>
      <c r="AI365" s="169"/>
      <c r="AJ365" s="169"/>
      <c r="AK365" s="169"/>
      <c r="AL365" s="169"/>
      <c r="AM365" s="169"/>
      <c r="AN365" s="169"/>
      <c r="AO365" s="169"/>
    </row>
    <row r="366" spans="1:41" ht="15.75" customHeight="1">
      <c r="A366" s="134" t="s">
        <v>632</v>
      </c>
      <c r="B366" s="163">
        <f>('Pivot Table for Data Exchange'!$N$510)*100</f>
        <v>21.924367442547535</v>
      </c>
      <c r="C366" s="163">
        <f>('Pivot Table for Data Exchange'!$N$513)*100</f>
        <v>19.49775254816722</v>
      </c>
      <c r="D366" s="164">
        <f t="shared" ref="D366" si="79">SUM(E366:G366)</f>
        <v>58.577880009285245</v>
      </c>
      <c r="E366" s="163">
        <f>('Pivot Table for Data Exchange'!$N$516)*100</f>
        <v>48.890412982463545</v>
      </c>
      <c r="F366" s="163">
        <f>('Pivot Table for Data Exchange'!$N$519)*100</f>
        <v>7.9262244919492684</v>
      </c>
      <c r="G366" s="171">
        <f>('Pivot Table for Data Exchange'!$N$522)*100</f>
        <v>1.7612425348724334</v>
      </c>
      <c r="H366" s="163">
        <f>('Pivot Table for Data Exchange'!$N$525)*100</f>
        <v>0</v>
      </c>
      <c r="I366" s="134"/>
      <c r="J366" s="202"/>
      <c r="K366" s="202"/>
      <c r="L366" s="202"/>
      <c r="M366" s="202"/>
      <c r="N366" s="202"/>
      <c r="O366" s="202"/>
      <c r="P366" s="202"/>
      <c r="Q366" s="168">
        <f t="shared" si="74"/>
        <v>100</v>
      </c>
      <c r="R366" s="168"/>
      <c r="S366" s="169"/>
      <c r="T366" s="169"/>
      <c r="U366" s="169"/>
      <c r="V366" s="169"/>
      <c r="W366" s="169"/>
      <c r="X366" s="169"/>
      <c r="Y366" s="169"/>
      <c r="Z366" s="169"/>
      <c r="AA366" s="169"/>
      <c r="AB366" s="169"/>
      <c r="AC366" s="169"/>
      <c r="AD366" s="169"/>
      <c r="AE366" s="169"/>
      <c r="AF366" s="169"/>
      <c r="AG366" s="169"/>
      <c r="AH366" s="169"/>
      <c r="AI366" s="169"/>
      <c r="AJ366" s="169"/>
      <c r="AK366" s="169"/>
      <c r="AL366" s="169"/>
      <c r="AM366" s="169"/>
      <c r="AN366" s="169"/>
      <c r="AO366" s="169"/>
    </row>
    <row r="367" spans="1:41" ht="15.75" customHeight="1">
      <c r="A367" s="140" t="s">
        <v>633</v>
      </c>
      <c r="B367" s="176">
        <f>('Pivot Table for Data Exchange'!$N$546)*100</f>
        <v>42.50865312264861</v>
      </c>
      <c r="C367" s="176">
        <f>('Pivot Table for Data Exchange'!$N$549)*100</f>
        <v>6.1494858289440675</v>
      </c>
      <c r="D367" s="177">
        <f>SUM(E367:G367)</f>
        <v>51.341861048407324</v>
      </c>
      <c r="E367" s="176">
        <f>('Pivot Table for Data Exchange'!$N$552)*100</f>
        <v>49.205919237521947</v>
      </c>
      <c r="F367" s="176">
        <f>('Pivot Table for Data Exchange'!$N$555)*100</f>
        <v>1.4301479809380486</v>
      </c>
      <c r="G367" s="178">
        <f>('Pivot Table for Data Exchange'!$N$558)*100</f>
        <v>0.70579382994732875</v>
      </c>
      <c r="H367" s="176">
        <f>('Pivot Table for Data Exchange'!$N$561)*100</f>
        <v>0</v>
      </c>
      <c r="I367" s="134"/>
      <c r="J367" s="202"/>
      <c r="K367" s="202"/>
      <c r="L367" s="202"/>
      <c r="M367" s="202"/>
      <c r="N367" s="202"/>
      <c r="O367" s="202"/>
      <c r="P367" s="202"/>
      <c r="Q367" s="168">
        <f t="shared" si="74"/>
        <v>100</v>
      </c>
      <c r="R367" s="168"/>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row>
    <row r="368" spans="1:41" s="181" customFormat="1" ht="11.25" customHeight="1">
      <c r="A368" s="182" t="s">
        <v>658</v>
      </c>
      <c r="B368" s="183"/>
      <c r="C368" s="183"/>
      <c r="D368" s="184"/>
      <c r="E368" s="183"/>
      <c r="F368" s="184"/>
      <c r="G368" s="184"/>
      <c r="H368" s="183"/>
      <c r="I368" s="192"/>
      <c r="J368" s="183"/>
      <c r="K368" s="183"/>
      <c r="L368" s="184"/>
      <c r="M368" s="183"/>
      <c r="N368" s="184"/>
      <c r="O368" s="184"/>
      <c r="P368" s="183"/>
      <c r="Q368" s="168">
        <f t="shared" si="74"/>
        <v>0</v>
      </c>
      <c r="R368" s="203"/>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row>
    <row r="369" spans="1:41" s="181" customFormat="1" ht="24" customHeight="1">
      <c r="A369" s="633" t="s">
        <v>673</v>
      </c>
      <c r="B369" s="650"/>
      <c r="C369" s="650"/>
      <c r="D369" s="650"/>
      <c r="E369" s="650"/>
      <c r="F369" s="650"/>
      <c r="G369" s="650"/>
      <c r="H369" s="650"/>
      <c r="I369" s="192"/>
      <c r="P369" s="194"/>
      <c r="Q369" s="168">
        <f t="shared" si="74"/>
        <v>0</v>
      </c>
      <c r="R369" s="204"/>
    </row>
    <row r="370" spans="1:41" s="181" customFormat="1" ht="13.5" customHeight="1">
      <c r="A370" s="192"/>
      <c r="I370" s="192"/>
      <c r="Q370" s="168">
        <f t="shared" si="74"/>
        <v>0</v>
      </c>
      <c r="R370" s="204"/>
    </row>
    <row r="371" spans="1:41" s="181" customFormat="1">
      <c r="B371" s="183"/>
      <c r="C371" s="183"/>
      <c r="D371" s="184"/>
      <c r="E371" s="183"/>
      <c r="F371" s="184"/>
      <c r="G371" s="184"/>
      <c r="H371" s="187" t="s">
        <v>992</v>
      </c>
      <c r="I371" s="208"/>
      <c r="Q371" s="168">
        <f t="shared" si="74"/>
        <v>0</v>
      </c>
      <c r="R371" s="203"/>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row>
    <row r="372" spans="1:41" ht="18">
      <c r="A372" s="129" t="s">
        <v>679</v>
      </c>
      <c r="B372" s="130"/>
      <c r="C372" s="130"/>
      <c r="D372" s="130"/>
      <c r="E372" s="130"/>
      <c r="F372" s="130"/>
      <c r="G372" s="130"/>
      <c r="H372" s="130"/>
      <c r="Q372" s="168">
        <f t="shared" si="74"/>
        <v>0</v>
      </c>
    </row>
    <row r="373" spans="1:41">
      <c r="A373" s="135"/>
      <c r="B373" s="131"/>
      <c r="C373" s="131"/>
      <c r="D373" s="131"/>
      <c r="E373" s="131"/>
      <c r="F373" s="131"/>
      <c r="G373" s="131"/>
      <c r="H373" s="131"/>
      <c r="Q373" s="168">
        <f t="shared" si="74"/>
        <v>0</v>
      </c>
    </row>
    <row r="374" spans="1:41" ht="15.75">
      <c r="A374" s="137" t="s">
        <v>639</v>
      </c>
      <c r="B374" s="131"/>
      <c r="C374" s="131"/>
      <c r="D374" s="131"/>
      <c r="E374" s="131"/>
      <c r="F374" s="131"/>
      <c r="G374" s="131"/>
      <c r="H374" s="131"/>
      <c r="Q374" s="168">
        <f t="shared" si="74"/>
        <v>0</v>
      </c>
    </row>
    <row r="375" spans="1:41" ht="15.75">
      <c r="A375" s="137" t="s">
        <v>875</v>
      </c>
      <c r="B375" s="131"/>
      <c r="C375" s="131"/>
      <c r="D375" s="131"/>
      <c r="E375" s="131"/>
      <c r="F375" s="131"/>
      <c r="G375" s="131"/>
      <c r="H375" s="131"/>
      <c r="Q375" s="168">
        <f t="shared" si="74"/>
        <v>0</v>
      </c>
    </row>
    <row r="376" spans="1:41">
      <c r="A376" s="140"/>
      <c r="B376" s="141"/>
      <c r="C376" s="141"/>
      <c r="D376" s="141"/>
      <c r="E376" s="141"/>
      <c r="F376" s="141"/>
      <c r="G376" s="141"/>
      <c r="H376" s="141"/>
      <c r="Q376" s="168">
        <f t="shared" si="74"/>
        <v>0</v>
      </c>
    </row>
    <row r="377" spans="1:41">
      <c r="A377" s="145"/>
      <c r="B377" s="146" t="s">
        <v>641</v>
      </c>
      <c r="C377" s="146"/>
      <c r="D377" s="146"/>
      <c r="E377" s="146"/>
      <c r="F377" s="146"/>
      <c r="G377" s="146"/>
      <c r="H377" s="147"/>
      <c r="Q377" s="168">
        <f t="shared" si="74"/>
        <v>0</v>
      </c>
    </row>
    <row r="378" spans="1:41">
      <c r="A378" s="145"/>
      <c r="B378" s="146" t="s">
        <v>642</v>
      </c>
      <c r="C378" s="146"/>
      <c r="D378" s="639" t="s">
        <v>643</v>
      </c>
      <c r="E378" s="637"/>
      <c r="F378" s="637"/>
      <c r="G378" s="637"/>
      <c r="H378" s="153" t="s">
        <v>533</v>
      </c>
      <c r="Q378" s="168">
        <f t="shared" si="74"/>
        <v>0</v>
      </c>
    </row>
    <row r="379" spans="1:41" ht="36">
      <c r="A379" s="145"/>
      <c r="B379" s="154" t="s">
        <v>644</v>
      </c>
      <c r="C379" s="155" t="s">
        <v>645</v>
      </c>
      <c r="D379" s="156" t="s">
        <v>646</v>
      </c>
      <c r="E379" s="157" t="s">
        <v>8</v>
      </c>
      <c r="F379" s="154" t="s">
        <v>647</v>
      </c>
      <c r="G379" s="158" t="s">
        <v>656</v>
      </c>
      <c r="H379" s="159" t="s">
        <v>649</v>
      </c>
      <c r="Q379" s="168">
        <f t="shared" si="74"/>
        <v>0</v>
      </c>
    </row>
    <row r="380" spans="1:41" ht="15.75" customHeight="1">
      <c r="A380" s="189" t="s">
        <v>618</v>
      </c>
      <c r="B380" s="163">
        <f>('Pivot Table for Data Exchange'!$R$6)*100</f>
        <v>53.207382498652358</v>
      </c>
      <c r="C380" s="163">
        <f>('Pivot Table for Data Exchange'!$R$9)*100</f>
        <v>10.968503734887184</v>
      </c>
      <c r="D380" s="164">
        <f>SUM(E380:G380)</f>
        <v>35.824113766460457</v>
      </c>
      <c r="E380" s="163">
        <f>('Pivot Table for Data Exchange'!$R$12)*100</f>
        <v>35.824113766460457</v>
      </c>
      <c r="F380" s="163">
        <f>('Pivot Table for Data Exchange'!$R$15)*100</f>
        <v>0</v>
      </c>
      <c r="G380" s="167">
        <f>('Pivot Table for Data Exchange'!$R$18)*100</f>
        <v>0</v>
      </c>
      <c r="H380" s="163">
        <f>('Pivot Table for Data Exchange'!$R$21)*100</f>
        <v>0</v>
      </c>
      <c r="I380" s="134"/>
      <c r="J380" s="202"/>
      <c r="K380" s="202"/>
      <c r="L380" s="202"/>
      <c r="M380" s="202"/>
      <c r="N380" s="202"/>
      <c r="O380" s="202"/>
      <c r="P380" s="202"/>
      <c r="Q380" s="168">
        <f t="shared" si="74"/>
        <v>100</v>
      </c>
      <c r="R380" s="168"/>
      <c r="S380" s="169"/>
      <c r="T380" s="169"/>
      <c r="U380" s="169"/>
      <c r="V380" s="169"/>
      <c r="W380" s="169"/>
      <c r="X380" s="169"/>
      <c r="Y380" s="169"/>
      <c r="Z380" s="169"/>
      <c r="AA380" s="169"/>
      <c r="AB380" s="169"/>
      <c r="AC380" s="169"/>
      <c r="AD380" s="169"/>
      <c r="AE380" s="169"/>
      <c r="AF380" s="169"/>
      <c r="AG380" s="169"/>
      <c r="AH380" s="169"/>
      <c r="AI380" s="169"/>
      <c r="AJ380" s="169"/>
      <c r="AK380" s="169"/>
      <c r="AL380" s="169"/>
      <c r="AM380" s="169"/>
      <c r="AN380" s="169"/>
      <c r="AO380" s="169"/>
    </row>
    <row r="381" spans="1:41" ht="15.75" customHeight="1">
      <c r="A381" s="134" t="s">
        <v>619</v>
      </c>
      <c r="B381" s="163">
        <f>('Pivot Table for Data Exchange'!$R$42)*100</f>
        <v>0</v>
      </c>
      <c r="C381" s="163">
        <f>('Pivot Table for Data Exchange'!$R$45)*100</f>
        <v>0</v>
      </c>
      <c r="D381" s="164">
        <f t="shared" ref="D381:D383" si="80">SUM(E381:G381)</f>
        <v>0</v>
      </c>
      <c r="E381" s="163">
        <f>('Pivot Table for Data Exchange'!$R$48)*100</f>
        <v>0</v>
      </c>
      <c r="F381" s="163">
        <f>('Pivot Table for Data Exchange'!$R$51)*100</f>
        <v>0</v>
      </c>
      <c r="G381" s="171">
        <f>('Pivot Table for Data Exchange'!$R$54)*100</f>
        <v>0</v>
      </c>
      <c r="H381" s="163">
        <f>('Pivot Table for Data Exchange'!$R$57)*100</f>
        <v>0</v>
      </c>
      <c r="I381" s="134"/>
      <c r="J381" s="202"/>
      <c r="K381" s="202"/>
      <c r="L381" s="202"/>
      <c r="M381" s="202"/>
      <c r="N381" s="202"/>
      <c r="O381" s="202"/>
      <c r="P381" s="202"/>
      <c r="Q381" s="168">
        <f t="shared" si="74"/>
        <v>0</v>
      </c>
      <c r="R381" s="168"/>
      <c r="S381" s="169"/>
      <c r="T381" s="169"/>
      <c r="U381" s="169"/>
      <c r="V381" s="169"/>
      <c r="W381" s="169"/>
      <c r="X381" s="169"/>
      <c r="Y381" s="169"/>
      <c r="Z381" s="169"/>
      <c r="AA381" s="169"/>
      <c r="AB381" s="169"/>
      <c r="AC381" s="169"/>
      <c r="AD381" s="169"/>
      <c r="AE381" s="169"/>
      <c r="AF381" s="169"/>
      <c r="AG381" s="169"/>
      <c r="AH381" s="169"/>
      <c r="AI381" s="169"/>
      <c r="AJ381" s="169"/>
      <c r="AK381" s="169"/>
      <c r="AL381" s="169"/>
      <c r="AM381" s="169"/>
      <c r="AN381" s="169"/>
      <c r="AO381" s="169"/>
    </row>
    <row r="382" spans="1:41" ht="15.75" customHeight="1">
      <c r="A382" s="134" t="s">
        <v>620</v>
      </c>
      <c r="B382" s="163">
        <f>('Pivot Table for Data Exchange'!$R$78)*100</f>
        <v>0</v>
      </c>
      <c r="C382" s="163">
        <f>('Pivot Table for Data Exchange'!$R$81)*100</f>
        <v>0</v>
      </c>
      <c r="D382" s="164">
        <f t="shared" si="80"/>
        <v>0</v>
      </c>
      <c r="E382" s="163">
        <f>('Pivot Table for Data Exchange'!$R$84)*100</f>
        <v>0</v>
      </c>
      <c r="F382" s="163">
        <f>('Pivot Table for Data Exchange'!$R$87)*100</f>
        <v>0</v>
      </c>
      <c r="G382" s="171">
        <f>('Pivot Table for Data Exchange'!$R$90)*100</f>
        <v>0</v>
      </c>
      <c r="H382" s="163">
        <f>('Pivot Table for Data Exchange'!$R$93)*100</f>
        <v>0</v>
      </c>
      <c r="I382" s="134"/>
      <c r="J382" s="202"/>
      <c r="K382" s="202"/>
      <c r="L382" s="202"/>
      <c r="M382" s="202"/>
      <c r="N382" s="202"/>
      <c r="O382" s="202"/>
      <c r="P382" s="202"/>
      <c r="Q382" s="168">
        <f t="shared" si="74"/>
        <v>0</v>
      </c>
      <c r="R382" s="168"/>
      <c r="S382" s="169"/>
      <c r="T382" s="143"/>
      <c r="U382" s="169"/>
      <c r="V382" s="169"/>
      <c r="W382" s="169"/>
      <c r="X382" s="169"/>
      <c r="Y382" s="169"/>
      <c r="Z382" s="169"/>
      <c r="AA382" s="169"/>
      <c r="AB382" s="169"/>
      <c r="AC382" s="169"/>
      <c r="AD382" s="169"/>
      <c r="AE382" s="169"/>
      <c r="AF382" s="169"/>
      <c r="AG382" s="169"/>
      <c r="AH382" s="169"/>
      <c r="AI382" s="169"/>
      <c r="AJ382" s="169"/>
      <c r="AK382" s="169"/>
      <c r="AL382" s="169"/>
      <c r="AM382" s="169"/>
      <c r="AN382" s="169"/>
      <c r="AO382" s="169"/>
    </row>
    <row r="383" spans="1:41" ht="15.75" customHeight="1">
      <c r="A383" s="134" t="s">
        <v>621</v>
      </c>
      <c r="B383" s="163">
        <f>('Pivot Table for Data Exchange'!$R$114)*100</f>
        <v>0</v>
      </c>
      <c r="C383" s="163">
        <f>('Pivot Table for Data Exchange'!$R$117)*100</f>
        <v>0</v>
      </c>
      <c r="D383" s="164">
        <f t="shared" si="80"/>
        <v>0</v>
      </c>
      <c r="E383" s="163">
        <f>('Pivot Table for Data Exchange'!$R$120)*100</f>
        <v>0</v>
      </c>
      <c r="F383" s="163">
        <f>('Pivot Table for Data Exchange'!$R$123)*100</f>
        <v>0</v>
      </c>
      <c r="G383" s="171">
        <f>('Pivot Table for Data Exchange'!$R$126)*100</f>
        <v>0</v>
      </c>
      <c r="H383" s="163">
        <f>('Pivot Table for Data Exchange'!$R$129)*100</f>
        <v>0</v>
      </c>
      <c r="I383" s="134"/>
      <c r="J383" s="202"/>
      <c r="K383" s="202"/>
      <c r="L383" s="202"/>
      <c r="M383" s="202"/>
      <c r="N383" s="202"/>
      <c r="O383" s="202"/>
      <c r="P383" s="202"/>
      <c r="Q383" s="168">
        <f t="shared" si="74"/>
        <v>0</v>
      </c>
      <c r="R383" s="168"/>
      <c r="S383" s="169"/>
      <c r="U383" s="169"/>
      <c r="V383" s="169"/>
      <c r="W383" s="169"/>
      <c r="X383" s="169"/>
      <c r="Y383" s="169"/>
      <c r="Z383" s="169"/>
      <c r="AA383" s="169"/>
      <c r="AB383" s="169"/>
      <c r="AC383" s="169"/>
      <c r="AD383" s="169"/>
      <c r="AE383" s="169"/>
      <c r="AF383" s="169"/>
      <c r="AG383" s="169"/>
      <c r="AH383" s="169"/>
      <c r="AI383" s="169"/>
      <c r="AJ383" s="169"/>
      <c r="AK383" s="169"/>
      <c r="AL383" s="169"/>
      <c r="AM383" s="169"/>
      <c r="AN383" s="169"/>
      <c r="AO383" s="169"/>
    </row>
    <row r="384" spans="1:41" ht="15.75" customHeight="1">
      <c r="B384" s="163"/>
      <c r="C384" s="163"/>
      <c r="D384" s="164"/>
      <c r="E384" s="163"/>
      <c r="F384" s="163"/>
      <c r="G384" s="171"/>
      <c r="H384" s="163"/>
      <c r="I384" s="134"/>
      <c r="J384" s="202"/>
      <c r="K384" s="202"/>
      <c r="L384" s="202"/>
      <c r="M384" s="202"/>
      <c r="N384" s="202"/>
      <c r="O384" s="202"/>
      <c r="P384" s="202"/>
      <c r="Q384" s="168">
        <f t="shared" si="74"/>
        <v>0</v>
      </c>
      <c r="R384" s="168"/>
      <c r="S384" s="169"/>
      <c r="U384" s="169"/>
      <c r="V384" s="169"/>
      <c r="W384" s="169"/>
      <c r="X384" s="169"/>
      <c r="Y384" s="169"/>
      <c r="Z384" s="169"/>
      <c r="AA384" s="169"/>
      <c r="AB384" s="169"/>
      <c r="AC384" s="169"/>
      <c r="AD384" s="169"/>
      <c r="AE384" s="169"/>
      <c r="AF384" s="169"/>
      <c r="AG384" s="169"/>
      <c r="AH384" s="169"/>
      <c r="AI384" s="169"/>
      <c r="AJ384" s="169"/>
      <c r="AK384" s="169"/>
      <c r="AL384" s="169"/>
      <c r="AM384" s="169"/>
      <c r="AN384" s="169"/>
      <c r="AO384" s="169"/>
    </row>
    <row r="385" spans="1:41" ht="15.75" customHeight="1">
      <c r="A385" s="134" t="s">
        <v>622</v>
      </c>
      <c r="B385" s="163">
        <f>('Pivot Table for Data Exchange'!$R$150)*100</f>
        <v>44.266334009841188</v>
      </c>
      <c r="C385" s="163">
        <f>('Pivot Table for Data Exchange'!$R$153)*100</f>
        <v>0</v>
      </c>
      <c r="D385" s="164">
        <f t="shared" ref="D385:D388" si="81">SUM(E385:G385)</f>
        <v>55.733665990158819</v>
      </c>
      <c r="E385" s="163">
        <f>('Pivot Table for Data Exchange'!$R$156)*100</f>
        <v>54.777456519611192</v>
      </c>
      <c r="F385" s="163">
        <f>('Pivot Table for Data Exchange'!$R$159)*100</f>
        <v>0.95620947054762884</v>
      </c>
      <c r="G385" s="171">
        <f>('Pivot Table for Data Exchange'!$R$162)*100</f>
        <v>0</v>
      </c>
      <c r="H385" s="163">
        <f>('Pivot Table for Data Exchange'!$R$165)*100</f>
        <v>0</v>
      </c>
      <c r="I385" s="134"/>
      <c r="J385" s="202"/>
      <c r="K385" s="202"/>
      <c r="L385" s="202"/>
      <c r="M385" s="202"/>
      <c r="N385" s="202"/>
      <c r="O385" s="202"/>
      <c r="P385" s="202"/>
      <c r="Q385" s="168">
        <f t="shared" si="74"/>
        <v>100</v>
      </c>
      <c r="R385" s="168"/>
      <c r="S385" s="169"/>
      <c r="T385" s="169"/>
      <c r="U385" s="169"/>
      <c r="V385" s="169"/>
      <c r="W385" s="169"/>
      <c r="X385" s="169"/>
      <c r="Y385" s="169"/>
      <c r="Z385" s="169"/>
      <c r="AA385" s="169"/>
      <c r="AB385" s="169"/>
      <c r="AC385" s="169"/>
      <c r="AD385" s="169"/>
      <c r="AE385" s="169"/>
      <c r="AF385" s="169"/>
      <c r="AG385" s="169"/>
      <c r="AH385" s="169"/>
      <c r="AI385" s="169"/>
      <c r="AJ385" s="169"/>
      <c r="AK385" s="169"/>
      <c r="AL385" s="169"/>
      <c r="AM385" s="169"/>
      <c r="AN385" s="169"/>
      <c r="AO385" s="169"/>
    </row>
    <row r="386" spans="1:41" ht="15.75" customHeight="1">
      <c r="A386" s="134" t="s">
        <v>623</v>
      </c>
      <c r="B386" s="163">
        <f>('Pivot Table for Data Exchange'!$R$186)*100</f>
        <v>50.211612220605737</v>
      </c>
      <c r="C386" s="163">
        <f>('Pivot Table for Data Exchange'!$R$189)*100</f>
        <v>6.2075122338315039</v>
      </c>
      <c r="D386" s="164">
        <f t="shared" si="81"/>
        <v>43.580875545562762</v>
      </c>
      <c r="E386" s="163">
        <f>('Pivot Table for Data Exchange'!$R$192)*100</f>
        <v>43.580875545562762</v>
      </c>
      <c r="F386" s="163">
        <f>('Pivot Table for Data Exchange'!$R$195)*100</f>
        <v>0</v>
      </c>
      <c r="G386" s="171">
        <f>('Pivot Table for Data Exchange'!$R$198)*100</f>
        <v>0</v>
      </c>
      <c r="H386" s="163">
        <f>('Pivot Table for Data Exchange'!$R$201)*100</f>
        <v>0</v>
      </c>
      <c r="I386" s="134"/>
      <c r="J386" s="202"/>
      <c r="K386" s="202"/>
      <c r="L386" s="202"/>
      <c r="M386" s="202"/>
      <c r="N386" s="202"/>
      <c r="O386" s="202"/>
      <c r="P386" s="202"/>
      <c r="Q386" s="168">
        <f t="shared" si="74"/>
        <v>100</v>
      </c>
      <c r="R386" s="168"/>
      <c r="S386" s="169"/>
      <c r="T386" s="169"/>
      <c r="U386" s="169"/>
      <c r="V386" s="169"/>
      <c r="W386" s="169"/>
      <c r="X386" s="169"/>
      <c r="Y386" s="169"/>
      <c r="Z386" s="169"/>
      <c r="AA386" s="169"/>
      <c r="AB386" s="169"/>
      <c r="AC386" s="169"/>
      <c r="AD386" s="169"/>
      <c r="AE386" s="169"/>
      <c r="AF386" s="169"/>
      <c r="AG386" s="169"/>
      <c r="AH386" s="169"/>
      <c r="AI386" s="169"/>
      <c r="AJ386" s="169"/>
      <c r="AK386" s="169"/>
      <c r="AL386" s="169"/>
      <c r="AM386" s="169"/>
      <c r="AN386" s="169"/>
      <c r="AO386" s="169"/>
    </row>
    <row r="387" spans="1:41" ht="15.75" customHeight="1">
      <c r="A387" s="134" t="s">
        <v>624</v>
      </c>
      <c r="B387" s="163">
        <f>('Pivot Table for Data Exchange'!$R$222)*100</f>
        <v>71.198370513246218</v>
      </c>
      <c r="C387" s="163">
        <f>('Pivot Table for Data Exchange'!$R$225)*100</f>
        <v>0</v>
      </c>
      <c r="D387" s="164">
        <f t="shared" si="81"/>
        <v>28.801629486753772</v>
      </c>
      <c r="E387" s="163">
        <f>('Pivot Table for Data Exchange'!$R$228)*100</f>
        <v>28.801629486753772</v>
      </c>
      <c r="F387" s="163">
        <f>('Pivot Table for Data Exchange'!$R$231)*100</f>
        <v>0</v>
      </c>
      <c r="G387" s="171">
        <f>('Pivot Table for Data Exchange'!$R$234)*100</f>
        <v>0</v>
      </c>
      <c r="H387" s="163">
        <f>('Pivot Table for Data Exchange'!$R$237)*100</f>
        <v>0</v>
      </c>
      <c r="I387" s="209"/>
      <c r="J387" s="202"/>
      <c r="K387" s="202"/>
      <c r="L387" s="202"/>
      <c r="M387" s="202"/>
      <c r="N387" s="202"/>
      <c r="O387" s="202"/>
      <c r="P387" s="202"/>
      <c r="Q387" s="168">
        <f t="shared" si="74"/>
        <v>99.999999999999986</v>
      </c>
      <c r="R387" s="168"/>
      <c r="S387" s="169"/>
      <c r="T387" s="143"/>
      <c r="U387" s="169"/>
      <c r="V387" s="169"/>
      <c r="W387" s="169"/>
      <c r="X387" s="169"/>
      <c r="Y387" s="169"/>
      <c r="Z387" s="169"/>
      <c r="AA387" s="169"/>
      <c r="AB387" s="169"/>
      <c r="AC387" s="169"/>
      <c r="AD387" s="169"/>
      <c r="AE387" s="169"/>
      <c r="AF387" s="169"/>
      <c r="AG387" s="169"/>
      <c r="AH387" s="169"/>
      <c r="AI387" s="169"/>
      <c r="AJ387" s="169"/>
      <c r="AK387" s="169"/>
      <c r="AL387" s="169"/>
      <c r="AM387" s="169"/>
      <c r="AN387" s="169"/>
      <c r="AO387" s="169"/>
    </row>
    <row r="388" spans="1:41" ht="15.75" customHeight="1">
      <c r="A388" s="134" t="s">
        <v>625</v>
      </c>
      <c r="B388" s="163">
        <f>('Pivot Table for Data Exchange'!$R$258)*100</f>
        <v>0</v>
      </c>
      <c r="C388" s="163">
        <f>('Pivot Table for Data Exchange'!$R$261)*100</f>
        <v>0</v>
      </c>
      <c r="D388" s="164">
        <f t="shared" si="81"/>
        <v>0</v>
      </c>
      <c r="E388" s="163">
        <f>('Pivot Table for Data Exchange'!$R$264)*100</f>
        <v>0</v>
      </c>
      <c r="F388" s="163">
        <f>('Pivot Table for Data Exchange'!$R$267)*100</f>
        <v>0</v>
      </c>
      <c r="G388" s="171">
        <f>('Pivot Table for Data Exchange'!$R$270)*100</f>
        <v>0</v>
      </c>
      <c r="H388" s="163">
        <f>('Pivot Table for Data Exchange'!$R$273)*100</f>
        <v>0</v>
      </c>
      <c r="I388" s="134"/>
      <c r="J388" s="202"/>
      <c r="K388" s="202"/>
      <c r="L388" s="202"/>
      <c r="M388" s="202"/>
      <c r="N388" s="202"/>
      <c r="O388" s="202"/>
      <c r="P388" s="202"/>
      <c r="Q388" s="168">
        <f t="shared" si="74"/>
        <v>0</v>
      </c>
      <c r="R388" s="168"/>
      <c r="S388" s="169"/>
      <c r="U388" s="169"/>
      <c r="V388" s="169"/>
      <c r="W388" s="169"/>
      <c r="X388" s="169"/>
      <c r="Y388" s="169"/>
      <c r="Z388" s="169"/>
      <c r="AA388" s="169"/>
      <c r="AB388" s="169"/>
      <c r="AC388" s="169"/>
      <c r="AD388" s="169"/>
      <c r="AE388" s="169"/>
      <c r="AF388" s="169"/>
      <c r="AG388" s="169"/>
      <c r="AH388" s="169"/>
      <c r="AI388" s="169"/>
      <c r="AJ388" s="169"/>
      <c r="AK388" s="169"/>
      <c r="AL388" s="169"/>
      <c r="AM388" s="169"/>
      <c r="AN388" s="169"/>
      <c r="AO388" s="169"/>
    </row>
    <row r="389" spans="1:41" ht="15.75" customHeight="1">
      <c r="B389" s="163"/>
      <c r="C389" s="163"/>
      <c r="D389" s="164"/>
      <c r="E389" s="163"/>
      <c r="F389" s="163"/>
      <c r="G389" s="171"/>
      <c r="H389" s="163"/>
      <c r="I389" s="134"/>
      <c r="J389" s="202"/>
      <c r="K389" s="202"/>
      <c r="L389" s="202"/>
      <c r="M389" s="202"/>
      <c r="N389" s="202"/>
      <c r="O389" s="202"/>
      <c r="P389" s="202"/>
      <c r="Q389" s="168">
        <f t="shared" si="74"/>
        <v>0</v>
      </c>
      <c r="R389" s="168"/>
      <c r="S389" s="169"/>
      <c r="U389" s="169"/>
      <c r="V389" s="169"/>
      <c r="W389" s="169"/>
      <c r="X389" s="169"/>
      <c r="Y389" s="169"/>
      <c r="Z389" s="169"/>
      <c r="AA389" s="169"/>
      <c r="AB389" s="169"/>
      <c r="AC389" s="169"/>
      <c r="AD389" s="169"/>
      <c r="AE389" s="169"/>
      <c r="AF389" s="169"/>
      <c r="AG389" s="169"/>
      <c r="AH389" s="169"/>
      <c r="AI389" s="169"/>
      <c r="AJ389" s="169"/>
      <c r="AK389" s="169"/>
      <c r="AL389" s="169"/>
      <c r="AM389" s="169"/>
      <c r="AN389" s="169"/>
      <c r="AO389" s="169"/>
    </row>
    <row r="390" spans="1:41" ht="15.75" customHeight="1">
      <c r="A390" s="134" t="s">
        <v>626</v>
      </c>
      <c r="B390" s="163">
        <f>('Pivot Table for Data Exchange'!$R$294)*100</f>
        <v>0</v>
      </c>
      <c r="C390" s="163">
        <f>('Pivot Table for Data Exchange'!$R$297)*100</f>
        <v>0</v>
      </c>
      <c r="D390" s="164">
        <f t="shared" ref="D390:D392" si="82">SUM(E390:G390)</f>
        <v>0</v>
      </c>
      <c r="E390" s="163">
        <f>('Pivot Table for Data Exchange'!$R$300)*100</f>
        <v>0</v>
      </c>
      <c r="F390" s="163">
        <f>('Pivot Table for Data Exchange'!$R$303)*100</f>
        <v>0</v>
      </c>
      <c r="G390" s="171">
        <f>('Pivot Table for Data Exchange'!$R$306)*100</f>
        <v>0</v>
      </c>
      <c r="H390" s="163">
        <f>('Pivot Table for Data Exchange'!$R$309)*100</f>
        <v>0</v>
      </c>
      <c r="I390" s="134"/>
      <c r="J390" s="202"/>
      <c r="K390" s="202"/>
      <c r="L390" s="202"/>
      <c r="M390" s="202"/>
      <c r="N390" s="202"/>
      <c r="O390" s="202"/>
      <c r="P390" s="202"/>
      <c r="Q390" s="168">
        <f t="shared" si="74"/>
        <v>0</v>
      </c>
      <c r="R390" s="168"/>
      <c r="S390" s="169"/>
      <c r="T390" s="169"/>
      <c r="U390" s="169"/>
      <c r="V390" s="169"/>
      <c r="W390" s="169"/>
      <c r="X390" s="169"/>
      <c r="Y390" s="169"/>
      <c r="Z390" s="169"/>
      <c r="AA390" s="169"/>
      <c r="AB390" s="169"/>
      <c r="AC390" s="169"/>
      <c r="AD390" s="169"/>
      <c r="AE390" s="169"/>
      <c r="AF390" s="169"/>
      <c r="AG390" s="169"/>
      <c r="AH390" s="169"/>
      <c r="AI390" s="169"/>
      <c r="AJ390" s="169"/>
      <c r="AK390" s="169"/>
      <c r="AL390" s="169"/>
      <c r="AM390" s="169"/>
      <c r="AN390" s="169"/>
      <c r="AO390" s="169"/>
    </row>
    <row r="391" spans="1:41" ht="15.75" customHeight="1">
      <c r="A391" s="134" t="s">
        <v>627</v>
      </c>
      <c r="B391" s="163">
        <f>('Pivot Table for Data Exchange'!$R$330)*100</f>
        <v>0</v>
      </c>
      <c r="C391" s="163">
        <f>('Pivot Table for Data Exchange'!$R$333)*100</f>
        <v>0</v>
      </c>
      <c r="D391" s="164">
        <f t="shared" si="82"/>
        <v>0</v>
      </c>
      <c r="E391" s="163">
        <f>('Pivot Table for Data Exchange'!$R$336)*100</f>
        <v>0</v>
      </c>
      <c r="F391" s="163">
        <f>('Pivot Table for Data Exchange'!$R$339)*100</f>
        <v>0</v>
      </c>
      <c r="G391" s="171">
        <f>('Pivot Table for Data Exchange'!$R$342)*100</f>
        <v>0</v>
      </c>
      <c r="H391" s="163">
        <f>('Pivot Table for Data Exchange'!$R$345)*100</f>
        <v>0</v>
      </c>
      <c r="I391" s="134"/>
      <c r="J391" s="202"/>
      <c r="K391" s="202"/>
      <c r="L391" s="202"/>
      <c r="M391" s="202"/>
      <c r="N391" s="202"/>
      <c r="O391" s="202"/>
      <c r="P391" s="202"/>
      <c r="Q391" s="168">
        <f t="shared" si="74"/>
        <v>0</v>
      </c>
      <c r="R391" s="168"/>
      <c r="S391" s="169"/>
      <c r="T391" s="169"/>
      <c r="U391" s="169"/>
      <c r="V391" s="169"/>
      <c r="W391" s="169"/>
      <c r="X391" s="169"/>
      <c r="Y391" s="169"/>
      <c r="Z391" s="169"/>
      <c r="AA391" s="169"/>
      <c r="AB391" s="169"/>
      <c r="AC391" s="169"/>
      <c r="AD391" s="169"/>
      <c r="AE391" s="169"/>
      <c r="AF391" s="169"/>
      <c r="AG391" s="169"/>
      <c r="AH391" s="169"/>
      <c r="AI391" s="169"/>
      <c r="AJ391" s="169"/>
      <c r="AK391" s="169"/>
      <c r="AL391" s="169"/>
      <c r="AM391" s="169"/>
      <c r="AN391" s="169"/>
      <c r="AO391" s="169"/>
    </row>
    <row r="392" spans="1:41" ht="15.75" customHeight="1">
      <c r="A392" s="134" t="s">
        <v>628</v>
      </c>
      <c r="B392" s="163">
        <f>('Pivot Table for Data Exchange'!$R$366)*100</f>
        <v>0</v>
      </c>
      <c r="C392" s="163">
        <f>('Pivot Table for Data Exchange'!$R$369)*100</f>
        <v>0</v>
      </c>
      <c r="D392" s="164">
        <f t="shared" si="82"/>
        <v>0</v>
      </c>
      <c r="E392" s="163">
        <f>('Pivot Table for Data Exchange'!$R$372)*100</f>
        <v>0</v>
      </c>
      <c r="F392" s="163">
        <f>('Pivot Table for Data Exchange'!$R$375)*100</f>
        <v>0</v>
      </c>
      <c r="G392" s="171">
        <f>('Pivot Table for Data Exchange'!$R$378)*100</f>
        <v>0</v>
      </c>
      <c r="H392" s="163">
        <f>('Pivot Table for Data Exchange'!$R$381)*100</f>
        <v>0</v>
      </c>
      <c r="I392" s="134"/>
      <c r="J392" s="202"/>
      <c r="K392" s="202"/>
      <c r="L392" s="202"/>
      <c r="M392" s="202"/>
      <c r="N392" s="202"/>
      <c r="O392" s="202"/>
      <c r="P392" s="202"/>
      <c r="Q392" s="168">
        <f t="shared" si="74"/>
        <v>0</v>
      </c>
      <c r="R392" s="168"/>
      <c r="S392" s="169"/>
      <c r="T392" s="143"/>
      <c r="U392" s="169"/>
      <c r="V392" s="169"/>
      <c r="W392" s="169"/>
      <c r="X392" s="169"/>
      <c r="Y392" s="169"/>
      <c r="Z392" s="169"/>
      <c r="AA392" s="169"/>
      <c r="AB392" s="169"/>
      <c r="AC392" s="169"/>
      <c r="AD392" s="169"/>
      <c r="AE392" s="169"/>
      <c r="AF392" s="169"/>
      <c r="AG392" s="169"/>
      <c r="AH392" s="169"/>
      <c r="AI392" s="169"/>
      <c r="AJ392" s="169"/>
      <c r="AK392" s="169"/>
      <c r="AL392" s="169"/>
      <c r="AM392" s="169"/>
      <c r="AN392" s="169"/>
      <c r="AO392" s="169"/>
    </row>
    <row r="393" spans="1:41" ht="15.75" customHeight="1">
      <c r="A393" s="134" t="s">
        <v>629</v>
      </c>
      <c r="B393" s="163">
        <f>('Pivot Table for Data Exchange'!$R$402)*100</f>
        <v>0</v>
      </c>
      <c r="C393" s="163">
        <f>('Pivot Table for Data Exchange'!$R$405)*100</f>
        <v>0</v>
      </c>
      <c r="D393" s="164">
        <f>SUM(E393:G393)</f>
        <v>0</v>
      </c>
      <c r="E393" s="163">
        <f>('Pivot Table for Data Exchange'!$R$408)*100</f>
        <v>0</v>
      </c>
      <c r="F393" s="163">
        <f>('Pivot Table for Data Exchange'!$R$411)*100</f>
        <v>0</v>
      </c>
      <c r="G393" s="171">
        <f>('Pivot Table for Data Exchange'!$R$414)*100</f>
        <v>0</v>
      </c>
      <c r="H393" s="163">
        <f>('Pivot Table for Data Exchange'!$R$417)*100</f>
        <v>0</v>
      </c>
      <c r="I393" s="134"/>
      <c r="J393" s="202"/>
      <c r="K393" s="202"/>
      <c r="L393" s="202"/>
      <c r="M393" s="202"/>
      <c r="N393" s="202"/>
      <c r="O393" s="202"/>
      <c r="P393" s="202"/>
      <c r="Q393" s="168">
        <f t="shared" si="74"/>
        <v>0</v>
      </c>
      <c r="R393" s="168"/>
      <c r="S393" s="169"/>
      <c r="T393" s="169"/>
      <c r="U393" s="169"/>
      <c r="V393" s="169"/>
      <c r="W393" s="169"/>
      <c r="X393" s="169"/>
      <c r="Y393" s="169"/>
      <c r="Z393" s="169"/>
      <c r="AA393" s="169"/>
      <c r="AB393" s="169"/>
      <c r="AC393" s="169"/>
      <c r="AD393" s="169"/>
      <c r="AE393" s="169"/>
      <c r="AF393" s="169"/>
      <c r="AG393" s="169"/>
      <c r="AH393" s="169"/>
      <c r="AI393" s="169"/>
      <c r="AJ393" s="169"/>
      <c r="AK393" s="169"/>
      <c r="AL393" s="169"/>
      <c r="AM393" s="169"/>
      <c r="AN393" s="169"/>
      <c r="AO393" s="169"/>
    </row>
    <row r="394" spans="1:41" ht="15.75" customHeight="1">
      <c r="B394" s="163"/>
      <c r="C394" s="163"/>
      <c r="D394" s="164"/>
      <c r="E394" s="163"/>
      <c r="F394" s="163"/>
      <c r="G394" s="171"/>
      <c r="H394" s="163"/>
      <c r="I394" s="134"/>
      <c r="J394" s="202"/>
      <c r="K394" s="202"/>
      <c r="L394" s="202"/>
      <c r="M394" s="202"/>
      <c r="N394" s="202"/>
      <c r="O394" s="202"/>
      <c r="P394" s="202"/>
      <c r="Q394" s="168">
        <f t="shared" si="74"/>
        <v>0</v>
      </c>
      <c r="R394" s="168"/>
      <c r="S394" s="169"/>
      <c r="T394" s="169"/>
      <c r="U394" s="169"/>
      <c r="V394" s="169"/>
      <c r="W394" s="169"/>
      <c r="X394" s="169"/>
      <c r="Y394" s="169"/>
      <c r="Z394" s="169"/>
      <c r="AA394" s="169"/>
      <c r="AB394" s="169"/>
      <c r="AC394" s="169"/>
      <c r="AD394" s="169"/>
      <c r="AE394" s="169"/>
      <c r="AF394" s="169"/>
      <c r="AG394" s="169"/>
      <c r="AH394" s="169"/>
      <c r="AI394" s="169"/>
      <c r="AJ394" s="169"/>
      <c r="AK394" s="169"/>
      <c r="AL394" s="169"/>
      <c r="AM394" s="169"/>
      <c r="AN394" s="169"/>
      <c r="AO394" s="169"/>
    </row>
    <row r="395" spans="1:41" ht="15.75" customHeight="1">
      <c r="A395" s="134" t="s">
        <v>630</v>
      </c>
      <c r="B395" s="163">
        <f>('Pivot Table for Data Exchange'!$R$438)*100</f>
        <v>0</v>
      </c>
      <c r="C395" s="163">
        <f>('Pivot Table for Data Exchange'!$R$441)*100</f>
        <v>0</v>
      </c>
      <c r="D395" s="164">
        <f>SUM(E395:G395)</f>
        <v>0</v>
      </c>
      <c r="E395" s="163">
        <f>('Pivot Table for Data Exchange'!$R$444)*100</f>
        <v>0</v>
      </c>
      <c r="F395" s="163">
        <f>('Pivot Table for Data Exchange'!$R$447)*100</f>
        <v>0</v>
      </c>
      <c r="G395" s="171">
        <f>('Pivot Table for Data Exchange'!$R$450)*100</f>
        <v>0</v>
      </c>
      <c r="H395" s="163">
        <f>('Pivot Table for Data Exchange'!$R$453)*100</f>
        <v>0</v>
      </c>
      <c r="I395" s="134"/>
      <c r="J395" s="202"/>
      <c r="K395" s="202"/>
      <c r="L395" s="202"/>
      <c r="M395" s="202"/>
      <c r="N395" s="202"/>
      <c r="O395" s="202"/>
      <c r="P395" s="202"/>
      <c r="Q395" s="168">
        <f t="shared" si="74"/>
        <v>0</v>
      </c>
      <c r="R395" s="168"/>
      <c r="S395" s="169"/>
      <c r="T395" s="169"/>
      <c r="U395" s="169"/>
      <c r="V395" s="169"/>
      <c r="W395" s="169"/>
      <c r="X395" s="169"/>
      <c r="Y395" s="169"/>
      <c r="Z395" s="169"/>
      <c r="AA395" s="169"/>
      <c r="AB395" s="169"/>
      <c r="AC395" s="169"/>
      <c r="AD395" s="169"/>
      <c r="AE395" s="169"/>
      <c r="AF395" s="169"/>
      <c r="AG395" s="169"/>
      <c r="AH395" s="169"/>
      <c r="AI395" s="169"/>
      <c r="AJ395" s="169"/>
      <c r="AK395" s="169"/>
      <c r="AL395" s="169"/>
      <c r="AM395" s="169"/>
      <c r="AN395" s="169"/>
      <c r="AO395" s="169"/>
    </row>
    <row r="396" spans="1:41" ht="15.75" customHeight="1">
      <c r="A396" s="134" t="s">
        <v>631</v>
      </c>
      <c r="B396" s="163">
        <f>('Pivot Table for Data Exchange'!$R$474)*100</f>
        <v>0</v>
      </c>
      <c r="C396" s="163">
        <f>('Pivot Table for Data Exchange'!$R$477)*100</f>
        <v>0</v>
      </c>
      <c r="D396" s="164">
        <f>SUM(E396:G396)</f>
        <v>0</v>
      </c>
      <c r="E396" s="163">
        <f>('Pivot Table for Data Exchange'!$R$480)*100</f>
        <v>0</v>
      </c>
      <c r="F396" s="163">
        <f>('Pivot Table for Data Exchange'!$R$483)*100</f>
        <v>0</v>
      </c>
      <c r="G396" s="171">
        <f>('Pivot Table for Data Exchange'!$R$486)*100</f>
        <v>0</v>
      </c>
      <c r="H396" s="163">
        <f>('Pivot Table for Data Exchange'!$R$489)*100</f>
        <v>0</v>
      </c>
      <c r="I396" s="134"/>
      <c r="J396" s="202"/>
      <c r="K396" s="202"/>
      <c r="L396" s="202"/>
      <c r="M396" s="202"/>
      <c r="N396" s="202"/>
      <c r="O396" s="202"/>
      <c r="P396" s="202"/>
      <c r="Q396" s="168">
        <f t="shared" ref="Q396:Q457" si="83">SUM(B396,C396,D396,H396)</f>
        <v>0</v>
      </c>
      <c r="R396" s="168"/>
      <c r="S396" s="169"/>
      <c r="T396" s="169"/>
      <c r="U396" s="169"/>
      <c r="V396" s="169"/>
      <c r="W396" s="169"/>
      <c r="X396" s="169"/>
      <c r="Y396" s="169"/>
      <c r="Z396" s="169"/>
      <c r="AA396" s="169"/>
      <c r="AB396" s="169"/>
      <c r="AC396" s="169"/>
      <c r="AD396" s="169"/>
      <c r="AE396" s="169"/>
      <c r="AF396" s="169"/>
      <c r="AG396" s="169"/>
      <c r="AH396" s="169"/>
      <c r="AI396" s="169"/>
      <c r="AJ396" s="169"/>
      <c r="AK396" s="169"/>
      <c r="AL396" s="169"/>
      <c r="AM396" s="169"/>
      <c r="AN396" s="169"/>
      <c r="AO396" s="169"/>
    </row>
    <row r="397" spans="1:41" ht="15.75" customHeight="1">
      <c r="A397" s="134" t="s">
        <v>632</v>
      </c>
      <c r="B397" s="163">
        <f>('Pivot Table for Data Exchange'!$R$510)*100</f>
        <v>0</v>
      </c>
      <c r="C397" s="163">
        <f>('Pivot Table for Data Exchange'!$R$513)*100</f>
        <v>0</v>
      </c>
      <c r="D397" s="164">
        <f t="shared" ref="D397" si="84">SUM(E397:G397)</f>
        <v>0</v>
      </c>
      <c r="E397" s="163">
        <f>('Pivot Table for Data Exchange'!$R$516)*100</f>
        <v>0</v>
      </c>
      <c r="F397" s="163">
        <f>('Pivot Table for Data Exchange'!$R$519)*100</f>
        <v>0</v>
      </c>
      <c r="G397" s="171">
        <f>('Pivot Table for Data Exchange'!$R$522)*100</f>
        <v>0</v>
      </c>
      <c r="H397" s="163">
        <f>('Pivot Table for Data Exchange'!$R$525)*100</f>
        <v>0</v>
      </c>
      <c r="I397" s="134"/>
      <c r="J397" s="202"/>
      <c r="K397" s="202"/>
      <c r="L397" s="202"/>
      <c r="M397" s="202"/>
      <c r="N397" s="202"/>
      <c r="O397" s="202"/>
      <c r="P397" s="202"/>
      <c r="Q397" s="168">
        <f t="shared" si="83"/>
        <v>0</v>
      </c>
      <c r="R397" s="168"/>
      <c r="S397" s="169"/>
      <c r="T397" s="169"/>
      <c r="U397" s="169"/>
      <c r="V397" s="169"/>
      <c r="W397" s="169"/>
      <c r="X397" s="169"/>
      <c r="Y397" s="169"/>
      <c r="Z397" s="169"/>
      <c r="AA397" s="169"/>
      <c r="AB397" s="169"/>
      <c r="AC397" s="169"/>
      <c r="AD397" s="169"/>
      <c r="AE397" s="169"/>
      <c r="AF397" s="169"/>
      <c r="AG397" s="169"/>
      <c r="AH397" s="169"/>
      <c r="AI397" s="169"/>
      <c r="AJ397" s="169"/>
      <c r="AK397" s="169"/>
      <c r="AL397" s="169"/>
      <c r="AM397" s="169"/>
      <c r="AN397" s="169"/>
      <c r="AO397" s="169"/>
    </row>
    <row r="398" spans="1:41" ht="15.75" customHeight="1">
      <c r="A398" s="140" t="s">
        <v>633</v>
      </c>
      <c r="B398" s="176">
        <f>('Pivot Table for Data Exchange'!$R$546)*100</f>
        <v>0</v>
      </c>
      <c r="C398" s="176">
        <f>('Pivot Table for Data Exchange'!$R$549)*100</f>
        <v>0</v>
      </c>
      <c r="D398" s="177">
        <f>SUM(E398:G398)</f>
        <v>0</v>
      </c>
      <c r="E398" s="176">
        <f>('Pivot Table for Data Exchange'!$R$552)*100</f>
        <v>0</v>
      </c>
      <c r="F398" s="176">
        <f>('Pivot Table for Data Exchange'!$R$555)*100</f>
        <v>0</v>
      </c>
      <c r="G398" s="178">
        <f>('Pivot Table for Data Exchange'!$R$558)*100</f>
        <v>0</v>
      </c>
      <c r="H398" s="176">
        <f>('Pivot Table for Data Exchange'!$R$561)*100</f>
        <v>0</v>
      </c>
      <c r="I398" s="134"/>
      <c r="J398" s="202"/>
      <c r="K398" s="202"/>
      <c r="L398" s="202"/>
      <c r="M398" s="202"/>
      <c r="N398" s="202"/>
      <c r="O398" s="202"/>
      <c r="P398" s="202"/>
      <c r="Q398" s="168">
        <f t="shared" si="83"/>
        <v>0</v>
      </c>
      <c r="R398" s="168"/>
      <c r="S398" s="169"/>
      <c r="T398" s="169"/>
      <c r="U398" s="169"/>
      <c r="V398" s="169"/>
      <c r="W398" s="169"/>
      <c r="X398" s="169"/>
      <c r="Y398" s="169"/>
      <c r="Z398" s="169"/>
      <c r="AA398" s="169"/>
      <c r="AB398" s="169"/>
      <c r="AC398" s="169"/>
      <c r="AD398" s="169"/>
      <c r="AE398" s="169"/>
      <c r="AF398" s="169"/>
      <c r="AG398" s="169"/>
      <c r="AH398" s="169"/>
      <c r="AI398" s="169"/>
      <c r="AJ398" s="169"/>
      <c r="AK398" s="169"/>
      <c r="AL398" s="169"/>
      <c r="AM398" s="169"/>
      <c r="AN398" s="169"/>
      <c r="AO398" s="169"/>
    </row>
    <row r="399" spans="1:41" s="181" customFormat="1" ht="12" customHeight="1">
      <c r="A399" s="182" t="s">
        <v>658</v>
      </c>
      <c r="B399" s="183"/>
      <c r="C399" s="183"/>
      <c r="D399" s="184"/>
      <c r="E399" s="183"/>
      <c r="F399" s="184"/>
      <c r="G399" s="184"/>
      <c r="H399" s="183"/>
      <c r="I399" s="192"/>
      <c r="J399" s="183"/>
      <c r="K399" s="183"/>
      <c r="L399" s="184"/>
      <c r="M399" s="183"/>
      <c r="N399" s="184"/>
      <c r="O399" s="184"/>
      <c r="P399" s="183"/>
      <c r="Q399" s="168">
        <f t="shared" si="83"/>
        <v>0</v>
      </c>
      <c r="R399" s="203"/>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row>
    <row r="400" spans="1:41" s="181" customFormat="1" ht="13.5" customHeight="1">
      <c r="A400" s="192"/>
      <c r="B400" s="183"/>
      <c r="C400" s="183"/>
      <c r="D400" s="184"/>
      <c r="E400" s="183"/>
      <c r="F400" s="184"/>
      <c r="G400" s="184"/>
      <c r="H400" s="183"/>
      <c r="I400" s="192"/>
      <c r="J400" s="183"/>
      <c r="K400" s="183"/>
      <c r="L400" s="184"/>
      <c r="M400" s="183"/>
      <c r="N400" s="184"/>
      <c r="O400" s="184"/>
      <c r="P400" s="183"/>
      <c r="Q400" s="168">
        <f t="shared" si="83"/>
        <v>0</v>
      </c>
      <c r="R400" s="203"/>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row>
    <row r="401" spans="1:41" ht="15.75" customHeight="1">
      <c r="B401" s="205"/>
      <c r="C401" s="205"/>
      <c r="D401" s="205"/>
      <c r="E401" s="205"/>
      <c r="F401" s="205"/>
      <c r="G401" s="205"/>
      <c r="H401" s="187" t="s">
        <v>992</v>
      </c>
      <c r="I401" s="134"/>
      <c r="J401" s="202"/>
      <c r="K401" s="202"/>
      <c r="L401" s="202"/>
      <c r="M401" s="202"/>
      <c r="N401" s="202"/>
      <c r="O401" s="202"/>
      <c r="P401" s="202"/>
      <c r="Q401" s="168">
        <f t="shared" si="83"/>
        <v>0</v>
      </c>
      <c r="R401" s="168"/>
      <c r="S401" s="169"/>
      <c r="T401" s="169"/>
      <c r="U401" s="169"/>
      <c r="V401" s="169"/>
      <c r="W401" s="169"/>
      <c r="X401" s="169"/>
      <c r="Y401" s="169"/>
      <c r="Z401" s="169"/>
      <c r="AA401" s="169"/>
      <c r="AB401" s="169"/>
      <c r="AC401" s="169"/>
      <c r="AD401" s="169"/>
      <c r="AE401" s="169"/>
      <c r="AF401" s="169"/>
      <c r="AG401" s="169"/>
      <c r="AH401" s="169"/>
      <c r="AI401" s="169"/>
      <c r="AJ401" s="169"/>
      <c r="AK401" s="169"/>
      <c r="AL401" s="169"/>
      <c r="AM401" s="169"/>
      <c r="AN401" s="169"/>
      <c r="AO401" s="169"/>
    </row>
    <row r="402" spans="1:41" ht="18">
      <c r="A402" s="129" t="s">
        <v>680</v>
      </c>
      <c r="B402" s="130"/>
      <c r="C402" s="130"/>
      <c r="D402" s="130"/>
      <c r="E402" s="130"/>
      <c r="F402" s="130"/>
      <c r="G402" s="130"/>
      <c r="H402" s="130"/>
      <c r="Q402" s="168">
        <f t="shared" si="83"/>
        <v>0</v>
      </c>
    </row>
    <row r="403" spans="1:41">
      <c r="A403" s="135"/>
      <c r="B403" s="131"/>
      <c r="C403" s="131"/>
      <c r="D403" s="131"/>
      <c r="E403" s="131"/>
      <c r="F403" s="131"/>
      <c r="G403" s="131"/>
      <c r="H403" s="131"/>
      <c r="Q403" s="168">
        <f t="shared" si="83"/>
        <v>0</v>
      </c>
    </row>
    <row r="404" spans="1:41" ht="15.75">
      <c r="A404" s="137" t="s">
        <v>639</v>
      </c>
      <c r="B404" s="131"/>
      <c r="C404" s="131"/>
      <c r="D404" s="131"/>
      <c r="E404" s="131"/>
      <c r="F404" s="131"/>
      <c r="G404" s="131"/>
      <c r="H404" s="131"/>
      <c r="Q404" s="168">
        <f t="shared" si="83"/>
        <v>0</v>
      </c>
    </row>
    <row r="405" spans="1:41" ht="15.75">
      <c r="A405" s="137" t="s">
        <v>876</v>
      </c>
      <c r="B405" s="131"/>
      <c r="C405" s="131"/>
      <c r="D405" s="131"/>
      <c r="E405" s="131"/>
      <c r="F405" s="131"/>
      <c r="G405" s="131"/>
      <c r="H405" s="131"/>
      <c r="Q405" s="168">
        <f t="shared" si="83"/>
        <v>0</v>
      </c>
    </row>
    <row r="406" spans="1:41">
      <c r="A406" s="140"/>
      <c r="B406" s="141"/>
      <c r="C406" s="141"/>
      <c r="D406" s="141"/>
      <c r="E406" s="141"/>
      <c r="F406" s="141"/>
      <c r="G406" s="141"/>
      <c r="H406" s="141"/>
      <c r="Q406" s="168">
        <f t="shared" si="83"/>
        <v>0</v>
      </c>
    </row>
    <row r="407" spans="1:41">
      <c r="A407" s="145"/>
      <c r="B407" s="146" t="s">
        <v>641</v>
      </c>
      <c r="C407" s="146"/>
      <c r="D407" s="146"/>
      <c r="E407" s="146"/>
      <c r="F407" s="146"/>
      <c r="G407" s="146"/>
      <c r="H407" s="147"/>
      <c r="Q407" s="168">
        <f t="shared" si="83"/>
        <v>0</v>
      </c>
    </row>
    <row r="408" spans="1:41">
      <c r="A408" s="145"/>
      <c r="B408" s="146" t="s">
        <v>642</v>
      </c>
      <c r="C408" s="146"/>
      <c r="D408" s="639" t="s">
        <v>643</v>
      </c>
      <c r="E408" s="637"/>
      <c r="F408" s="637"/>
      <c r="G408" s="637"/>
      <c r="H408" s="153" t="s">
        <v>533</v>
      </c>
      <c r="Q408" s="168">
        <f t="shared" si="83"/>
        <v>0</v>
      </c>
    </row>
    <row r="409" spans="1:41" ht="36">
      <c r="A409" s="145"/>
      <c r="B409" s="154" t="s">
        <v>644</v>
      </c>
      <c r="C409" s="155" t="s">
        <v>645</v>
      </c>
      <c r="D409" s="156" t="s">
        <v>646</v>
      </c>
      <c r="E409" s="157" t="s">
        <v>8</v>
      </c>
      <c r="F409" s="154" t="s">
        <v>647</v>
      </c>
      <c r="G409" s="158" t="s">
        <v>656</v>
      </c>
      <c r="H409" s="159" t="s">
        <v>649</v>
      </c>
      <c r="Q409" s="168">
        <f t="shared" si="83"/>
        <v>0</v>
      </c>
    </row>
    <row r="410" spans="1:41" ht="15.75" customHeight="1">
      <c r="A410" s="189" t="s">
        <v>618</v>
      </c>
      <c r="B410" s="163">
        <f>('Pivot Table for Data Exchange'!$P$6)*100</f>
        <v>42.763157894736842</v>
      </c>
      <c r="C410" s="163">
        <f>('Pivot Table for Data Exchange'!$P$9)*100</f>
        <v>2.8181461115475255</v>
      </c>
      <c r="D410" s="164">
        <f>SUM(E410:G410)</f>
        <v>54.418695993715637</v>
      </c>
      <c r="E410" s="163">
        <f>('Pivot Table for Data Exchange'!$P$12)*100</f>
        <v>54.418695993715637</v>
      </c>
      <c r="F410" s="163">
        <f>('Pivot Table for Data Exchange'!$P$15)*100</f>
        <v>0</v>
      </c>
      <c r="G410" s="167">
        <f>('Pivot Table for Data Exchange'!$P$18)*100</f>
        <v>0</v>
      </c>
      <c r="H410" s="163">
        <f>('Pivot Table for Data Exchange'!$P$21)*100</f>
        <v>0</v>
      </c>
      <c r="I410" s="134"/>
      <c r="J410" s="202"/>
      <c r="K410" s="202"/>
      <c r="L410" s="202"/>
      <c r="M410" s="202"/>
      <c r="N410" s="202"/>
      <c r="O410" s="202"/>
      <c r="P410" s="202"/>
      <c r="Q410" s="168">
        <f t="shared" si="83"/>
        <v>100</v>
      </c>
      <c r="R410" s="168"/>
      <c r="S410" s="169"/>
      <c r="T410" s="169"/>
      <c r="U410" s="169"/>
      <c r="V410" s="169"/>
      <c r="W410" s="169"/>
      <c r="X410" s="169"/>
      <c r="Y410" s="169"/>
      <c r="Z410" s="169"/>
      <c r="AA410" s="169"/>
      <c r="AB410" s="169"/>
      <c r="AC410" s="169"/>
      <c r="AD410" s="169"/>
      <c r="AE410" s="169"/>
      <c r="AF410" s="169"/>
      <c r="AG410" s="169"/>
      <c r="AH410" s="169"/>
      <c r="AI410" s="169"/>
      <c r="AJ410" s="169"/>
      <c r="AK410" s="169"/>
      <c r="AL410" s="169"/>
      <c r="AM410" s="169"/>
      <c r="AN410" s="169"/>
      <c r="AO410" s="169"/>
    </row>
    <row r="411" spans="1:41" ht="15.75" customHeight="1">
      <c r="A411" s="134" t="s">
        <v>619</v>
      </c>
      <c r="B411" s="163">
        <f>('Pivot Table for Data Exchange'!$P$42)*100</f>
        <v>0</v>
      </c>
      <c r="C411" s="163">
        <f>('Pivot Table for Data Exchange'!$P$45)*100</f>
        <v>0</v>
      </c>
      <c r="D411" s="164">
        <f t="shared" ref="D411:D413" si="85">SUM(E411:G411)</f>
        <v>0</v>
      </c>
      <c r="E411" s="163">
        <f>('Pivot Table for Data Exchange'!$P$48)*100</f>
        <v>0</v>
      </c>
      <c r="F411" s="163">
        <f>('Pivot Table for Data Exchange'!$P$51)*100</f>
        <v>0</v>
      </c>
      <c r="G411" s="171">
        <f>('Pivot Table for Data Exchange'!$P$54)*100</f>
        <v>0</v>
      </c>
      <c r="H411" s="163">
        <f>('Pivot Table for Data Exchange'!$P$57)*100</f>
        <v>0</v>
      </c>
      <c r="I411" s="134"/>
      <c r="J411" s="202"/>
      <c r="K411" s="202"/>
      <c r="L411" s="202"/>
      <c r="M411" s="202"/>
      <c r="N411" s="202"/>
      <c r="O411" s="202"/>
      <c r="P411" s="202"/>
      <c r="Q411" s="168">
        <f t="shared" si="83"/>
        <v>0</v>
      </c>
      <c r="R411" s="168"/>
      <c r="S411" s="169"/>
      <c r="T411" s="169"/>
      <c r="U411" s="169"/>
      <c r="V411" s="169"/>
      <c r="W411" s="169"/>
      <c r="X411" s="169"/>
      <c r="Y411" s="169"/>
      <c r="Z411" s="169"/>
      <c r="AA411" s="169"/>
      <c r="AB411" s="169"/>
      <c r="AC411" s="169"/>
      <c r="AD411" s="169"/>
      <c r="AE411" s="169"/>
      <c r="AF411" s="169"/>
      <c r="AG411" s="169"/>
      <c r="AH411" s="169"/>
      <c r="AI411" s="169"/>
      <c r="AJ411" s="169"/>
      <c r="AK411" s="169"/>
      <c r="AL411" s="169"/>
      <c r="AM411" s="169"/>
      <c r="AN411" s="169"/>
      <c r="AO411" s="169"/>
    </row>
    <row r="412" spans="1:41" ht="15.75" customHeight="1">
      <c r="A412" s="134" t="s">
        <v>620</v>
      </c>
      <c r="B412" s="163">
        <f>('Pivot Table for Data Exchange'!$P$78)*100</f>
        <v>0</v>
      </c>
      <c r="C412" s="163">
        <f>('Pivot Table for Data Exchange'!$P$81)*100</f>
        <v>0</v>
      </c>
      <c r="D412" s="164">
        <f t="shared" si="85"/>
        <v>0</v>
      </c>
      <c r="E412" s="163">
        <f>('Pivot Table for Data Exchange'!$P$84)*100</f>
        <v>0</v>
      </c>
      <c r="F412" s="163">
        <f>('Pivot Table for Data Exchange'!$P$87)*100</f>
        <v>0</v>
      </c>
      <c r="G412" s="171">
        <f>('Pivot Table for Data Exchange'!$P$90)*100</f>
        <v>0</v>
      </c>
      <c r="H412" s="163">
        <f>('Pivot Table for Data Exchange'!$P$93)*100</f>
        <v>0</v>
      </c>
      <c r="I412" s="134"/>
      <c r="J412" s="202"/>
      <c r="K412" s="202"/>
      <c r="L412" s="202"/>
      <c r="M412" s="202"/>
      <c r="N412" s="202"/>
      <c r="O412" s="202"/>
      <c r="P412" s="202"/>
      <c r="Q412" s="168">
        <f t="shared" si="83"/>
        <v>0</v>
      </c>
      <c r="R412" s="168"/>
      <c r="S412" s="169"/>
      <c r="T412" s="143"/>
      <c r="U412" s="169"/>
      <c r="V412" s="169"/>
      <c r="W412" s="169"/>
      <c r="X412" s="169"/>
      <c r="Y412" s="169"/>
      <c r="Z412" s="169"/>
      <c r="AA412" s="169"/>
      <c r="AB412" s="169"/>
      <c r="AC412" s="169"/>
      <c r="AD412" s="169"/>
      <c r="AE412" s="169"/>
      <c r="AF412" s="169"/>
      <c r="AG412" s="169"/>
      <c r="AH412" s="169"/>
      <c r="AI412" s="169"/>
      <c r="AJ412" s="169"/>
      <c r="AK412" s="169"/>
      <c r="AL412" s="169"/>
      <c r="AM412" s="169"/>
      <c r="AN412" s="169"/>
      <c r="AO412" s="169"/>
    </row>
    <row r="413" spans="1:41" ht="15.75" customHeight="1">
      <c r="A413" s="134" t="s">
        <v>621</v>
      </c>
      <c r="B413" s="163">
        <f>('Pivot Table for Data Exchange'!$P$114)*100</f>
        <v>0</v>
      </c>
      <c r="C413" s="163">
        <f>('Pivot Table for Data Exchange'!$P$117)*100</f>
        <v>0</v>
      </c>
      <c r="D413" s="164">
        <f t="shared" si="85"/>
        <v>0</v>
      </c>
      <c r="E413" s="163">
        <f>('Pivot Table for Data Exchange'!$P$120)*100</f>
        <v>0</v>
      </c>
      <c r="F413" s="163">
        <f>('Pivot Table for Data Exchange'!$P$123)*100</f>
        <v>0</v>
      </c>
      <c r="G413" s="171">
        <f>('Pivot Table for Data Exchange'!$P$126)*100</f>
        <v>0</v>
      </c>
      <c r="H413" s="163">
        <f>('Pivot Table for Data Exchange'!$P$129)*100</f>
        <v>0</v>
      </c>
      <c r="I413" s="134"/>
      <c r="J413" s="202"/>
      <c r="K413" s="202"/>
      <c r="L413" s="202"/>
      <c r="M413" s="202"/>
      <c r="N413" s="202"/>
      <c r="O413" s="202"/>
      <c r="P413" s="202"/>
      <c r="Q413" s="168">
        <f t="shared" si="83"/>
        <v>0</v>
      </c>
      <c r="R413" s="168"/>
      <c r="S413" s="169"/>
      <c r="U413" s="169"/>
      <c r="V413" s="169"/>
      <c r="W413" s="169"/>
      <c r="X413" s="169"/>
      <c r="Y413" s="169"/>
      <c r="Z413" s="169"/>
      <c r="AA413" s="169"/>
      <c r="AB413" s="169"/>
      <c r="AC413" s="169"/>
      <c r="AD413" s="169"/>
      <c r="AE413" s="169"/>
      <c r="AF413" s="169"/>
      <c r="AG413" s="169"/>
      <c r="AH413" s="169"/>
      <c r="AI413" s="169"/>
      <c r="AJ413" s="169"/>
      <c r="AK413" s="169"/>
      <c r="AL413" s="169"/>
      <c r="AM413" s="169"/>
      <c r="AN413" s="169"/>
      <c r="AO413" s="169"/>
    </row>
    <row r="414" spans="1:41" ht="15.75" customHeight="1">
      <c r="B414" s="163"/>
      <c r="C414" s="163"/>
      <c r="D414" s="164"/>
      <c r="E414" s="163"/>
      <c r="F414" s="163"/>
      <c r="G414" s="171"/>
      <c r="H414" s="163"/>
      <c r="I414" s="134"/>
      <c r="J414" s="202"/>
      <c r="K414" s="202"/>
      <c r="L414" s="202"/>
      <c r="M414" s="202"/>
      <c r="N414" s="202"/>
      <c r="O414" s="202"/>
      <c r="P414" s="202"/>
      <c r="Q414" s="168">
        <f t="shared" si="83"/>
        <v>0</v>
      </c>
      <c r="R414" s="168"/>
      <c r="S414" s="169"/>
      <c r="U414" s="169"/>
      <c r="V414" s="169"/>
      <c r="W414" s="169"/>
      <c r="X414" s="169"/>
      <c r="Y414" s="169"/>
      <c r="Z414" s="169"/>
      <c r="AA414" s="169"/>
      <c r="AB414" s="169"/>
      <c r="AC414" s="169"/>
      <c r="AD414" s="169"/>
      <c r="AE414" s="169"/>
      <c r="AF414" s="169"/>
      <c r="AG414" s="169"/>
      <c r="AH414" s="169"/>
      <c r="AI414" s="169"/>
      <c r="AJ414" s="169"/>
      <c r="AK414" s="169"/>
      <c r="AL414" s="169"/>
      <c r="AM414" s="169"/>
      <c r="AN414" s="169"/>
      <c r="AO414" s="169"/>
    </row>
    <row r="415" spans="1:41" ht="15.75" customHeight="1">
      <c r="A415" s="134" t="s">
        <v>622</v>
      </c>
      <c r="B415" s="163">
        <f>('Pivot Table for Data Exchange'!$P$150)*100</f>
        <v>44.266334009841188</v>
      </c>
      <c r="C415" s="163">
        <f>('Pivot Table for Data Exchange'!$P$153)*100</f>
        <v>0</v>
      </c>
      <c r="D415" s="164">
        <f t="shared" ref="D415:D418" si="86">SUM(E415:G415)</f>
        <v>55.733665990158819</v>
      </c>
      <c r="E415" s="163">
        <f>('Pivot Table for Data Exchange'!$P$156)*100</f>
        <v>54.777456519611192</v>
      </c>
      <c r="F415" s="163">
        <f>('Pivot Table for Data Exchange'!$P$159)*100</f>
        <v>0.95620947054762884</v>
      </c>
      <c r="G415" s="171">
        <f>('Pivot Table for Data Exchange'!$P$162)*100</f>
        <v>0</v>
      </c>
      <c r="H415" s="163">
        <f>('Pivot Table for Data Exchange'!$P$165)*100</f>
        <v>0</v>
      </c>
      <c r="I415" s="134"/>
      <c r="J415" s="202"/>
      <c r="K415" s="202"/>
      <c r="L415" s="202"/>
      <c r="M415" s="202"/>
      <c r="N415" s="202"/>
      <c r="O415" s="202"/>
      <c r="P415" s="202"/>
      <c r="Q415" s="168">
        <f>SUM(B415,C415,D415,H415)</f>
        <v>100</v>
      </c>
      <c r="R415" s="168"/>
      <c r="S415" s="169"/>
      <c r="T415" s="169"/>
      <c r="U415" s="169"/>
      <c r="V415" s="169"/>
      <c r="W415" s="169"/>
      <c r="X415" s="169"/>
      <c r="Y415" s="169"/>
      <c r="Z415" s="169"/>
      <c r="AA415" s="169"/>
      <c r="AB415" s="169"/>
      <c r="AC415" s="169"/>
      <c r="AD415" s="169"/>
      <c r="AE415" s="169"/>
      <c r="AF415" s="169"/>
      <c r="AG415" s="169"/>
      <c r="AH415" s="169"/>
      <c r="AI415" s="169"/>
      <c r="AJ415" s="169"/>
      <c r="AK415" s="169"/>
      <c r="AL415" s="169"/>
      <c r="AM415" s="169"/>
      <c r="AN415" s="169"/>
      <c r="AO415" s="169"/>
    </row>
    <row r="416" spans="1:41" ht="15.75" customHeight="1">
      <c r="A416" s="134" t="s">
        <v>623</v>
      </c>
      <c r="B416" s="163">
        <f>('Pivot Table for Data Exchange'!$P$186)*100</f>
        <v>50.211612220605737</v>
      </c>
      <c r="C416" s="163">
        <f>('Pivot Table for Data Exchange'!$P$189)*100</f>
        <v>6.2075122338315039</v>
      </c>
      <c r="D416" s="164">
        <f t="shared" si="86"/>
        <v>43.580875545562762</v>
      </c>
      <c r="E416" s="163">
        <f>('Pivot Table for Data Exchange'!$P$192)*100</f>
        <v>43.580875545562762</v>
      </c>
      <c r="F416" s="163">
        <f>('Pivot Table for Data Exchange'!$P$195)*100</f>
        <v>0</v>
      </c>
      <c r="G416" s="171">
        <f>('Pivot Table for Data Exchange'!$P$198)*100</f>
        <v>0</v>
      </c>
      <c r="H416" s="163">
        <f>('Pivot Table for Data Exchange'!$P$201)*100</f>
        <v>0</v>
      </c>
      <c r="I416" s="134"/>
      <c r="J416" s="202"/>
      <c r="K416" s="202"/>
      <c r="L416" s="202"/>
      <c r="M416" s="202"/>
      <c r="N416" s="202"/>
      <c r="O416" s="202"/>
      <c r="P416" s="202"/>
      <c r="Q416" s="168">
        <f>SUM(B416,C416,D416,H416)</f>
        <v>100</v>
      </c>
      <c r="R416" s="168"/>
      <c r="S416" s="169"/>
      <c r="T416" s="169"/>
      <c r="U416" s="169"/>
      <c r="V416" s="169"/>
      <c r="W416" s="169"/>
      <c r="X416" s="169"/>
      <c r="Y416" s="169"/>
      <c r="Z416" s="169"/>
      <c r="AA416" s="169"/>
      <c r="AB416" s="169"/>
      <c r="AC416" s="169"/>
      <c r="AD416" s="169"/>
      <c r="AE416" s="169"/>
      <c r="AF416" s="169"/>
      <c r="AG416" s="169"/>
      <c r="AH416" s="169"/>
      <c r="AI416" s="169"/>
      <c r="AJ416" s="169"/>
      <c r="AK416" s="169"/>
      <c r="AL416" s="169"/>
      <c r="AM416" s="169"/>
      <c r="AN416" s="169"/>
      <c r="AO416" s="169"/>
    </row>
    <row r="417" spans="1:41" ht="15.75" customHeight="1">
      <c r="A417" s="134" t="s">
        <v>624</v>
      </c>
      <c r="B417" s="163">
        <f>('Pivot Table for Data Exchange'!$P$222)*100</f>
        <v>69.127552540240004</v>
      </c>
      <c r="C417" s="163">
        <f>('Pivot Table for Data Exchange'!$P$225)*100</f>
        <v>0</v>
      </c>
      <c r="D417" s="164">
        <f t="shared" si="86"/>
        <v>30.872447459760004</v>
      </c>
      <c r="E417" s="163">
        <f>('Pivot Table for Data Exchange'!$P$228)*100</f>
        <v>30.872447459760004</v>
      </c>
      <c r="F417" s="163">
        <f>('Pivot Table for Data Exchange'!$P$231)*100</f>
        <v>0</v>
      </c>
      <c r="G417" s="171">
        <f>('Pivot Table for Data Exchange'!$P$234)*100</f>
        <v>0</v>
      </c>
      <c r="H417" s="163">
        <f>('Pivot Table for Data Exchange'!$P$237)*100</f>
        <v>0</v>
      </c>
      <c r="I417" s="209"/>
      <c r="J417" s="202"/>
      <c r="K417" s="202"/>
      <c r="L417" s="202"/>
      <c r="M417" s="202"/>
      <c r="N417" s="202"/>
      <c r="O417" s="202"/>
      <c r="P417" s="202"/>
      <c r="Q417" s="168">
        <f>SUM(B417,C417,D417,H417)</f>
        <v>100</v>
      </c>
      <c r="R417" s="168"/>
      <c r="S417" s="169"/>
      <c r="T417" s="143"/>
      <c r="U417" s="169"/>
      <c r="V417" s="169"/>
      <c r="W417" s="169"/>
      <c r="X417" s="169"/>
      <c r="Y417" s="169"/>
      <c r="Z417" s="169"/>
      <c r="AA417" s="169"/>
      <c r="AB417" s="169"/>
      <c r="AC417" s="169"/>
      <c r="AD417" s="169"/>
      <c r="AE417" s="169"/>
      <c r="AF417" s="169"/>
      <c r="AG417" s="169"/>
      <c r="AH417" s="169"/>
      <c r="AI417" s="169"/>
      <c r="AJ417" s="169"/>
      <c r="AK417" s="169"/>
      <c r="AL417" s="169"/>
      <c r="AM417" s="169"/>
      <c r="AN417" s="169"/>
      <c r="AO417" s="169"/>
    </row>
    <row r="418" spans="1:41" ht="15.75" customHeight="1">
      <c r="A418" s="134" t="s">
        <v>625</v>
      </c>
      <c r="B418" s="163">
        <f>('Pivot Table for Data Exchange'!$P$258)*100</f>
        <v>0</v>
      </c>
      <c r="C418" s="163">
        <f>('Pivot Table for Data Exchange'!$P$261)*100</f>
        <v>0</v>
      </c>
      <c r="D418" s="164">
        <f t="shared" si="86"/>
        <v>0</v>
      </c>
      <c r="E418" s="163">
        <f>('Pivot Table for Data Exchange'!$P$264)*100</f>
        <v>0</v>
      </c>
      <c r="F418" s="163">
        <f>('Pivot Table for Data Exchange'!$P$267)*100</f>
        <v>0</v>
      </c>
      <c r="G418" s="171">
        <f>('Pivot Table for Data Exchange'!$P$270)*100</f>
        <v>0</v>
      </c>
      <c r="H418" s="163">
        <f>('Pivot Table for Data Exchange'!$P$273)*100</f>
        <v>0</v>
      </c>
      <c r="I418" s="134"/>
      <c r="J418" s="202"/>
      <c r="K418" s="202"/>
      <c r="L418" s="202"/>
      <c r="M418" s="202"/>
      <c r="N418" s="202"/>
      <c r="O418" s="202"/>
      <c r="P418" s="202"/>
      <c r="Q418" s="168">
        <f t="shared" si="83"/>
        <v>0</v>
      </c>
      <c r="R418" s="168"/>
      <c r="S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row>
    <row r="419" spans="1:41" ht="15.75" customHeight="1">
      <c r="B419" s="163"/>
      <c r="C419" s="163"/>
      <c r="D419" s="164"/>
      <c r="E419" s="163"/>
      <c r="F419" s="163"/>
      <c r="G419" s="171"/>
      <c r="H419" s="163"/>
      <c r="I419" s="134"/>
      <c r="J419" s="202"/>
      <c r="K419" s="202"/>
      <c r="L419" s="202"/>
      <c r="M419" s="202"/>
      <c r="N419" s="202"/>
      <c r="O419" s="202"/>
      <c r="P419" s="202"/>
      <c r="Q419" s="168">
        <f t="shared" si="83"/>
        <v>0</v>
      </c>
      <c r="R419" s="168"/>
      <c r="S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row>
    <row r="420" spans="1:41" ht="15.75" customHeight="1">
      <c r="A420" s="134" t="s">
        <v>626</v>
      </c>
      <c r="B420" s="163">
        <f>('Pivot Table for Data Exchange'!$P$294)*100</f>
        <v>0</v>
      </c>
      <c r="C420" s="163">
        <f>('Pivot Table for Data Exchange'!$P$297)*100</f>
        <v>0</v>
      </c>
      <c r="D420" s="164">
        <f t="shared" ref="D420:D422" si="87">SUM(E420:G420)</f>
        <v>0</v>
      </c>
      <c r="E420" s="163">
        <f>('Pivot Table for Data Exchange'!$P$300)*100</f>
        <v>0</v>
      </c>
      <c r="F420" s="163">
        <f>('Pivot Table for Data Exchange'!$P$303)*100</f>
        <v>0</v>
      </c>
      <c r="G420" s="171">
        <f>('Pivot Table for Data Exchange'!$P$306)*100</f>
        <v>0</v>
      </c>
      <c r="H420" s="163">
        <f>('Pivot Table for Data Exchange'!$P$309)*100</f>
        <v>0</v>
      </c>
      <c r="I420" s="134"/>
      <c r="J420" s="202"/>
      <c r="K420" s="202"/>
      <c r="L420" s="202"/>
      <c r="M420" s="202"/>
      <c r="N420" s="202"/>
      <c r="O420" s="202"/>
      <c r="P420" s="202"/>
      <c r="Q420" s="168">
        <f t="shared" si="83"/>
        <v>0</v>
      </c>
      <c r="R420" s="168"/>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row>
    <row r="421" spans="1:41" ht="15.75" customHeight="1">
      <c r="A421" s="134" t="s">
        <v>627</v>
      </c>
      <c r="B421" s="163">
        <f>('Pivot Table for Data Exchange'!$P$330)*100</f>
        <v>0</v>
      </c>
      <c r="C421" s="163">
        <f>('Pivot Table for Data Exchange'!$P$333)*100</f>
        <v>0</v>
      </c>
      <c r="D421" s="164">
        <f t="shared" si="87"/>
        <v>0</v>
      </c>
      <c r="E421" s="163">
        <f>('Pivot Table for Data Exchange'!$P$336)*100</f>
        <v>0</v>
      </c>
      <c r="F421" s="163">
        <f>('Pivot Table for Data Exchange'!$P$339)*100</f>
        <v>0</v>
      </c>
      <c r="G421" s="171">
        <f>('Pivot Table for Data Exchange'!$P$342)*100</f>
        <v>0</v>
      </c>
      <c r="H421" s="163">
        <f>('Pivot Table for Data Exchange'!$P$345)*100</f>
        <v>0</v>
      </c>
      <c r="I421" s="134"/>
      <c r="J421" s="202"/>
      <c r="K421" s="202"/>
      <c r="L421" s="202"/>
      <c r="M421" s="202"/>
      <c r="N421" s="202"/>
      <c r="O421" s="202"/>
      <c r="P421" s="202"/>
      <c r="Q421" s="168">
        <f t="shared" si="83"/>
        <v>0</v>
      </c>
      <c r="R421" s="168"/>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row>
    <row r="422" spans="1:41" ht="15.75" customHeight="1">
      <c r="A422" s="134" t="s">
        <v>628</v>
      </c>
      <c r="B422" s="163">
        <f>('Pivot Table for Data Exchange'!$P$366)*100</f>
        <v>0</v>
      </c>
      <c r="C422" s="163">
        <f>('Pivot Table for Data Exchange'!$P$369)*100</f>
        <v>0</v>
      </c>
      <c r="D422" s="164">
        <f t="shared" si="87"/>
        <v>0</v>
      </c>
      <c r="E422" s="163">
        <f>('Pivot Table for Data Exchange'!$P$372)*100</f>
        <v>0</v>
      </c>
      <c r="F422" s="163">
        <f>('Pivot Table for Data Exchange'!$P$375)*100</f>
        <v>0</v>
      </c>
      <c r="G422" s="171">
        <f>('Pivot Table for Data Exchange'!$P$378)*100</f>
        <v>0</v>
      </c>
      <c r="H422" s="163">
        <f>('Pivot Table for Data Exchange'!$P$381)*100</f>
        <v>0</v>
      </c>
      <c r="I422" s="134"/>
      <c r="J422" s="202"/>
      <c r="K422" s="202"/>
      <c r="L422" s="202"/>
      <c r="M422" s="202"/>
      <c r="N422" s="202"/>
      <c r="O422" s="202"/>
      <c r="P422" s="202"/>
      <c r="Q422" s="168">
        <f t="shared" si="83"/>
        <v>0</v>
      </c>
      <c r="R422" s="168"/>
      <c r="S422" s="169"/>
      <c r="T422" s="143"/>
      <c r="U422" s="169"/>
      <c r="V422" s="169"/>
      <c r="W422" s="169"/>
      <c r="X422" s="169"/>
      <c r="Y422" s="169"/>
      <c r="Z422" s="169"/>
      <c r="AA422" s="169"/>
      <c r="AB422" s="169"/>
      <c r="AC422" s="169"/>
      <c r="AD422" s="169"/>
      <c r="AE422" s="169"/>
      <c r="AF422" s="169"/>
      <c r="AG422" s="169"/>
      <c r="AH422" s="169"/>
      <c r="AI422" s="169"/>
      <c r="AJ422" s="169"/>
      <c r="AK422" s="169"/>
      <c r="AL422" s="169"/>
      <c r="AM422" s="169"/>
      <c r="AN422" s="169"/>
      <c r="AO422" s="169"/>
    </row>
    <row r="423" spans="1:41" ht="15.75" customHeight="1">
      <c r="A423" s="134" t="s">
        <v>629</v>
      </c>
      <c r="B423" s="163">
        <f>('Pivot Table for Data Exchange'!$P$402)*100</f>
        <v>0</v>
      </c>
      <c r="C423" s="163">
        <f>('Pivot Table for Data Exchange'!$P$405)*100</f>
        <v>0</v>
      </c>
      <c r="D423" s="164">
        <f>SUM(E423:G423)</f>
        <v>0</v>
      </c>
      <c r="E423" s="163">
        <f>('Pivot Table for Data Exchange'!$P$408)*100</f>
        <v>0</v>
      </c>
      <c r="F423" s="163">
        <f>('Pivot Table for Data Exchange'!$P$411)*100</f>
        <v>0</v>
      </c>
      <c r="G423" s="171">
        <f>('Pivot Table for Data Exchange'!$P$414)*100</f>
        <v>0</v>
      </c>
      <c r="H423" s="163">
        <f>('Pivot Table for Data Exchange'!$P$417)*100</f>
        <v>0</v>
      </c>
      <c r="I423" s="134"/>
      <c r="J423" s="202"/>
      <c r="K423" s="202"/>
      <c r="L423" s="202"/>
      <c r="M423" s="202"/>
      <c r="N423" s="202"/>
      <c r="O423" s="202"/>
      <c r="P423" s="202"/>
      <c r="Q423" s="168">
        <f t="shared" si="83"/>
        <v>0</v>
      </c>
      <c r="R423" s="168"/>
      <c r="S423" s="169"/>
      <c r="T423" s="169"/>
      <c r="U423" s="169"/>
      <c r="V423" s="169"/>
      <c r="W423" s="169"/>
      <c r="X423" s="169"/>
      <c r="Y423" s="169"/>
      <c r="Z423" s="169"/>
      <c r="AA423" s="169"/>
      <c r="AB423" s="169"/>
      <c r="AC423" s="169"/>
      <c r="AD423" s="169"/>
      <c r="AE423" s="169"/>
      <c r="AF423" s="169"/>
      <c r="AG423" s="169"/>
      <c r="AH423" s="169"/>
      <c r="AI423" s="169"/>
      <c r="AJ423" s="169"/>
      <c r="AK423" s="169"/>
      <c r="AL423" s="169"/>
      <c r="AM423" s="169"/>
      <c r="AN423" s="169"/>
      <c r="AO423" s="169"/>
    </row>
    <row r="424" spans="1:41" ht="15.75" customHeight="1">
      <c r="B424" s="163"/>
      <c r="C424" s="163"/>
      <c r="D424" s="164"/>
      <c r="E424" s="163"/>
      <c r="F424" s="163"/>
      <c r="G424" s="171"/>
      <c r="H424" s="163"/>
      <c r="I424" s="134"/>
      <c r="J424" s="202"/>
      <c r="K424" s="202"/>
      <c r="L424" s="202"/>
      <c r="M424" s="202"/>
      <c r="N424" s="202"/>
      <c r="O424" s="202"/>
      <c r="P424" s="202"/>
      <c r="Q424" s="168">
        <f t="shared" si="83"/>
        <v>0</v>
      </c>
      <c r="R424" s="168"/>
      <c r="S424" s="169"/>
      <c r="T424" s="169"/>
      <c r="U424" s="169"/>
      <c r="V424" s="169"/>
      <c r="W424" s="169"/>
      <c r="X424" s="169"/>
      <c r="Y424" s="169"/>
      <c r="Z424" s="169"/>
      <c r="AA424" s="169"/>
      <c r="AB424" s="169"/>
      <c r="AC424" s="169"/>
      <c r="AD424" s="169"/>
      <c r="AE424" s="169"/>
      <c r="AF424" s="169"/>
      <c r="AG424" s="169"/>
      <c r="AH424" s="169"/>
      <c r="AI424" s="169"/>
      <c r="AJ424" s="169"/>
      <c r="AK424" s="169"/>
      <c r="AL424" s="169"/>
      <c r="AM424" s="169"/>
      <c r="AN424" s="169"/>
      <c r="AO424" s="169"/>
    </row>
    <row r="425" spans="1:41" ht="15.75" customHeight="1">
      <c r="A425" s="134" t="s">
        <v>630</v>
      </c>
      <c r="B425" s="163">
        <f>('Pivot Table for Data Exchange'!$P$438)*100</f>
        <v>0</v>
      </c>
      <c r="C425" s="163">
        <f>('Pivot Table for Data Exchange'!$P$441)*100</f>
        <v>0</v>
      </c>
      <c r="D425" s="164">
        <f>SUM(E425:G425)</f>
        <v>0</v>
      </c>
      <c r="E425" s="163">
        <f>('Pivot Table for Data Exchange'!$P$444)*100</f>
        <v>0</v>
      </c>
      <c r="F425" s="163">
        <f>('Pivot Table for Data Exchange'!$P$447)*100</f>
        <v>0</v>
      </c>
      <c r="G425" s="171">
        <f>('Pivot Table for Data Exchange'!$P$450)*100</f>
        <v>0</v>
      </c>
      <c r="H425" s="163">
        <f>('Pivot Table for Data Exchange'!$P$453)*100</f>
        <v>0</v>
      </c>
      <c r="I425" s="134"/>
      <c r="J425" s="202"/>
      <c r="K425" s="202"/>
      <c r="L425" s="202"/>
      <c r="M425" s="202"/>
      <c r="N425" s="202"/>
      <c r="O425" s="202"/>
      <c r="P425" s="202"/>
      <c r="Q425" s="168">
        <f t="shared" si="83"/>
        <v>0</v>
      </c>
      <c r="R425" s="168"/>
      <c r="S425" s="169"/>
      <c r="T425" s="169"/>
      <c r="U425" s="169"/>
      <c r="V425" s="169"/>
      <c r="W425" s="169"/>
      <c r="X425" s="169"/>
      <c r="Y425" s="169"/>
      <c r="Z425" s="169"/>
      <c r="AA425" s="169"/>
      <c r="AB425" s="169"/>
      <c r="AC425" s="169"/>
      <c r="AD425" s="169"/>
      <c r="AE425" s="169"/>
      <c r="AF425" s="169"/>
      <c r="AG425" s="169"/>
      <c r="AH425" s="169"/>
      <c r="AI425" s="169"/>
      <c r="AJ425" s="169"/>
      <c r="AK425" s="169"/>
      <c r="AL425" s="169"/>
      <c r="AM425" s="169"/>
      <c r="AN425" s="169"/>
      <c r="AO425" s="169"/>
    </row>
    <row r="426" spans="1:41" ht="15.75" customHeight="1">
      <c r="A426" s="134" t="s">
        <v>631</v>
      </c>
      <c r="B426" s="163">
        <f>('Pivot Table for Data Exchange'!$P$474)*100</f>
        <v>0</v>
      </c>
      <c r="C426" s="163">
        <f>('Pivot Table for Data Exchange'!$P$477)*100</f>
        <v>0</v>
      </c>
      <c r="D426" s="164">
        <f>SUM(E426:G426)</f>
        <v>0</v>
      </c>
      <c r="E426" s="163">
        <f>('Pivot Table for Data Exchange'!$P$480)*100</f>
        <v>0</v>
      </c>
      <c r="F426" s="163">
        <f>('Pivot Table for Data Exchange'!$P$483)*100</f>
        <v>0</v>
      </c>
      <c r="G426" s="171">
        <f>('Pivot Table for Data Exchange'!$P$486)*100</f>
        <v>0</v>
      </c>
      <c r="H426" s="163">
        <f>('Pivot Table for Data Exchange'!$P$489)*100</f>
        <v>0</v>
      </c>
      <c r="I426" s="134"/>
      <c r="J426" s="202"/>
      <c r="K426" s="202"/>
      <c r="L426" s="202"/>
      <c r="M426" s="202"/>
      <c r="N426" s="202"/>
      <c r="O426" s="202"/>
      <c r="P426" s="202"/>
      <c r="Q426" s="168">
        <f t="shared" si="83"/>
        <v>0</v>
      </c>
      <c r="R426" s="168"/>
      <c r="S426" s="169"/>
      <c r="T426" s="169"/>
      <c r="U426" s="169"/>
      <c r="V426" s="169"/>
      <c r="W426" s="169"/>
      <c r="X426" s="169"/>
      <c r="Y426" s="169"/>
      <c r="Z426" s="169"/>
      <c r="AA426" s="169"/>
      <c r="AB426" s="169"/>
      <c r="AC426" s="169"/>
      <c r="AD426" s="169"/>
      <c r="AE426" s="169"/>
      <c r="AF426" s="169"/>
      <c r="AG426" s="169"/>
      <c r="AH426" s="169"/>
      <c r="AI426" s="169"/>
      <c r="AJ426" s="169"/>
      <c r="AK426" s="169"/>
      <c r="AL426" s="169"/>
      <c r="AM426" s="169"/>
      <c r="AN426" s="169"/>
      <c r="AO426" s="169"/>
    </row>
    <row r="427" spans="1:41" ht="15.75" customHeight="1">
      <c r="A427" s="134" t="s">
        <v>632</v>
      </c>
      <c r="B427" s="163">
        <f>('Pivot Table for Data Exchange'!$P$510)*100</f>
        <v>0</v>
      </c>
      <c r="C427" s="163">
        <f>('Pivot Table for Data Exchange'!$P$513)*100</f>
        <v>0</v>
      </c>
      <c r="D427" s="164">
        <f t="shared" ref="D427" si="88">SUM(E427:G427)</f>
        <v>0</v>
      </c>
      <c r="E427" s="163">
        <f>('Pivot Table for Data Exchange'!$P$516)*100</f>
        <v>0</v>
      </c>
      <c r="F427" s="163">
        <f>('Pivot Table for Data Exchange'!$P$519)*100</f>
        <v>0</v>
      </c>
      <c r="G427" s="171">
        <f>('Pivot Table for Data Exchange'!$P$522)*100</f>
        <v>0</v>
      </c>
      <c r="H427" s="163">
        <f>('Pivot Table for Data Exchange'!$P$525)*100</f>
        <v>0</v>
      </c>
      <c r="I427" s="134"/>
      <c r="J427" s="202"/>
      <c r="K427" s="202"/>
      <c r="L427" s="202"/>
      <c r="M427" s="202"/>
      <c r="N427" s="202"/>
      <c r="O427" s="202"/>
      <c r="P427" s="202"/>
      <c r="Q427" s="168">
        <f t="shared" si="83"/>
        <v>0</v>
      </c>
      <c r="R427" s="168"/>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row>
    <row r="428" spans="1:41" ht="15.75" customHeight="1">
      <c r="A428" s="140" t="s">
        <v>633</v>
      </c>
      <c r="B428" s="176">
        <f>('Pivot Table for Data Exchange'!$P$546)*100</f>
        <v>0</v>
      </c>
      <c r="C428" s="176">
        <f>('Pivot Table for Data Exchange'!$P$549)*100</f>
        <v>0</v>
      </c>
      <c r="D428" s="177">
        <f>SUM(E428:G428)</f>
        <v>0</v>
      </c>
      <c r="E428" s="176">
        <f>('Pivot Table for Data Exchange'!$P$552)*100</f>
        <v>0</v>
      </c>
      <c r="F428" s="176">
        <f>('Pivot Table for Data Exchange'!$P$555)*100</f>
        <v>0</v>
      </c>
      <c r="G428" s="178">
        <f>('Pivot Table for Data Exchange'!$P$558)*100</f>
        <v>0</v>
      </c>
      <c r="H428" s="176">
        <f>('Pivot Table for Data Exchange'!$P$561)*100</f>
        <v>0</v>
      </c>
      <c r="I428" s="134"/>
      <c r="J428" s="202"/>
      <c r="K428" s="202"/>
      <c r="L428" s="202"/>
      <c r="M428" s="202"/>
      <c r="N428" s="202"/>
      <c r="O428" s="202"/>
      <c r="P428" s="202"/>
      <c r="Q428" s="168">
        <f t="shared" si="83"/>
        <v>0</v>
      </c>
      <c r="R428" s="168"/>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row>
    <row r="429" spans="1:41" s="181" customFormat="1" ht="12" customHeight="1">
      <c r="A429" s="182" t="s">
        <v>658</v>
      </c>
      <c r="B429" s="183"/>
      <c r="C429" s="183"/>
      <c r="D429" s="184"/>
      <c r="E429" s="183"/>
      <c r="F429" s="184"/>
      <c r="G429" s="184"/>
      <c r="H429" s="183"/>
      <c r="I429" s="192"/>
      <c r="J429" s="183"/>
      <c r="K429" s="183"/>
      <c r="L429" s="184"/>
      <c r="M429" s="183"/>
      <c r="N429" s="184"/>
      <c r="O429" s="184"/>
      <c r="P429" s="183"/>
      <c r="Q429" s="168">
        <f t="shared" si="83"/>
        <v>0</v>
      </c>
      <c r="R429" s="203"/>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row>
    <row r="430" spans="1:41" s="181" customFormat="1" ht="13.5" customHeight="1">
      <c r="A430" s="192"/>
      <c r="B430" s="193"/>
      <c r="I430" s="192"/>
      <c r="P430" s="194"/>
      <c r="Q430" s="168">
        <f t="shared" si="83"/>
        <v>0</v>
      </c>
      <c r="R430" s="204"/>
    </row>
    <row r="431" spans="1:41" s="181" customFormat="1" ht="13.5" customHeight="1">
      <c r="A431" s="192"/>
      <c r="H431" s="187" t="s">
        <v>992</v>
      </c>
      <c r="I431" s="192"/>
      <c r="Q431" s="168">
        <f t="shared" si="83"/>
        <v>0</v>
      </c>
      <c r="R431" s="204"/>
    </row>
    <row r="432" spans="1:41" ht="18">
      <c r="A432" s="129" t="s">
        <v>681</v>
      </c>
      <c r="B432" s="130"/>
      <c r="C432" s="130"/>
      <c r="D432" s="130"/>
      <c r="E432" s="130"/>
      <c r="F432" s="130"/>
      <c r="G432" s="130"/>
      <c r="H432" s="130"/>
      <c r="Q432" s="168">
        <f t="shared" si="83"/>
        <v>0</v>
      </c>
    </row>
    <row r="433" spans="1:41">
      <c r="A433" s="135"/>
      <c r="B433" s="131"/>
      <c r="C433" s="131"/>
      <c r="D433" s="131"/>
      <c r="E433" s="131"/>
      <c r="F433" s="131"/>
      <c r="G433" s="131"/>
      <c r="H433" s="131"/>
      <c r="Q433" s="168">
        <f t="shared" si="83"/>
        <v>0</v>
      </c>
    </row>
    <row r="434" spans="1:41" ht="15.75">
      <c r="A434" s="137" t="s">
        <v>639</v>
      </c>
      <c r="B434" s="131"/>
      <c r="C434" s="131"/>
      <c r="D434" s="131"/>
      <c r="E434" s="131"/>
      <c r="F434" s="131"/>
      <c r="G434" s="131"/>
      <c r="H434" s="131"/>
      <c r="Q434" s="168">
        <f t="shared" si="83"/>
        <v>0</v>
      </c>
    </row>
    <row r="435" spans="1:41" ht="15.75">
      <c r="A435" s="137" t="s">
        <v>877</v>
      </c>
      <c r="B435" s="131"/>
      <c r="C435" s="131"/>
      <c r="D435" s="131"/>
      <c r="E435" s="131"/>
      <c r="F435" s="131"/>
      <c r="G435" s="131"/>
      <c r="H435" s="131"/>
      <c r="Q435" s="168">
        <f t="shared" si="83"/>
        <v>0</v>
      </c>
    </row>
    <row r="436" spans="1:41">
      <c r="A436" s="140"/>
      <c r="B436" s="141"/>
      <c r="C436" s="141"/>
      <c r="D436" s="141"/>
      <c r="E436" s="141"/>
      <c r="F436" s="141"/>
      <c r="G436" s="141"/>
      <c r="H436" s="141"/>
      <c r="Q436" s="168">
        <f t="shared" si="83"/>
        <v>0</v>
      </c>
    </row>
    <row r="437" spans="1:41">
      <c r="A437" s="145"/>
      <c r="B437" s="146" t="s">
        <v>641</v>
      </c>
      <c r="C437" s="146"/>
      <c r="D437" s="146"/>
      <c r="E437" s="146"/>
      <c r="F437" s="146"/>
      <c r="G437" s="146"/>
      <c r="H437" s="147"/>
      <c r="Q437" s="168">
        <f t="shared" si="83"/>
        <v>0</v>
      </c>
    </row>
    <row r="438" spans="1:41">
      <c r="A438" s="145"/>
      <c r="B438" s="146" t="s">
        <v>642</v>
      </c>
      <c r="C438" s="146"/>
      <c r="D438" s="639" t="s">
        <v>643</v>
      </c>
      <c r="E438" s="637"/>
      <c r="F438" s="637"/>
      <c r="G438" s="637"/>
      <c r="H438" s="153" t="s">
        <v>533</v>
      </c>
      <c r="Q438" s="168">
        <f t="shared" si="83"/>
        <v>0</v>
      </c>
    </row>
    <row r="439" spans="1:41" ht="36">
      <c r="A439" s="145"/>
      <c r="B439" s="154" t="s">
        <v>644</v>
      </c>
      <c r="C439" s="155" t="s">
        <v>645</v>
      </c>
      <c r="D439" s="156" t="s">
        <v>646</v>
      </c>
      <c r="E439" s="157" t="s">
        <v>8</v>
      </c>
      <c r="F439" s="154" t="s">
        <v>647</v>
      </c>
      <c r="G439" s="158" t="s">
        <v>656</v>
      </c>
      <c r="H439" s="159" t="s">
        <v>649</v>
      </c>
      <c r="Q439" s="168">
        <f t="shared" si="83"/>
        <v>0</v>
      </c>
    </row>
    <row r="440" spans="1:41" ht="15.75" customHeight="1">
      <c r="A440" s="189" t="s">
        <v>618</v>
      </c>
      <c r="B440" s="163">
        <f>('Pivot Table for Data Exchange'!$Q$6)*100</f>
        <v>64.651137769648713</v>
      </c>
      <c r="C440" s="163">
        <f>('Pivot Table for Data Exchange'!$Q$9)*100</f>
        <v>19.898864920114047</v>
      </c>
      <c r="D440" s="164">
        <f>SUM(E440:G440)</f>
        <v>15.449997310237237</v>
      </c>
      <c r="E440" s="163">
        <f>('Pivot Table for Data Exchange'!$Q$12)*100</f>
        <v>15.449997310237237</v>
      </c>
      <c r="F440" s="163">
        <f>('Pivot Table for Data Exchange'!$Q$15)*100</f>
        <v>0</v>
      </c>
      <c r="G440" s="167">
        <f>('Pivot Table for Data Exchange'!$Q$18)*100</f>
        <v>0</v>
      </c>
      <c r="H440" s="163">
        <f>('Pivot Table for Data Exchange'!$Q$21)*100</f>
        <v>0</v>
      </c>
      <c r="I440" s="134"/>
      <c r="J440" s="202"/>
      <c r="K440" s="202"/>
      <c r="L440" s="202"/>
      <c r="M440" s="202"/>
      <c r="N440" s="202"/>
      <c r="O440" s="202"/>
      <c r="P440" s="202"/>
      <c r="Q440" s="168">
        <f t="shared" si="83"/>
        <v>100</v>
      </c>
      <c r="R440" s="168"/>
      <c r="S440" s="169"/>
      <c r="T440" s="169"/>
      <c r="U440" s="169"/>
      <c r="V440" s="169"/>
      <c r="W440" s="169"/>
      <c r="X440" s="169"/>
      <c r="Y440" s="169"/>
      <c r="Z440" s="169"/>
      <c r="AA440" s="169"/>
      <c r="AB440" s="169"/>
      <c r="AC440" s="169"/>
      <c r="AD440" s="169"/>
      <c r="AE440" s="169"/>
      <c r="AF440" s="169"/>
      <c r="AG440" s="169"/>
      <c r="AH440" s="169"/>
      <c r="AI440" s="169"/>
      <c r="AJ440" s="169"/>
      <c r="AK440" s="169"/>
      <c r="AL440" s="169"/>
      <c r="AM440" s="169"/>
      <c r="AN440" s="169"/>
      <c r="AO440" s="169"/>
    </row>
    <row r="441" spans="1:41" ht="15.75" customHeight="1">
      <c r="A441" s="134" t="s">
        <v>619</v>
      </c>
      <c r="B441" s="163">
        <f>('Pivot Table for Data Exchange'!$Q$42)*100</f>
        <v>0</v>
      </c>
      <c r="C441" s="163">
        <f>('Pivot Table for Data Exchange'!$Q$45)*100</f>
        <v>0</v>
      </c>
      <c r="D441" s="164">
        <f t="shared" ref="D441:D443" si="89">SUM(E441:G441)</f>
        <v>0</v>
      </c>
      <c r="E441" s="163">
        <f>('Pivot Table for Data Exchange'!$Q$48)*100</f>
        <v>0</v>
      </c>
      <c r="F441" s="163">
        <f>('Pivot Table for Data Exchange'!$Q$51)*100</f>
        <v>0</v>
      </c>
      <c r="G441" s="171">
        <f>('Pivot Table for Data Exchange'!$Q$54)*100</f>
        <v>0</v>
      </c>
      <c r="H441" s="163">
        <f>('Pivot Table for Data Exchange'!$Q$57)*100</f>
        <v>0</v>
      </c>
      <c r="I441" s="134"/>
      <c r="J441" s="202"/>
      <c r="K441" s="202"/>
      <c r="L441" s="202"/>
      <c r="M441" s="202"/>
      <c r="N441" s="202"/>
      <c r="O441" s="202"/>
      <c r="P441" s="202"/>
      <c r="Q441" s="168">
        <f t="shared" si="83"/>
        <v>0</v>
      </c>
      <c r="R441" s="168"/>
      <c r="S441" s="169"/>
      <c r="T441" s="169"/>
      <c r="U441" s="169"/>
      <c r="V441" s="169"/>
      <c r="W441" s="169"/>
      <c r="X441" s="169"/>
      <c r="Y441" s="169"/>
      <c r="Z441" s="169"/>
      <c r="AA441" s="169"/>
      <c r="AB441" s="169"/>
      <c r="AC441" s="169"/>
      <c r="AD441" s="169"/>
      <c r="AE441" s="169"/>
      <c r="AF441" s="169"/>
      <c r="AG441" s="169"/>
      <c r="AH441" s="169"/>
      <c r="AI441" s="169"/>
      <c r="AJ441" s="169"/>
      <c r="AK441" s="169"/>
      <c r="AL441" s="169"/>
      <c r="AM441" s="169"/>
      <c r="AN441" s="169"/>
      <c r="AO441" s="169"/>
    </row>
    <row r="442" spans="1:41" ht="15.75" customHeight="1">
      <c r="A442" s="134" t="s">
        <v>620</v>
      </c>
      <c r="B442" s="163">
        <f>('Pivot Table for Data Exchange'!$Q$78)*100</f>
        <v>0</v>
      </c>
      <c r="C442" s="163">
        <f>('Pivot Table for Data Exchange'!$Q$81)*100</f>
        <v>0</v>
      </c>
      <c r="D442" s="164">
        <f t="shared" si="89"/>
        <v>0</v>
      </c>
      <c r="E442" s="163">
        <f>('Pivot Table for Data Exchange'!$Q$84)*100</f>
        <v>0</v>
      </c>
      <c r="F442" s="163">
        <f>('Pivot Table for Data Exchange'!$Q$87)*100</f>
        <v>0</v>
      </c>
      <c r="G442" s="171">
        <f>('Pivot Table for Data Exchange'!$Q$90)*100</f>
        <v>0</v>
      </c>
      <c r="H442" s="163">
        <f>('Pivot Table for Data Exchange'!$Q$93)*100</f>
        <v>0</v>
      </c>
      <c r="I442" s="134"/>
      <c r="J442" s="202"/>
      <c r="K442" s="202"/>
      <c r="L442" s="202"/>
      <c r="M442" s="202"/>
      <c r="N442" s="202"/>
      <c r="O442" s="202"/>
      <c r="P442" s="202"/>
      <c r="Q442" s="168">
        <f t="shared" si="83"/>
        <v>0</v>
      </c>
      <c r="R442" s="168"/>
      <c r="S442" s="169"/>
      <c r="T442" s="143"/>
      <c r="U442" s="169"/>
      <c r="V442" s="169"/>
      <c r="W442" s="169"/>
      <c r="X442" s="169"/>
      <c r="Y442" s="169"/>
      <c r="Z442" s="169"/>
      <c r="AA442" s="169"/>
      <c r="AB442" s="169"/>
      <c r="AC442" s="169"/>
      <c r="AD442" s="169"/>
      <c r="AE442" s="169"/>
      <c r="AF442" s="169"/>
      <c r="AG442" s="169"/>
      <c r="AH442" s="169"/>
      <c r="AI442" s="169"/>
      <c r="AJ442" s="169"/>
      <c r="AK442" s="169"/>
      <c r="AL442" s="169"/>
      <c r="AM442" s="169"/>
      <c r="AN442" s="169"/>
      <c r="AO442" s="169"/>
    </row>
    <row r="443" spans="1:41" ht="15.75" customHeight="1">
      <c r="A443" s="134" t="s">
        <v>621</v>
      </c>
      <c r="B443" s="163">
        <f>('Pivot Table for Data Exchange'!$Q$114)*100</f>
        <v>0</v>
      </c>
      <c r="C443" s="163">
        <f>('Pivot Table for Data Exchange'!$Q$117)*100</f>
        <v>0</v>
      </c>
      <c r="D443" s="164">
        <f t="shared" si="89"/>
        <v>0</v>
      </c>
      <c r="E443" s="163">
        <f>('Pivot Table for Data Exchange'!$Q$120)*100</f>
        <v>0</v>
      </c>
      <c r="F443" s="163">
        <f>('Pivot Table for Data Exchange'!$Q$123)*100</f>
        <v>0</v>
      </c>
      <c r="G443" s="171">
        <f>('Pivot Table for Data Exchange'!$Q$126)*100</f>
        <v>0</v>
      </c>
      <c r="H443" s="163">
        <f>('Pivot Table for Data Exchange'!$Q$129)*100</f>
        <v>0</v>
      </c>
      <c r="I443" s="134"/>
      <c r="J443" s="202"/>
      <c r="K443" s="202"/>
      <c r="L443" s="202"/>
      <c r="M443" s="202"/>
      <c r="N443" s="202"/>
      <c r="O443" s="202"/>
      <c r="P443" s="202"/>
      <c r="Q443" s="168">
        <f t="shared" si="83"/>
        <v>0</v>
      </c>
      <c r="R443" s="168"/>
      <c r="S443" s="169"/>
      <c r="U443" s="169"/>
      <c r="V443" s="169"/>
      <c r="W443" s="169"/>
      <c r="X443" s="169"/>
      <c r="Y443" s="169"/>
      <c r="Z443" s="169"/>
      <c r="AA443" s="169"/>
      <c r="AB443" s="169"/>
      <c r="AC443" s="169"/>
      <c r="AD443" s="169"/>
      <c r="AE443" s="169"/>
      <c r="AF443" s="169"/>
      <c r="AG443" s="169"/>
      <c r="AH443" s="169"/>
      <c r="AI443" s="169"/>
      <c r="AJ443" s="169"/>
      <c r="AK443" s="169"/>
      <c r="AL443" s="169"/>
      <c r="AM443" s="169"/>
      <c r="AN443" s="169"/>
      <c r="AO443" s="169"/>
    </row>
    <row r="444" spans="1:41" ht="15.75" customHeight="1">
      <c r="B444" s="163"/>
      <c r="C444" s="163"/>
      <c r="D444" s="164"/>
      <c r="E444" s="163"/>
      <c r="F444" s="163"/>
      <c r="G444" s="171"/>
      <c r="H444" s="163"/>
      <c r="I444" s="134"/>
      <c r="J444" s="202"/>
      <c r="K444" s="202"/>
      <c r="L444" s="202"/>
      <c r="M444" s="202"/>
      <c r="N444" s="202"/>
      <c r="O444" s="202"/>
      <c r="P444" s="202"/>
      <c r="Q444" s="168">
        <f t="shared" si="83"/>
        <v>0</v>
      </c>
      <c r="R444" s="168"/>
      <c r="S444" s="169"/>
      <c r="U444" s="169"/>
      <c r="V444" s="169"/>
      <c r="W444" s="169"/>
      <c r="X444" s="169"/>
      <c r="Y444" s="169"/>
      <c r="Z444" s="169"/>
      <c r="AA444" s="169"/>
      <c r="AB444" s="169"/>
      <c r="AC444" s="169"/>
      <c r="AD444" s="169"/>
      <c r="AE444" s="169"/>
      <c r="AF444" s="169"/>
      <c r="AG444" s="169"/>
      <c r="AH444" s="169"/>
      <c r="AI444" s="169"/>
      <c r="AJ444" s="169"/>
      <c r="AK444" s="169"/>
      <c r="AL444" s="169"/>
      <c r="AM444" s="169"/>
      <c r="AN444" s="169"/>
      <c r="AO444" s="169"/>
    </row>
    <row r="445" spans="1:41" ht="15.75" customHeight="1">
      <c r="A445" s="134" t="s">
        <v>622</v>
      </c>
      <c r="B445" s="163">
        <f>('Pivot Table for Data Exchange'!$Q$150)*100</f>
        <v>0</v>
      </c>
      <c r="C445" s="163">
        <f>('Pivot Table for Data Exchange'!$Q$153)*100</f>
        <v>0</v>
      </c>
      <c r="D445" s="164">
        <f t="shared" ref="D445:D448" si="90">SUM(E445:G445)</f>
        <v>0</v>
      </c>
      <c r="E445" s="163">
        <f>('Pivot Table for Data Exchange'!$Q$156)*100</f>
        <v>0</v>
      </c>
      <c r="F445" s="163">
        <f>('Pivot Table for Data Exchange'!$Q$159)*100</f>
        <v>0</v>
      </c>
      <c r="G445" s="171">
        <f>('Pivot Table for Data Exchange'!$Q$162)*100</f>
        <v>0</v>
      </c>
      <c r="H445" s="163">
        <f>('Pivot Table for Data Exchange'!$Q$165)*100</f>
        <v>0</v>
      </c>
      <c r="I445" s="134"/>
      <c r="J445" s="202"/>
      <c r="K445" s="202"/>
      <c r="L445" s="202"/>
      <c r="M445" s="202"/>
      <c r="N445" s="202"/>
      <c r="O445" s="202"/>
      <c r="P445" s="202"/>
      <c r="Q445" s="168">
        <f t="shared" si="83"/>
        <v>0</v>
      </c>
      <c r="R445" s="168"/>
      <c r="S445" s="169"/>
      <c r="T445" s="169"/>
      <c r="U445" s="169"/>
      <c r="V445" s="169"/>
      <c r="W445" s="169"/>
      <c r="X445" s="169"/>
      <c r="Y445" s="169"/>
      <c r="Z445" s="169"/>
      <c r="AA445" s="169"/>
      <c r="AB445" s="169"/>
      <c r="AC445" s="169"/>
      <c r="AD445" s="169"/>
      <c r="AE445" s="169"/>
      <c r="AF445" s="169"/>
      <c r="AG445" s="169"/>
      <c r="AH445" s="169"/>
      <c r="AI445" s="169"/>
      <c r="AJ445" s="169"/>
      <c r="AK445" s="169"/>
      <c r="AL445" s="169"/>
      <c r="AM445" s="169"/>
      <c r="AN445" s="169"/>
      <c r="AO445" s="169"/>
    </row>
    <row r="446" spans="1:41" ht="15.75" customHeight="1">
      <c r="A446" s="134" t="s">
        <v>623</v>
      </c>
      <c r="B446" s="163">
        <f>('Pivot Table for Data Exchange'!$Q$186)*100</f>
        <v>0</v>
      </c>
      <c r="C446" s="163">
        <f>('Pivot Table for Data Exchange'!$Q$189)*100</f>
        <v>0</v>
      </c>
      <c r="D446" s="164">
        <f t="shared" si="90"/>
        <v>0</v>
      </c>
      <c r="E446" s="163">
        <f>('Pivot Table for Data Exchange'!$Q$192)*100</f>
        <v>0</v>
      </c>
      <c r="F446" s="163">
        <f>('Pivot Table for Data Exchange'!$Q$195)*100</f>
        <v>0</v>
      </c>
      <c r="G446" s="171">
        <f>('Pivot Table for Data Exchange'!$Q$198)*100</f>
        <v>0</v>
      </c>
      <c r="H446" s="163">
        <f>('Pivot Table for Data Exchange'!$Q$201)*100</f>
        <v>0</v>
      </c>
      <c r="I446" s="134"/>
      <c r="J446" s="202"/>
      <c r="K446" s="202"/>
      <c r="L446" s="202"/>
      <c r="M446" s="202"/>
      <c r="N446" s="202"/>
      <c r="O446" s="202"/>
      <c r="P446" s="202"/>
      <c r="Q446" s="168">
        <f t="shared" si="83"/>
        <v>0</v>
      </c>
      <c r="R446" s="168"/>
      <c r="S446" s="169"/>
      <c r="T446" s="169"/>
      <c r="U446" s="169"/>
      <c r="V446" s="169"/>
      <c r="W446" s="169"/>
      <c r="X446" s="169"/>
      <c r="Y446" s="169"/>
      <c r="Z446" s="169"/>
      <c r="AA446" s="169"/>
      <c r="AB446" s="169"/>
      <c r="AC446" s="169"/>
      <c r="AD446" s="169"/>
      <c r="AE446" s="169"/>
      <c r="AF446" s="169"/>
      <c r="AG446" s="169"/>
      <c r="AH446" s="169"/>
      <c r="AI446" s="169"/>
      <c r="AJ446" s="169"/>
      <c r="AK446" s="169"/>
      <c r="AL446" s="169"/>
      <c r="AM446" s="169"/>
      <c r="AN446" s="169"/>
      <c r="AO446" s="169"/>
    </row>
    <row r="447" spans="1:41" ht="15.75" customHeight="1">
      <c r="A447" s="134" t="s">
        <v>624</v>
      </c>
      <c r="B447" s="163">
        <f>('Pivot Table for Data Exchange'!$Q$222)*100</f>
        <v>91.390728476821195</v>
      </c>
      <c r="C447" s="163">
        <f>('Pivot Table for Data Exchange'!$Q$225)*100</f>
        <v>0</v>
      </c>
      <c r="D447" s="164">
        <f t="shared" si="90"/>
        <v>8.6092715231788102</v>
      </c>
      <c r="E447" s="163">
        <f>('Pivot Table for Data Exchange'!$Q$228)*100</f>
        <v>8.6092715231788102</v>
      </c>
      <c r="F447" s="163">
        <f>('Pivot Table for Data Exchange'!$Q$231)*100</f>
        <v>0</v>
      </c>
      <c r="G447" s="171">
        <f>('Pivot Table for Data Exchange'!$Q$234)*100</f>
        <v>0</v>
      </c>
      <c r="H447" s="163">
        <f>('Pivot Table for Data Exchange'!$Q$237)*100</f>
        <v>0</v>
      </c>
      <c r="I447" s="209"/>
      <c r="J447" s="202"/>
      <c r="K447" s="202"/>
      <c r="L447" s="202"/>
      <c r="M447" s="202"/>
      <c r="N447" s="202"/>
      <c r="O447" s="202"/>
      <c r="P447" s="202"/>
      <c r="Q447" s="168">
        <f>SUM(I447,C447,D447,H447)</f>
        <v>8.6092715231788102</v>
      </c>
      <c r="R447" s="168"/>
      <c r="S447" s="169"/>
      <c r="T447" s="143"/>
      <c r="U447" s="169"/>
      <c r="V447" s="169"/>
      <c r="W447" s="169"/>
      <c r="X447" s="169"/>
      <c r="Y447" s="169"/>
      <c r="Z447" s="169"/>
      <c r="AA447" s="169"/>
      <c r="AB447" s="169"/>
      <c r="AC447" s="169"/>
      <c r="AD447" s="169"/>
      <c r="AE447" s="169"/>
      <c r="AF447" s="169"/>
      <c r="AG447" s="169"/>
      <c r="AH447" s="169"/>
      <c r="AI447" s="169"/>
      <c r="AJ447" s="169"/>
      <c r="AK447" s="169"/>
      <c r="AL447" s="169"/>
      <c r="AM447" s="169"/>
      <c r="AN447" s="169"/>
      <c r="AO447" s="169"/>
    </row>
    <row r="448" spans="1:41" ht="15.75" customHeight="1">
      <c r="A448" s="134" t="s">
        <v>625</v>
      </c>
      <c r="B448" s="163">
        <f>('Pivot Table for Data Exchange'!$Q$258)*100</f>
        <v>0</v>
      </c>
      <c r="C448" s="163">
        <f>('Pivot Table for Data Exchange'!$Q$261)*100</f>
        <v>0</v>
      </c>
      <c r="D448" s="164">
        <f t="shared" si="90"/>
        <v>0</v>
      </c>
      <c r="E448" s="163">
        <f>('Pivot Table for Data Exchange'!$Q$264)*100</f>
        <v>0</v>
      </c>
      <c r="F448" s="163">
        <f>('Pivot Table for Data Exchange'!$Q$267)*100</f>
        <v>0</v>
      </c>
      <c r="G448" s="171">
        <f>('Pivot Table for Data Exchange'!$Q$270)*100</f>
        <v>0</v>
      </c>
      <c r="H448" s="163">
        <f>('Pivot Table for Data Exchange'!$Q$273)*100</f>
        <v>0</v>
      </c>
      <c r="I448" s="134"/>
      <c r="J448" s="202"/>
      <c r="K448" s="202"/>
      <c r="L448" s="202"/>
      <c r="M448" s="202"/>
      <c r="N448" s="202"/>
      <c r="O448" s="202"/>
      <c r="P448" s="202"/>
      <c r="Q448" s="168">
        <f t="shared" si="83"/>
        <v>0</v>
      </c>
      <c r="R448" s="168"/>
      <c r="S448" s="169"/>
      <c r="U448" s="169"/>
      <c r="V448" s="169"/>
      <c r="W448" s="169"/>
      <c r="X448" s="169"/>
      <c r="Y448" s="169"/>
      <c r="Z448" s="169"/>
      <c r="AA448" s="169"/>
      <c r="AB448" s="169"/>
      <c r="AC448" s="169"/>
      <c r="AD448" s="169"/>
      <c r="AE448" s="169"/>
      <c r="AF448" s="169"/>
      <c r="AG448" s="169"/>
      <c r="AH448" s="169"/>
      <c r="AI448" s="169"/>
      <c r="AJ448" s="169"/>
      <c r="AK448" s="169"/>
      <c r="AL448" s="169"/>
      <c r="AM448" s="169"/>
      <c r="AN448" s="169"/>
      <c r="AO448" s="169"/>
    </row>
    <row r="449" spans="1:41" ht="15.75" customHeight="1">
      <c r="B449" s="163"/>
      <c r="C449" s="163"/>
      <c r="D449" s="164"/>
      <c r="E449" s="163"/>
      <c r="F449" s="163"/>
      <c r="G449" s="171"/>
      <c r="H449" s="163"/>
      <c r="I449" s="134"/>
      <c r="J449" s="202"/>
      <c r="K449" s="202"/>
      <c r="L449" s="202"/>
      <c r="M449" s="202"/>
      <c r="N449" s="202"/>
      <c r="O449" s="202"/>
      <c r="P449" s="202"/>
      <c r="Q449" s="168">
        <f t="shared" si="83"/>
        <v>0</v>
      </c>
      <c r="R449" s="168"/>
      <c r="S449" s="169"/>
      <c r="U449" s="169"/>
      <c r="V449" s="169"/>
      <c r="W449" s="169"/>
      <c r="X449" s="169"/>
      <c r="Y449" s="169"/>
      <c r="Z449" s="169"/>
      <c r="AA449" s="169"/>
      <c r="AB449" s="169"/>
      <c r="AC449" s="169"/>
      <c r="AD449" s="169"/>
      <c r="AE449" s="169"/>
      <c r="AF449" s="169"/>
      <c r="AG449" s="169"/>
      <c r="AH449" s="169"/>
      <c r="AI449" s="169"/>
      <c r="AJ449" s="169"/>
      <c r="AK449" s="169"/>
      <c r="AL449" s="169"/>
      <c r="AM449" s="169"/>
      <c r="AN449" s="169"/>
      <c r="AO449" s="169"/>
    </row>
    <row r="450" spans="1:41" ht="15.75" customHeight="1">
      <c r="A450" s="134" t="s">
        <v>626</v>
      </c>
      <c r="B450" s="163">
        <f>('Pivot Table for Data Exchange'!$Q$294)*100</f>
        <v>0</v>
      </c>
      <c r="C450" s="163">
        <f>('Pivot Table for Data Exchange'!$Q$297)*100</f>
        <v>0</v>
      </c>
      <c r="D450" s="164">
        <f t="shared" ref="D450:D452" si="91">SUM(E450:G450)</f>
        <v>0</v>
      </c>
      <c r="E450" s="163">
        <f>('Pivot Table for Data Exchange'!$Q$300)*100</f>
        <v>0</v>
      </c>
      <c r="F450" s="163">
        <f>('Pivot Table for Data Exchange'!$Q$303)*100</f>
        <v>0</v>
      </c>
      <c r="G450" s="171">
        <f>('Pivot Table for Data Exchange'!$Q$306)*100</f>
        <v>0</v>
      </c>
      <c r="H450" s="163">
        <f>('Pivot Table for Data Exchange'!$Q$309)*100</f>
        <v>0</v>
      </c>
      <c r="I450" s="134"/>
      <c r="J450" s="202"/>
      <c r="K450" s="202"/>
      <c r="L450" s="202"/>
      <c r="M450" s="202"/>
      <c r="N450" s="202"/>
      <c r="O450" s="202"/>
      <c r="P450" s="202"/>
      <c r="Q450" s="168">
        <f t="shared" si="83"/>
        <v>0</v>
      </c>
      <c r="R450" s="168"/>
      <c r="S450" s="169"/>
      <c r="T450" s="169"/>
      <c r="U450" s="169"/>
      <c r="V450" s="169"/>
      <c r="W450" s="169"/>
      <c r="X450" s="169"/>
      <c r="Y450" s="169"/>
      <c r="Z450" s="169"/>
      <c r="AA450" s="169"/>
      <c r="AB450" s="169"/>
      <c r="AC450" s="169"/>
      <c r="AD450" s="169"/>
      <c r="AE450" s="169"/>
      <c r="AF450" s="169"/>
      <c r="AG450" s="169"/>
      <c r="AH450" s="169"/>
      <c r="AI450" s="169"/>
      <c r="AJ450" s="169"/>
      <c r="AK450" s="169"/>
      <c r="AL450" s="169"/>
      <c r="AM450" s="169"/>
      <c r="AN450" s="169"/>
      <c r="AO450" s="169"/>
    </row>
    <row r="451" spans="1:41" ht="15.75" customHeight="1">
      <c r="A451" s="134" t="s">
        <v>627</v>
      </c>
      <c r="B451" s="163">
        <f>('Pivot Table for Data Exchange'!$Q$330)*100</f>
        <v>0</v>
      </c>
      <c r="C451" s="163">
        <f>('Pivot Table for Data Exchange'!$Q$333)*100</f>
        <v>0</v>
      </c>
      <c r="D451" s="164">
        <f t="shared" si="91"/>
        <v>0</v>
      </c>
      <c r="E451" s="163">
        <f>('Pivot Table for Data Exchange'!$Q$336)*100</f>
        <v>0</v>
      </c>
      <c r="F451" s="163">
        <f>('Pivot Table for Data Exchange'!$Q$339)*100</f>
        <v>0</v>
      </c>
      <c r="G451" s="171">
        <f>('Pivot Table for Data Exchange'!$Q$342)*100</f>
        <v>0</v>
      </c>
      <c r="H451" s="163">
        <f>('Pivot Table for Data Exchange'!$Q$345)*100</f>
        <v>0</v>
      </c>
      <c r="I451" s="134"/>
      <c r="J451" s="202"/>
      <c r="K451" s="202"/>
      <c r="L451" s="202"/>
      <c r="M451" s="202"/>
      <c r="N451" s="202"/>
      <c r="O451" s="202"/>
      <c r="P451" s="202"/>
      <c r="Q451" s="168">
        <f t="shared" si="83"/>
        <v>0</v>
      </c>
      <c r="R451" s="168"/>
      <c r="S451" s="169"/>
      <c r="T451" s="169"/>
      <c r="U451" s="169"/>
      <c r="V451" s="169"/>
      <c r="W451" s="169"/>
      <c r="X451" s="169"/>
      <c r="Y451" s="169"/>
      <c r="Z451" s="169"/>
      <c r="AA451" s="169"/>
      <c r="AB451" s="169"/>
      <c r="AC451" s="169"/>
      <c r="AD451" s="169"/>
      <c r="AE451" s="169"/>
      <c r="AF451" s="169"/>
      <c r="AG451" s="169"/>
      <c r="AH451" s="169"/>
      <c r="AI451" s="169"/>
      <c r="AJ451" s="169"/>
      <c r="AK451" s="169"/>
      <c r="AL451" s="169"/>
      <c r="AM451" s="169"/>
      <c r="AN451" s="169"/>
      <c r="AO451" s="169"/>
    </row>
    <row r="452" spans="1:41" ht="15.75" customHeight="1">
      <c r="A452" s="134" t="s">
        <v>628</v>
      </c>
      <c r="B452" s="163">
        <f>('Pivot Table for Data Exchange'!$Q$366)*100</f>
        <v>0</v>
      </c>
      <c r="C452" s="163">
        <f>('Pivot Table for Data Exchange'!$Q$369)*100</f>
        <v>0</v>
      </c>
      <c r="D452" s="164">
        <f t="shared" si="91"/>
        <v>0</v>
      </c>
      <c r="E452" s="163">
        <f>('Pivot Table for Data Exchange'!$Q$372)*100</f>
        <v>0</v>
      </c>
      <c r="F452" s="163">
        <f>('Pivot Table for Data Exchange'!$Q$375)*100</f>
        <v>0</v>
      </c>
      <c r="G452" s="171">
        <f>('Pivot Table for Data Exchange'!$Q$378)*100</f>
        <v>0</v>
      </c>
      <c r="H452" s="163">
        <f>('Pivot Table for Data Exchange'!$Q$381)*100</f>
        <v>0</v>
      </c>
      <c r="I452" s="134"/>
      <c r="J452" s="202"/>
      <c r="K452" s="202"/>
      <c r="L452" s="202"/>
      <c r="M452" s="202"/>
      <c r="N452" s="202"/>
      <c r="O452" s="202"/>
      <c r="P452" s="202"/>
      <c r="Q452" s="168">
        <f t="shared" si="83"/>
        <v>0</v>
      </c>
      <c r="R452" s="168"/>
      <c r="S452" s="169"/>
      <c r="T452" s="143"/>
      <c r="U452" s="169"/>
      <c r="V452" s="169"/>
      <c r="W452" s="169"/>
      <c r="X452" s="169"/>
      <c r="Y452" s="169"/>
      <c r="Z452" s="169"/>
      <c r="AA452" s="169"/>
      <c r="AB452" s="169"/>
      <c r="AC452" s="169"/>
      <c r="AD452" s="169"/>
      <c r="AE452" s="169"/>
      <c r="AF452" s="169"/>
      <c r="AG452" s="169"/>
      <c r="AH452" s="169"/>
      <c r="AI452" s="169"/>
      <c r="AJ452" s="169"/>
      <c r="AK452" s="169"/>
      <c r="AL452" s="169"/>
      <c r="AM452" s="169"/>
      <c r="AN452" s="169"/>
      <c r="AO452" s="169"/>
    </row>
    <row r="453" spans="1:41" ht="15.75" customHeight="1">
      <c r="A453" s="134" t="s">
        <v>629</v>
      </c>
      <c r="B453" s="163">
        <f>('Pivot Table for Data Exchange'!$Q$402)*100</f>
        <v>0</v>
      </c>
      <c r="C453" s="163">
        <f>('Pivot Table for Data Exchange'!$Q$405)*100</f>
        <v>0</v>
      </c>
      <c r="D453" s="164">
        <f>SUM(E453:G453)</f>
        <v>0</v>
      </c>
      <c r="E453" s="163">
        <f>('Pivot Table for Data Exchange'!$Q$408)*100</f>
        <v>0</v>
      </c>
      <c r="F453" s="163">
        <f>('Pivot Table for Data Exchange'!$Q$411)*100</f>
        <v>0</v>
      </c>
      <c r="G453" s="171">
        <f>('Pivot Table for Data Exchange'!$Q$414)*100</f>
        <v>0</v>
      </c>
      <c r="H453" s="163">
        <f>('Pivot Table for Data Exchange'!$Q$417)*100</f>
        <v>0</v>
      </c>
      <c r="I453" s="134"/>
      <c r="J453" s="202"/>
      <c r="K453" s="202"/>
      <c r="L453" s="202"/>
      <c r="M453" s="202"/>
      <c r="N453" s="202"/>
      <c r="O453" s="202"/>
      <c r="P453" s="202"/>
      <c r="Q453" s="168">
        <f t="shared" si="83"/>
        <v>0</v>
      </c>
      <c r="R453" s="168"/>
      <c r="S453" s="169"/>
      <c r="T453" s="169"/>
      <c r="U453" s="169"/>
      <c r="V453" s="169"/>
      <c r="W453" s="169"/>
      <c r="X453" s="169"/>
      <c r="Y453" s="169"/>
      <c r="Z453" s="169"/>
      <c r="AA453" s="169"/>
      <c r="AB453" s="169"/>
      <c r="AC453" s="169"/>
      <c r="AD453" s="169"/>
      <c r="AE453" s="169"/>
      <c r="AF453" s="169"/>
      <c r="AG453" s="169"/>
      <c r="AH453" s="169"/>
      <c r="AI453" s="169"/>
      <c r="AJ453" s="169"/>
      <c r="AK453" s="169"/>
      <c r="AL453" s="169"/>
      <c r="AM453" s="169"/>
      <c r="AN453" s="169"/>
      <c r="AO453" s="169"/>
    </row>
    <row r="454" spans="1:41" ht="15.75" customHeight="1">
      <c r="B454" s="163"/>
      <c r="C454" s="163"/>
      <c r="D454" s="164"/>
      <c r="E454" s="163"/>
      <c r="F454" s="163"/>
      <c r="G454" s="171"/>
      <c r="H454" s="163"/>
      <c r="I454" s="134"/>
      <c r="J454" s="202"/>
      <c r="K454" s="202"/>
      <c r="L454" s="202"/>
      <c r="M454" s="202"/>
      <c r="N454" s="202"/>
      <c r="O454" s="202"/>
      <c r="P454" s="202"/>
      <c r="Q454" s="168">
        <f t="shared" si="83"/>
        <v>0</v>
      </c>
      <c r="R454" s="168"/>
      <c r="S454" s="169"/>
      <c r="T454" s="169"/>
      <c r="U454" s="169"/>
      <c r="V454" s="169"/>
      <c r="W454" s="169"/>
      <c r="X454" s="169"/>
      <c r="Y454" s="169"/>
      <c r="Z454" s="169"/>
      <c r="AA454" s="169"/>
      <c r="AB454" s="169"/>
      <c r="AC454" s="169"/>
      <c r="AD454" s="169"/>
      <c r="AE454" s="169"/>
      <c r="AF454" s="169"/>
      <c r="AG454" s="169"/>
      <c r="AH454" s="169"/>
      <c r="AI454" s="169"/>
      <c r="AJ454" s="169"/>
      <c r="AK454" s="169"/>
      <c r="AL454" s="169"/>
      <c r="AM454" s="169"/>
      <c r="AN454" s="169"/>
      <c r="AO454" s="169"/>
    </row>
    <row r="455" spans="1:41" ht="15.75" customHeight="1">
      <c r="A455" s="134" t="s">
        <v>630</v>
      </c>
      <c r="B455" s="163">
        <f>('Pivot Table for Data Exchange'!$Q$438)*100</f>
        <v>0</v>
      </c>
      <c r="C455" s="163">
        <f>('Pivot Table for Data Exchange'!$Q$441)*100</f>
        <v>0</v>
      </c>
      <c r="D455" s="164">
        <f>SUM(E455:G455)</f>
        <v>0</v>
      </c>
      <c r="E455" s="163">
        <f>('Pivot Table for Data Exchange'!$Q$444)*100</f>
        <v>0</v>
      </c>
      <c r="F455" s="163">
        <f>('Pivot Table for Data Exchange'!$Q$447)*100</f>
        <v>0</v>
      </c>
      <c r="G455" s="171">
        <f>('Pivot Table for Data Exchange'!$Q$450)*100</f>
        <v>0</v>
      </c>
      <c r="H455" s="163">
        <f>('Pivot Table for Data Exchange'!$Q$453)*100</f>
        <v>0</v>
      </c>
      <c r="I455" s="134"/>
      <c r="J455" s="202"/>
      <c r="K455" s="202"/>
      <c r="L455" s="202"/>
      <c r="M455" s="202"/>
      <c r="N455" s="202"/>
      <c r="O455" s="202"/>
      <c r="P455" s="202"/>
      <c r="Q455" s="168">
        <f t="shared" si="83"/>
        <v>0</v>
      </c>
      <c r="R455" s="168"/>
      <c r="S455" s="169"/>
      <c r="T455" s="169"/>
      <c r="U455" s="169"/>
      <c r="V455" s="169"/>
      <c r="W455" s="169"/>
      <c r="X455" s="169"/>
      <c r="Y455" s="169"/>
      <c r="Z455" s="169"/>
      <c r="AA455" s="169"/>
      <c r="AB455" s="169"/>
      <c r="AC455" s="169"/>
      <c r="AD455" s="169"/>
      <c r="AE455" s="169"/>
      <c r="AF455" s="169"/>
      <c r="AG455" s="169"/>
      <c r="AH455" s="169"/>
      <c r="AI455" s="169"/>
      <c r="AJ455" s="169"/>
      <c r="AK455" s="169"/>
      <c r="AL455" s="169"/>
      <c r="AM455" s="169"/>
      <c r="AN455" s="169"/>
      <c r="AO455" s="169"/>
    </row>
    <row r="456" spans="1:41" ht="15.75" customHeight="1">
      <c r="A456" s="134" t="s">
        <v>631</v>
      </c>
      <c r="B456" s="163">
        <f>('Pivot Table for Data Exchange'!$Q$474)*100</f>
        <v>0</v>
      </c>
      <c r="C456" s="163">
        <f>('Pivot Table for Data Exchange'!$Q$477)*100</f>
        <v>0</v>
      </c>
      <c r="D456" s="164">
        <f>SUM(E456:G456)</f>
        <v>0</v>
      </c>
      <c r="E456" s="163">
        <f>('Pivot Table for Data Exchange'!$Q$480)*100</f>
        <v>0</v>
      </c>
      <c r="F456" s="163">
        <f>('Pivot Table for Data Exchange'!$Q$483)*100</f>
        <v>0</v>
      </c>
      <c r="G456" s="171">
        <f>('Pivot Table for Data Exchange'!$Q$486)*100</f>
        <v>0</v>
      </c>
      <c r="H456" s="163">
        <f>('Pivot Table for Data Exchange'!$Q$489)*100</f>
        <v>0</v>
      </c>
      <c r="I456" s="134"/>
      <c r="J456" s="202"/>
      <c r="K456" s="202"/>
      <c r="L456" s="202"/>
      <c r="M456" s="202"/>
      <c r="N456" s="202"/>
      <c r="O456" s="202"/>
      <c r="P456" s="202"/>
      <c r="Q456" s="168">
        <f t="shared" si="83"/>
        <v>0</v>
      </c>
      <c r="R456" s="168"/>
      <c r="S456" s="169"/>
      <c r="T456" s="169"/>
      <c r="U456" s="169"/>
      <c r="V456" s="169"/>
      <c r="W456" s="169"/>
      <c r="X456" s="169"/>
      <c r="Y456" s="169"/>
      <c r="Z456" s="169"/>
      <c r="AA456" s="169"/>
      <c r="AB456" s="169"/>
      <c r="AC456" s="169"/>
      <c r="AD456" s="169"/>
      <c r="AE456" s="169"/>
      <c r="AF456" s="169"/>
      <c r="AG456" s="169"/>
      <c r="AH456" s="169"/>
      <c r="AI456" s="169"/>
      <c r="AJ456" s="169"/>
      <c r="AK456" s="169"/>
      <c r="AL456" s="169"/>
      <c r="AM456" s="169"/>
      <c r="AN456" s="169"/>
      <c r="AO456" s="169"/>
    </row>
    <row r="457" spans="1:41" ht="15.75" customHeight="1">
      <c r="A457" s="134" t="s">
        <v>632</v>
      </c>
      <c r="B457" s="163">
        <f>('Pivot Table for Data Exchange'!$Q$510)*100</f>
        <v>0</v>
      </c>
      <c r="C457" s="163">
        <f>('Pivot Table for Data Exchange'!$Q$513)*100</f>
        <v>0</v>
      </c>
      <c r="D457" s="164">
        <f t="shared" ref="D457" si="92">SUM(E457:G457)</f>
        <v>0</v>
      </c>
      <c r="E457" s="163">
        <f>('Pivot Table for Data Exchange'!$Q$516)*100</f>
        <v>0</v>
      </c>
      <c r="F457" s="163">
        <f>('Pivot Table for Data Exchange'!$Q$519)*100</f>
        <v>0</v>
      </c>
      <c r="G457" s="171">
        <f>('Pivot Table for Data Exchange'!$Q$522)*100</f>
        <v>0</v>
      </c>
      <c r="H457" s="163">
        <f>('Pivot Table for Data Exchange'!$Q$525)*100</f>
        <v>0</v>
      </c>
      <c r="I457" s="134"/>
      <c r="J457" s="202"/>
      <c r="K457" s="202"/>
      <c r="L457" s="202"/>
      <c r="M457" s="202"/>
      <c r="N457" s="202"/>
      <c r="O457" s="202"/>
      <c r="P457" s="202"/>
      <c r="Q457" s="168">
        <f t="shared" si="83"/>
        <v>0</v>
      </c>
      <c r="R457" s="168"/>
      <c r="S457" s="169"/>
      <c r="T457" s="169"/>
      <c r="U457" s="169"/>
      <c r="V457" s="169"/>
      <c r="W457" s="169"/>
      <c r="X457" s="169"/>
      <c r="Y457" s="169"/>
      <c r="Z457" s="169"/>
      <c r="AA457" s="169"/>
      <c r="AB457" s="169"/>
      <c r="AC457" s="169"/>
      <c r="AD457" s="169"/>
      <c r="AE457" s="169"/>
      <c r="AF457" s="169"/>
      <c r="AG457" s="169"/>
      <c r="AH457" s="169"/>
      <c r="AI457" s="169"/>
      <c r="AJ457" s="169"/>
      <c r="AK457" s="169"/>
      <c r="AL457" s="169"/>
      <c r="AM457" s="169"/>
      <c r="AN457" s="169"/>
      <c r="AO457" s="169"/>
    </row>
    <row r="458" spans="1:41" ht="15.75" customHeight="1">
      <c r="A458" s="140" t="s">
        <v>633</v>
      </c>
      <c r="B458" s="176">
        <f>('Pivot Table for Data Exchange'!$Q$546)*100</f>
        <v>0</v>
      </c>
      <c r="C458" s="176">
        <f>('Pivot Table for Data Exchange'!$Q$549)*100</f>
        <v>0</v>
      </c>
      <c r="D458" s="177">
        <f>SUM(E458:G458)</f>
        <v>0</v>
      </c>
      <c r="E458" s="176">
        <f>('Pivot Table for Data Exchange'!$Q$552)*100</f>
        <v>0</v>
      </c>
      <c r="F458" s="176">
        <f>('Pivot Table for Data Exchange'!$Q$555)*100</f>
        <v>0</v>
      </c>
      <c r="G458" s="178">
        <f>('Pivot Table for Data Exchange'!$Q$558)*100</f>
        <v>0</v>
      </c>
      <c r="H458" s="176">
        <f>('Pivot Table for Data Exchange'!$Q$561)*100</f>
        <v>0</v>
      </c>
      <c r="I458" s="134"/>
      <c r="J458" s="202"/>
      <c r="K458" s="202"/>
      <c r="L458" s="202"/>
      <c r="M458" s="202"/>
      <c r="N458" s="202"/>
      <c r="O458" s="202"/>
      <c r="P458" s="202"/>
      <c r="Q458" s="168">
        <f>SUM(B458,C458,D458,H458)</f>
        <v>0</v>
      </c>
      <c r="R458" s="168"/>
      <c r="S458" s="169"/>
      <c r="T458" s="169"/>
      <c r="U458" s="169"/>
      <c r="V458" s="169"/>
      <c r="W458" s="169"/>
      <c r="X458" s="169"/>
      <c r="Y458" s="169"/>
      <c r="Z458" s="169"/>
      <c r="AA458" s="169"/>
      <c r="AB458" s="169"/>
      <c r="AC458" s="169"/>
      <c r="AD458" s="169"/>
      <c r="AE458" s="169"/>
      <c r="AF458" s="169"/>
      <c r="AG458" s="169"/>
      <c r="AH458" s="169"/>
      <c r="AI458" s="169"/>
      <c r="AJ458" s="169"/>
      <c r="AK458" s="169"/>
      <c r="AL458" s="169"/>
      <c r="AM458" s="169"/>
      <c r="AN458" s="169"/>
      <c r="AO458" s="169"/>
    </row>
    <row r="459" spans="1:41" s="181" customFormat="1" ht="12.75" customHeight="1">
      <c r="A459" s="182" t="s">
        <v>658</v>
      </c>
      <c r="B459" s="183"/>
      <c r="C459" s="183"/>
      <c r="D459" s="184"/>
      <c r="E459" s="183"/>
      <c r="F459" s="184"/>
      <c r="G459" s="184"/>
      <c r="H459" s="183"/>
      <c r="I459" s="192"/>
      <c r="J459" s="183"/>
      <c r="K459" s="183"/>
      <c r="L459" s="184"/>
      <c r="M459" s="183"/>
      <c r="N459" s="184"/>
      <c r="O459" s="184"/>
      <c r="P459" s="183"/>
      <c r="Q459" s="203"/>
      <c r="R459" s="203"/>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row>
    <row r="460" spans="1:41" s="181" customFormat="1" ht="13.5" customHeight="1">
      <c r="A460" s="192"/>
      <c r="B460" s="183"/>
      <c r="C460" s="183"/>
      <c r="D460" s="184"/>
      <c r="E460" s="183"/>
      <c r="F460" s="184"/>
      <c r="G460" s="184"/>
      <c r="H460" s="183"/>
      <c r="I460" s="192"/>
      <c r="J460" s="183"/>
      <c r="K460" s="183"/>
      <c r="L460" s="184"/>
      <c r="M460" s="183"/>
      <c r="N460" s="184"/>
      <c r="O460" s="184"/>
      <c r="P460" s="183"/>
      <c r="Q460" s="203"/>
      <c r="R460" s="203"/>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row>
    <row r="461" spans="1:41" s="181" customFormat="1" ht="13.5" customHeight="1">
      <c r="A461" s="192"/>
      <c r="B461" s="193"/>
      <c r="H461" s="187" t="s">
        <v>992</v>
      </c>
      <c r="I461" s="192"/>
      <c r="P461" s="194"/>
      <c r="Q461" s="211"/>
      <c r="R461" s="204"/>
    </row>
    <row r="462" spans="1:41" s="181" customFormat="1" ht="13.5" customHeight="1">
      <c r="A462" s="192"/>
      <c r="I462" s="192"/>
      <c r="Q462" s="211"/>
      <c r="R462" s="204"/>
    </row>
    <row r="463" spans="1:41" s="181" customFormat="1" ht="13.5" customHeight="1">
      <c r="A463" s="192"/>
      <c r="I463" s="192"/>
      <c r="Q463" s="211"/>
      <c r="R463" s="204"/>
    </row>
    <row r="465" spans="8:18" s="212" customFormat="1">
      <c r="H465" s="134"/>
      <c r="I465" s="200"/>
      <c r="J465" s="134"/>
      <c r="K465" s="134"/>
      <c r="L465" s="134"/>
      <c r="M465" s="134"/>
      <c r="N465" s="134"/>
      <c r="O465" s="134"/>
      <c r="P465" s="134"/>
      <c r="Q465" s="138"/>
      <c r="R465" s="144"/>
    </row>
    <row r="466" spans="8:18" s="212" customFormat="1">
      <c r="H466" s="134"/>
      <c r="I466" s="200"/>
      <c r="J466" s="134"/>
      <c r="K466" s="134"/>
      <c r="L466" s="134"/>
      <c r="M466" s="134"/>
      <c r="N466" s="134"/>
      <c r="O466" s="134"/>
      <c r="P466" s="134"/>
      <c r="Q466" s="138"/>
      <c r="R466" s="144"/>
    </row>
    <row r="467" spans="8:18" s="212" customFormat="1">
      <c r="H467" s="134"/>
      <c r="I467" s="200"/>
      <c r="J467" s="134"/>
      <c r="K467" s="134"/>
      <c r="L467" s="134"/>
      <c r="M467" s="134"/>
      <c r="N467" s="134"/>
      <c r="O467" s="134"/>
      <c r="P467" s="134"/>
      <c r="Q467" s="138"/>
      <c r="R467" s="144"/>
    </row>
    <row r="468" spans="8:18" s="212" customFormat="1">
      <c r="H468" s="134"/>
      <c r="I468" s="200"/>
      <c r="J468" s="134"/>
      <c r="K468" s="134"/>
      <c r="L468" s="134"/>
      <c r="M468" s="134"/>
      <c r="N468" s="134"/>
      <c r="O468" s="134"/>
      <c r="P468" s="134"/>
      <c r="Q468" s="138"/>
      <c r="R468" s="144"/>
    </row>
    <row r="469" spans="8:18" s="212" customFormat="1">
      <c r="H469" s="134"/>
      <c r="I469" s="200"/>
      <c r="J469" s="134"/>
      <c r="K469" s="134"/>
      <c r="L469" s="134"/>
      <c r="M469" s="134"/>
      <c r="N469" s="134"/>
      <c r="O469" s="134"/>
      <c r="P469" s="134"/>
      <c r="Q469" s="138"/>
      <c r="R469" s="144"/>
    </row>
    <row r="470" spans="8:18" s="212" customFormat="1">
      <c r="H470" s="134"/>
      <c r="I470" s="200"/>
      <c r="J470" s="134"/>
      <c r="K470" s="134"/>
      <c r="L470" s="134"/>
      <c r="M470" s="134"/>
      <c r="N470" s="134"/>
      <c r="O470" s="134"/>
      <c r="P470" s="134"/>
      <c r="Q470" s="138"/>
      <c r="R470" s="144"/>
    </row>
    <row r="471" spans="8:18" s="212" customFormat="1">
      <c r="H471" s="134"/>
      <c r="I471" s="200"/>
      <c r="J471" s="134"/>
      <c r="K471" s="134"/>
      <c r="L471" s="134"/>
      <c r="M471" s="134"/>
      <c r="N471" s="134"/>
      <c r="O471" s="134"/>
      <c r="P471" s="134"/>
      <c r="Q471" s="138"/>
      <c r="R471" s="144"/>
    </row>
    <row r="472" spans="8:18" s="212" customFormat="1">
      <c r="H472" s="134"/>
      <c r="I472" s="200"/>
      <c r="J472" s="134"/>
      <c r="K472" s="134"/>
      <c r="L472" s="134"/>
      <c r="M472" s="134"/>
      <c r="N472" s="134"/>
      <c r="O472" s="134"/>
      <c r="P472" s="134"/>
      <c r="Q472" s="138"/>
      <c r="R472" s="144"/>
    </row>
    <row r="473" spans="8:18" s="212" customFormat="1">
      <c r="H473" s="134"/>
      <c r="I473" s="200"/>
      <c r="J473" s="134"/>
      <c r="K473" s="134"/>
      <c r="L473" s="134"/>
      <c r="M473" s="134"/>
      <c r="N473" s="134"/>
      <c r="O473" s="134"/>
      <c r="P473" s="134"/>
      <c r="Q473" s="138"/>
      <c r="R473" s="144"/>
    </row>
    <row r="474" spans="8:18" s="212" customFormat="1">
      <c r="H474" s="134"/>
      <c r="I474" s="200"/>
      <c r="J474" s="134"/>
      <c r="K474" s="134"/>
      <c r="L474" s="134"/>
      <c r="M474" s="134"/>
      <c r="N474" s="134"/>
      <c r="O474" s="134"/>
      <c r="P474" s="134"/>
      <c r="Q474" s="138"/>
      <c r="R474" s="144"/>
    </row>
    <row r="475" spans="8:18" s="212" customFormat="1">
      <c r="H475" s="134"/>
      <c r="I475" s="200"/>
      <c r="J475" s="134"/>
      <c r="K475" s="134"/>
      <c r="L475" s="134"/>
      <c r="M475" s="134"/>
      <c r="N475" s="134"/>
      <c r="O475" s="134"/>
      <c r="P475" s="134"/>
      <c r="Q475" s="138"/>
      <c r="R475" s="144"/>
    </row>
    <row r="476" spans="8:18" s="212" customFormat="1">
      <c r="H476" s="134"/>
      <c r="I476" s="200"/>
      <c r="J476" s="134"/>
      <c r="K476" s="134"/>
      <c r="L476" s="134"/>
      <c r="M476" s="134"/>
      <c r="N476" s="134"/>
      <c r="O476" s="134"/>
      <c r="P476" s="134"/>
      <c r="Q476" s="138"/>
      <c r="R476" s="144"/>
    </row>
    <row r="477" spans="8:18" s="212" customFormat="1">
      <c r="H477" s="134"/>
      <c r="I477" s="200"/>
      <c r="J477" s="134"/>
      <c r="K477" s="134"/>
      <c r="L477" s="134"/>
      <c r="M477" s="134"/>
      <c r="N477" s="134"/>
      <c r="O477" s="134"/>
      <c r="P477" s="134"/>
      <c r="Q477" s="138"/>
      <c r="R477" s="144"/>
    </row>
    <row r="478" spans="8:18" s="212" customFormat="1">
      <c r="H478" s="134"/>
      <c r="I478" s="200"/>
      <c r="J478" s="134"/>
      <c r="K478" s="134"/>
      <c r="L478" s="134"/>
      <c r="M478" s="134"/>
      <c r="N478" s="134"/>
      <c r="O478" s="134"/>
      <c r="P478" s="134"/>
      <c r="Q478" s="138"/>
      <c r="R478" s="144"/>
    </row>
    <row r="479" spans="8:18" s="212" customFormat="1">
      <c r="H479" s="134"/>
      <c r="I479" s="200"/>
      <c r="J479" s="134"/>
      <c r="K479" s="134"/>
      <c r="L479" s="134"/>
      <c r="M479" s="134"/>
      <c r="N479" s="134"/>
      <c r="O479" s="134"/>
      <c r="P479" s="134"/>
      <c r="Q479" s="138"/>
      <c r="R479" s="144"/>
    </row>
    <row r="480" spans="8:18" s="212" customFormat="1">
      <c r="H480" s="134"/>
      <c r="I480" s="200"/>
      <c r="J480" s="134"/>
      <c r="K480" s="134"/>
      <c r="L480" s="134"/>
      <c r="M480" s="134"/>
      <c r="N480" s="134"/>
      <c r="O480" s="134"/>
      <c r="P480" s="134"/>
      <c r="Q480" s="138"/>
      <c r="R480" s="144"/>
    </row>
    <row r="481" spans="8:18" s="212" customFormat="1">
      <c r="H481" s="134"/>
      <c r="I481" s="200"/>
      <c r="J481" s="134"/>
      <c r="K481" s="134"/>
      <c r="L481" s="134"/>
      <c r="M481" s="134"/>
      <c r="N481" s="134"/>
      <c r="O481" s="134"/>
      <c r="P481" s="134"/>
      <c r="Q481" s="138"/>
      <c r="R481" s="144"/>
    </row>
    <row r="482" spans="8:18" s="212" customFormat="1">
      <c r="H482" s="134"/>
      <c r="I482" s="200"/>
      <c r="J482" s="134"/>
      <c r="K482" s="134"/>
      <c r="L482" s="134"/>
      <c r="M482" s="134"/>
      <c r="N482" s="134"/>
      <c r="O482" s="134"/>
      <c r="P482" s="134"/>
      <c r="Q482" s="138"/>
      <c r="R482" s="144"/>
    </row>
    <row r="483" spans="8:18" s="212" customFormat="1">
      <c r="H483" s="134"/>
      <c r="I483" s="200"/>
      <c r="J483" s="134"/>
      <c r="K483" s="134"/>
      <c r="L483" s="134"/>
      <c r="M483" s="134"/>
      <c r="N483" s="134"/>
      <c r="O483" s="134"/>
      <c r="P483" s="134"/>
      <c r="Q483" s="138"/>
      <c r="R483" s="144"/>
    </row>
    <row r="484" spans="8:18" s="212" customFormat="1">
      <c r="H484" s="134"/>
      <c r="I484" s="200"/>
      <c r="J484" s="134"/>
      <c r="K484" s="134"/>
      <c r="L484" s="134"/>
      <c r="M484" s="134"/>
      <c r="N484" s="134"/>
      <c r="O484" s="134"/>
      <c r="P484" s="134"/>
      <c r="Q484" s="138"/>
      <c r="R484" s="144"/>
    </row>
    <row r="485" spans="8:18" s="212" customFormat="1">
      <c r="H485" s="134"/>
      <c r="I485" s="200"/>
      <c r="J485" s="134"/>
      <c r="K485" s="134"/>
      <c r="L485" s="134"/>
      <c r="M485" s="134"/>
      <c r="N485" s="134"/>
      <c r="O485" s="134"/>
      <c r="P485" s="134"/>
      <c r="Q485" s="138"/>
      <c r="R485" s="144"/>
    </row>
    <row r="486" spans="8:18" s="212" customFormat="1">
      <c r="H486" s="134"/>
      <c r="I486" s="200"/>
      <c r="J486" s="134"/>
      <c r="K486" s="134"/>
      <c r="L486" s="134"/>
      <c r="M486" s="134"/>
      <c r="N486" s="134"/>
      <c r="O486" s="134"/>
      <c r="P486" s="134"/>
      <c r="Q486" s="138"/>
      <c r="R486" s="144"/>
    </row>
    <row r="487" spans="8:18" s="212" customFormat="1">
      <c r="H487" s="134"/>
      <c r="I487" s="200"/>
      <c r="J487" s="134"/>
      <c r="K487" s="134"/>
      <c r="L487" s="134"/>
      <c r="M487" s="134"/>
      <c r="N487" s="134"/>
      <c r="O487" s="134"/>
      <c r="P487" s="134"/>
      <c r="Q487" s="138"/>
      <c r="R487" s="144"/>
    </row>
    <row r="488" spans="8:18" s="212" customFormat="1">
      <c r="H488" s="134"/>
      <c r="I488" s="200"/>
      <c r="J488" s="134"/>
      <c r="K488" s="134"/>
      <c r="L488" s="134"/>
      <c r="M488" s="134"/>
      <c r="N488" s="134"/>
      <c r="O488" s="134"/>
      <c r="P488" s="134"/>
      <c r="Q488" s="138"/>
      <c r="R488" s="144"/>
    </row>
    <row r="489" spans="8:18" s="212" customFormat="1">
      <c r="H489" s="134"/>
      <c r="I489" s="200"/>
      <c r="J489" s="134"/>
      <c r="K489" s="134"/>
      <c r="L489" s="134"/>
      <c r="M489" s="134"/>
      <c r="N489" s="134"/>
      <c r="O489" s="134"/>
      <c r="P489" s="134"/>
      <c r="Q489" s="138"/>
      <c r="R489" s="144"/>
    </row>
    <row r="490" spans="8:18" s="212" customFormat="1">
      <c r="H490" s="134"/>
      <c r="I490" s="200"/>
      <c r="J490" s="134"/>
      <c r="K490" s="134"/>
      <c r="L490" s="134"/>
      <c r="M490" s="134"/>
      <c r="N490" s="134"/>
      <c r="O490" s="134"/>
      <c r="P490" s="134"/>
      <c r="Q490" s="138"/>
      <c r="R490" s="144"/>
    </row>
    <row r="491" spans="8:18" s="212" customFormat="1">
      <c r="H491" s="134"/>
      <c r="I491" s="200"/>
      <c r="J491" s="134"/>
      <c r="K491" s="134"/>
      <c r="L491" s="134"/>
      <c r="M491" s="134"/>
      <c r="N491" s="134"/>
      <c r="O491" s="134"/>
      <c r="P491" s="134"/>
      <c r="Q491" s="138"/>
      <c r="R491" s="144"/>
    </row>
    <row r="492" spans="8:18" s="212" customFormat="1">
      <c r="H492" s="134"/>
      <c r="I492" s="200"/>
      <c r="J492" s="134"/>
      <c r="K492" s="134"/>
      <c r="L492" s="134"/>
      <c r="M492" s="134"/>
      <c r="N492" s="134"/>
      <c r="O492" s="134"/>
      <c r="P492" s="134"/>
      <c r="Q492" s="138"/>
      <c r="R492" s="144"/>
    </row>
    <row r="493" spans="8:18" s="212" customFormat="1">
      <c r="H493" s="134"/>
      <c r="I493" s="200"/>
      <c r="J493" s="134"/>
      <c r="K493" s="134"/>
      <c r="L493" s="134"/>
      <c r="M493" s="134"/>
      <c r="N493" s="134"/>
      <c r="O493" s="134"/>
      <c r="P493" s="134"/>
      <c r="Q493" s="138"/>
      <c r="R493" s="144"/>
    </row>
    <row r="494" spans="8:18" s="212" customFormat="1">
      <c r="H494" s="134"/>
      <c r="I494" s="200"/>
      <c r="J494" s="134"/>
      <c r="K494" s="134"/>
      <c r="L494" s="134"/>
      <c r="M494" s="134"/>
      <c r="N494" s="134"/>
      <c r="O494" s="134"/>
      <c r="P494" s="134"/>
      <c r="Q494" s="138"/>
      <c r="R494" s="144"/>
    </row>
    <row r="495" spans="8:18" s="212" customFormat="1">
      <c r="H495" s="134"/>
      <c r="I495" s="200"/>
      <c r="J495" s="134"/>
      <c r="K495" s="134"/>
      <c r="L495" s="134"/>
      <c r="M495" s="134"/>
      <c r="N495" s="134"/>
      <c r="O495" s="134"/>
      <c r="P495" s="134"/>
      <c r="Q495" s="138"/>
      <c r="R495" s="144"/>
    </row>
    <row r="496" spans="8:18" s="212" customFormat="1">
      <c r="H496" s="134"/>
      <c r="I496" s="200"/>
      <c r="J496" s="134"/>
      <c r="K496" s="134"/>
      <c r="L496" s="134"/>
      <c r="M496" s="134"/>
      <c r="N496" s="134"/>
      <c r="O496" s="134"/>
      <c r="P496" s="134"/>
      <c r="Q496" s="138"/>
      <c r="R496" s="144"/>
    </row>
    <row r="497" spans="8:18" s="212" customFormat="1">
      <c r="H497" s="134"/>
      <c r="I497" s="200"/>
      <c r="J497" s="134"/>
      <c r="K497" s="134"/>
      <c r="L497" s="134"/>
      <c r="M497" s="134"/>
      <c r="N497" s="134"/>
      <c r="O497" s="134"/>
      <c r="P497" s="134"/>
      <c r="Q497" s="138"/>
      <c r="R497" s="144"/>
    </row>
    <row r="498" spans="8:18" s="212" customFormat="1">
      <c r="H498" s="134"/>
      <c r="I498" s="200"/>
      <c r="J498" s="134"/>
      <c r="K498" s="134"/>
      <c r="L498" s="134"/>
      <c r="M498" s="134"/>
      <c r="N498" s="134"/>
      <c r="O498" s="134"/>
      <c r="P498" s="134"/>
      <c r="Q498" s="138"/>
      <c r="R498" s="144"/>
    </row>
    <row r="499" spans="8:18" s="212" customFormat="1">
      <c r="H499" s="134"/>
      <c r="I499" s="200"/>
      <c r="J499" s="134"/>
      <c r="K499" s="134"/>
      <c r="L499" s="134"/>
      <c r="M499" s="134"/>
      <c r="N499" s="134"/>
      <c r="O499" s="134"/>
      <c r="P499" s="134"/>
      <c r="Q499" s="138"/>
      <c r="R499" s="144"/>
    </row>
    <row r="500" spans="8:18" s="212" customFormat="1">
      <c r="H500" s="134"/>
      <c r="I500" s="200"/>
      <c r="J500" s="134"/>
      <c r="K500" s="134"/>
      <c r="L500" s="134"/>
      <c r="M500" s="134"/>
      <c r="N500" s="134"/>
      <c r="O500" s="134"/>
      <c r="P500" s="134"/>
      <c r="Q500" s="138"/>
      <c r="R500" s="144"/>
    </row>
    <row r="501" spans="8:18" s="212" customFormat="1">
      <c r="H501" s="134"/>
      <c r="I501" s="200"/>
      <c r="J501" s="134"/>
      <c r="K501" s="134"/>
      <c r="L501" s="134"/>
      <c r="M501" s="134"/>
      <c r="N501" s="134"/>
      <c r="O501" s="134"/>
      <c r="P501" s="134"/>
      <c r="Q501" s="138"/>
      <c r="R501" s="144"/>
    </row>
    <row r="502" spans="8:18" s="212" customFormat="1">
      <c r="H502" s="134"/>
      <c r="I502" s="200"/>
      <c r="J502" s="134"/>
      <c r="K502" s="134"/>
      <c r="L502" s="134"/>
      <c r="M502" s="134"/>
      <c r="N502" s="134"/>
      <c r="O502" s="134"/>
      <c r="P502" s="134"/>
      <c r="Q502" s="138"/>
      <c r="R502" s="144"/>
    </row>
    <row r="503" spans="8:18" s="212" customFormat="1">
      <c r="H503" s="134"/>
      <c r="I503" s="200"/>
      <c r="J503" s="134"/>
      <c r="K503" s="134"/>
      <c r="L503" s="134"/>
      <c r="M503" s="134"/>
      <c r="N503" s="134"/>
      <c r="O503" s="134"/>
      <c r="P503" s="134"/>
      <c r="Q503" s="138"/>
      <c r="R503" s="144"/>
    </row>
    <row r="504" spans="8:18" s="212" customFormat="1">
      <c r="H504" s="134"/>
      <c r="I504" s="200"/>
      <c r="J504" s="134"/>
      <c r="K504" s="134"/>
      <c r="L504" s="134"/>
      <c r="M504" s="134"/>
      <c r="N504" s="134"/>
      <c r="O504" s="134"/>
      <c r="P504" s="134"/>
      <c r="Q504" s="138"/>
      <c r="R504" s="144"/>
    </row>
    <row r="505" spans="8:18" s="212" customFormat="1">
      <c r="H505" s="134"/>
      <c r="I505" s="200"/>
      <c r="J505" s="134"/>
      <c r="K505" s="134"/>
      <c r="L505" s="134"/>
      <c r="M505" s="134"/>
      <c r="N505" s="134"/>
      <c r="O505" s="134"/>
      <c r="P505" s="134"/>
      <c r="Q505" s="138"/>
      <c r="R505" s="144"/>
    </row>
    <row r="506" spans="8:18" s="212" customFormat="1">
      <c r="H506" s="134"/>
      <c r="I506" s="200"/>
      <c r="J506" s="134"/>
      <c r="K506" s="134"/>
      <c r="L506" s="134"/>
      <c r="M506" s="134"/>
      <c r="N506" s="134"/>
      <c r="O506" s="134"/>
      <c r="P506" s="134"/>
      <c r="Q506" s="138"/>
      <c r="R506" s="144"/>
    </row>
    <row r="507" spans="8:18" s="212" customFormat="1">
      <c r="H507" s="134"/>
      <c r="I507" s="200"/>
      <c r="J507" s="134"/>
      <c r="K507" s="134"/>
      <c r="L507" s="134"/>
      <c r="M507" s="134"/>
      <c r="N507" s="134"/>
      <c r="O507" s="134"/>
      <c r="P507" s="134"/>
      <c r="Q507" s="138"/>
      <c r="R507" s="144"/>
    </row>
    <row r="508" spans="8:18" s="212" customFormat="1">
      <c r="H508" s="134"/>
      <c r="I508" s="200"/>
      <c r="J508" s="134"/>
      <c r="K508" s="134"/>
      <c r="L508" s="134"/>
      <c r="M508" s="134"/>
      <c r="N508" s="134"/>
      <c r="O508" s="134"/>
      <c r="P508" s="134"/>
      <c r="Q508" s="138"/>
      <c r="R508" s="144"/>
    </row>
    <row r="509" spans="8:18" s="212" customFormat="1">
      <c r="H509" s="134"/>
      <c r="I509" s="200"/>
      <c r="J509" s="134"/>
      <c r="K509" s="134"/>
      <c r="L509" s="134"/>
      <c r="M509" s="134"/>
      <c r="N509" s="134"/>
      <c r="O509" s="134"/>
      <c r="P509" s="134"/>
      <c r="Q509" s="138"/>
      <c r="R509" s="144"/>
    </row>
    <row r="510" spans="8:18" s="212" customFormat="1">
      <c r="H510" s="134"/>
      <c r="I510" s="200"/>
      <c r="J510" s="134"/>
      <c r="K510" s="134"/>
      <c r="L510" s="134"/>
      <c r="M510" s="134"/>
      <c r="N510" s="134"/>
      <c r="O510" s="134"/>
      <c r="P510" s="134"/>
      <c r="Q510" s="138"/>
      <c r="R510" s="144"/>
    </row>
    <row r="511" spans="8:18" s="212" customFormat="1">
      <c r="H511" s="134"/>
      <c r="I511" s="200"/>
      <c r="J511" s="134"/>
      <c r="K511" s="134"/>
      <c r="L511" s="134"/>
      <c r="M511" s="134"/>
      <c r="N511" s="134"/>
      <c r="O511" s="134"/>
      <c r="P511" s="134"/>
      <c r="Q511" s="138"/>
      <c r="R511" s="144"/>
    </row>
    <row r="512" spans="8:18" s="212" customFormat="1">
      <c r="H512" s="134"/>
      <c r="I512" s="200"/>
      <c r="J512" s="134"/>
      <c r="K512" s="134"/>
      <c r="L512" s="134"/>
      <c r="M512" s="134"/>
      <c r="N512" s="134"/>
      <c r="O512" s="134"/>
      <c r="P512" s="134"/>
      <c r="Q512" s="138"/>
      <c r="R512" s="144"/>
    </row>
    <row r="513" spans="8:18" s="212" customFormat="1">
      <c r="H513" s="134"/>
      <c r="I513" s="200"/>
      <c r="J513" s="134"/>
      <c r="K513" s="134"/>
      <c r="L513" s="134"/>
      <c r="M513" s="134"/>
      <c r="N513" s="134"/>
      <c r="O513" s="134"/>
      <c r="P513" s="134"/>
      <c r="Q513" s="138"/>
      <c r="R513" s="144"/>
    </row>
    <row r="514" spans="8:18" s="212" customFormat="1">
      <c r="H514" s="134"/>
      <c r="I514" s="200"/>
      <c r="J514" s="134"/>
      <c r="K514" s="134"/>
      <c r="L514" s="134"/>
      <c r="M514" s="134"/>
      <c r="N514" s="134"/>
      <c r="O514" s="134"/>
      <c r="P514" s="134"/>
      <c r="Q514" s="138"/>
      <c r="R514" s="144"/>
    </row>
    <row r="515" spans="8:18" s="212" customFormat="1">
      <c r="H515" s="134"/>
      <c r="I515" s="200"/>
      <c r="J515" s="134"/>
      <c r="K515" s="134"/>
      <c r="L515" s="134"/>
      <c r="M515" s="134"/>
      <c r="N515" s="134"/>
      <c r="O515" s="134"/>
      <c r="P515" s="134"/>
      <c r="Q515" s="138"/>
      <c r="R515" s="144"/>
    </row>
    <row r="516" spans="8:18" s="212" customFormat="1">
      <c r="H516" s="134"/>
      <c r="I516" s="200"/>
      <c r="J516" s="134"/>
      <c r="K516" s="134"/>
      <c r="L516" s="134"/>
      <c r="M516" s="134"/>
      <c r="N516" s="134"/>
      <c r="O516" s="134"/>
      <c r="P516" s="134"/>
      <c r="Q516" s="138"/>
      <c r="R516" s="144"/>
    </row>
    <row r="517" spans="8:18" s="212" customFormat="1">
      <c r="H517" s="134"/>
      <c r="I517" s="200"/>
      <c r="J517" s="134"/>
      <c r="K517" s="134"/>
      <c r="L517" s="134"/>
      <c r="M517" s="134"/>
      <c r="N517" s="134"/>
      <c r="O517" s="134"/>
      <c r="P517" s="134"/>
      <c r="Q517" s="138"/>
      <c r="R517" s="144"/>
    </row>
    <row r="518" spans="8:18" s="212" customFormat="1">
      <c r="H518" s="134"/>
      <c r="I518" s="200"/>
      <c r="J518" s="134"/>
      <c r="K518" s="134"/>
      <c r="L518" s="134"/>
      <c r="M518" s="134"/>
      <c r="N518" s="134"/>
      <c r="O518" s="134"/>
      <c r="P518" s="134"/>
      <c r="Q518" s="138"/>
      <c r="R518" s="144"/>
    </row>
    <row r="519" spans="8:18" s="212" customFormat="1">
      <c r="H519" s="134"/>
      <c r="I519" s="200"/>
      <c r="J519" s="134"/>
      <c r="K519" s="134"/>
      <c r="L519" s="134"/>
      <c r="M519" s="134"/>
      <c r="N519" s="134"/>
      <c r="O519" s="134"/>
      <c r="P519" s="134"/>
      <c r="Q519" s="138"/>
      <c r="R519" s="144"/>
    </row>
    <row r="520" spans="8:18" s="212" customFormat="1">
      <c r="H520" s="134"/>
      <c r="I520" s="200"/>
      <c r="J520" s="134"/>
      <c r="K520" s="134"/>
      <c r="L520" s="134"/>
      <c r="M520" s="134"/>
      <c r="N520" s="134"/>
      <c r="O520" s="134"/>
      <c r="P520" s="134"/>
      <c r="Q520" s="138"/>
      <c r="R520" s="144"/>
    </row>
    <row r="521" spans="8:18" s="212" customFormat="1">
      <c r="H521" s="134"/>
      <c r="I521" s="200"/>
      <c r="J521" s="134"/>
      <c r="K521" s="134"/>
      <c r="L521" s="134"/>
      <c r="M521" s="134"/>
      <c r="N521" s="134"/>
      <c r="O521" s="134"/>
      <c r="P521" s="134"/>
      <c r="Q521" s="138"/>
      <c r="R521" s="144"/>
    </row>
    <row r="522" spans="8:18" s="212" customFormat="1">
      <c r="H522" s="134"/>
      <c r="I522" s="200"/>
      <c r="J522" s="134"/>
      <c r="K522" s="134"/>
      <c r="L522" s="134"/>
      <c r="M522" s="134"/>
      <c r="N522" s="134"/>
      <c r="O522" s="134"/>
      <c r="P522" s="134"/>
      <c r="Q522" s="138"/>
      <c r="R522" s="144"/>
    </row>
    <row r="523" spans="8:18" s="212" customFormat="1">
      <c r="H523" s="134"/>
      <c r="I523" s="200"/>
      <c r="J523" s="134"/>
      <c r="K523" s="134"/>
      <c r="L523" s="134"/>
      <c r="M523" s="134"/>
      <c r="N523" s="134"/>
      <c r="O523" s="134"/>
      <c r="P523" s="134"/>
      <c r="Q523" s="138"/>
      <c r="R523" s="144"/>
    </row>
    <row r="524" spans="8:18" s="212" customFormat="1">
      <c r="H524" s="134"/>
      <c r="I524" s="200"/>
      <c r="J524" s="134"/>
      <c r="K524" s="134"/>
      <c r="L524" s="134"/>
      <c r="M524" s="134"/>
      <c r="N524" s="134"/>
      <c r="O524" s="134"/>
      <c r="P524" s="134"/>
      <c r="Q524" s="138"/>
      <c r="R524" s="144"/>
    </row>
    <row r="525" spans="8:18" s="212" customFormat="1">
      <c r="H525" s="134"/>
      <c r="I525" s="200"/>
      <c r="J525" s="134"/>
      <c r="K525" s="134"/>
      <c r="L525" s="134"/>
      <c r="M525" s="134"/>
      <c r="N525" s="134"/>
      <c r="O525" s="134"/>
      <c r="P525" s="134"/>
      <c r="Q525" s="138"/>
      <c r="R525" s="144"/>
    </row>
    <row r="526" spans="8:18" s="212" customFormat="1">
      <c r="H526" s="134"/>
      <c r="I526" s="200"/>
      <c r="J526" s="134"/>
      <c r="K526" s="134"/>
      <c r="L526" s="134"/>
      <c r="M526" s="134"/>
      <c r="N526" s="134"/>
      <c r="O526" s="134"/>
      <c r="P526" s="134"/>
      <c r="Q526" s="138"/>
      <c r="R526" s="144"/>
    </row>
    <row r="527" spans="8:18" s="212" customFormat="1">
      <c r="H527" s="134"/>
      <c r="I527" s="200"/>
      <c r="J527" s="134"/>
      <c r="K527" s="134"/>
      <c r="L527" s="134"/>
      <c r="M527" s="134"/>
      <c r="N527" s="134"/>
      <c r="O527" s="134"/>
      <c r="P527" s="134"/>
      <c r="Q527" s="138"/>
      <c r="R527" s="144"/>
    </row>
    <row r="528" spans="8:18" s="212" customFormat="1">
      <c r="H528" s="134"/>
      <c r="I528" s="200"/>
      <c r="J528" s="134"/>
      <c r="K528" s="134"/>
      <c r="L528" s="134"/>
      <c r="M528" s="134"/>
      <c r="N528" s="134"/>
      <c r="O528" s="134"/>
      <c r="P528" s="134"/>
      <c r="Q528" s="138"/>
      <c r="R528" s="144"/>
    </row>
    <row r="529" spans="8:18" s="212" customFormat="1">
      <c r="H529" s="134"/>
      <c r="I529" s="200"/>
      <c r="J529" s="134"/>
      <c r="K529" s="134"/>
      <c r="L529" s="134"/>
      <c r="M529" s="134"/>
      <c r="N529" s="134"/>
      <c r="O529" s="134"/>
      <c r="P529" s="134"/>
      <c r="Q529" s="138"/>
      <c r="R529" s="144"/>
    </row>
    <row r="530" spans="8:18" s="212" customFormat="1">
      <c r="H530" s="134"/>
      <c r="I530" s="200"/>
      <c r="J530" s="134"/>
      <c r="K530" s="134"/>
      <c r="L530" s="134"/>
      <c r="M530" s="134"/>
      <c r="N530" s="134"/>
      <c r="O530" s="134"/>
      <c r="P530" s="134"/>
      <c r="Q530" s="138"/>
      <c r="R530" s="144"/>
    </row>
    <row r="531" spans="8:18" s="212" customFormat="1">
      <c r="H531" s="134"/>
      <c r="I531" s="200"/>
      <c r="J531" s="134"/>
      <c r="K531" s="134"/>
      <c r="L531" s="134"/>
      <c r="M531" s="134"/>
      <c r="N531" s="134"/>
      <c r="O531" s="134"/>
      <c r="P531" s="134"/>
      <c r="Q531" s="138"/>
      <c r="R531" s="144"/>
    </row>
    <row r="532" spans="8:18" s="212" customFormat="1">
      <c r="H532" s="134"/>
      <c r="I532" s="200"/>
      <c r="J532" s="134"/>
      <c r="K532" s="134"/>
      <c r="L532" s="134"/>
      <c r="M532" s="134"/>
      <c r="N532" s="134"/>
      <c r="O532" s="134"/>
      <c r="P532" s="134"/>
      <c r="Q532" s="138"/>
      <c r="R532" s="144"/>
    </row>
  </sheetData>
  <mergeCells count="41">
    <mergeCell ref="A30:H30"/>
    <mergeCell ref="I30:P30"/>
    <mergeCell ref="Q2:X2"/>
    <mergeCell ref="D7:G7"/>
    <mergeCell ref="L7:O7"/>
    <mergeCell ref="A28:H28"/>
    <mergeCell ref="I28:P28"/>
    <mergeCell ref="D131:G131"/>
    <mergeCell ref="L131:O131"/>
    <mergeCell ref="D39:G39"/>
    <mergeCell ref="L39:O39"/>
    <mergeCell ref="A61:H61"/>
    <mergeCell ref="I61:P61"/>
    <mergeCell ref="D70:G70"/>
    <mergeCell ref="L70:O70"/>
    <mergeCell ref="B99:H99"/>
    <mergeCell ref="D100:G100"/>
    <mergeCell ref="L100:O100"/>
    <mergeCell ref="A122:H122"/>
    <mergeCell ref="I122:P122"/>
    <mergeCell ref="A276:H276"/>
    <mergeCell ref="A153:H153"/>
    <mergeCell ref="I153:P153"/>
    <mergeCell ref="D162:G162"/>
    <mergeCell ref="L162:O162"/>
    <mergeCell ref="D192:G192"/>
    <mergeCell ref="L192:O192"/>
    <mergeCell ref="A214:H214"/>
    <mergeCell ref="I214:P214"/>
    <mergeCell ref="D223:G223"/>
    <mergeCell ref="A245:H245"/>
    <mergeCell ref="D254:G254"/>
    <mergeCell ref="D378:G378"/>
    <mergeCell ref="D408:G408"/>
    <mergeCell ref="D438:G438"/>
    <mergeCell ref="D285:G285"/>
    <mergeCell ref="A307:H307"/>
    <mergeCell ref="D316:G316"/>
    <mergeCell ref="A338:H338"/>
    <mergeCell ref="D347:G347"/>
    <mergeCell ref="A369:H369"/>
  </mergeCells>
  <conditionalFormatting sqref="Q1:R7 Q9:R1048576">
    <cfRule type="cellIs" dxfId="6330" priority="1" stopIfTrue="1" operator="notEqual">
      <formula>100</formula>
    </cfRule>
  </conditionalFormatting>
  <pageMargins left="0.7" right="0.7" top="0.75" bottom="0.75" header="0.3" footer="0.3"/>
  <pageSetup scale="97" firstPageNumber="91" orientation="landscape" useFirstPageNumber="1" r:id="rId1"/>
  <headerFooter>
    <oddHeader>&amp;R&amp;"Arial,Regular"&amp;8SREB-State Data Exchange</oddHeader>
    <oddFooter>&amp;CC-&amp;P</oddFooter>
  </headerFooter>
  <rowBreaks count="14" manualBreakCount="14">
    <brk id="32" max="15" man="1"/>
    <brk id="63" max="15" man="1"/>
    <brk id="93" max="15" man="1"/>
    <brk id="124" max="15" man="1"/>
    <brk id="155" max="15" man="1"/>
    <brk id="185" max="15" man="1"/>
    <brk id="216" max="15" man="1"/>
    <brk id="247" max="15" man="1"/>
    <brk id="278" max="15" man="1"/>
    <brk id="309" max="15" man="1"/>
    <brk id="340" max="15" man="1"/>
    <brk id="371" max="15" man="1"/>
    <brk id="401" max="15" man="1"/>
    <brk id="431" max="15" man="1"/>
  </rowBreaks>
  <colBreaks count="1" manualBreakCount="1">
    <brk id="8"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D2067-10E3-4BAA-A5BD-3515843DC131}">
  <sheetPr>
    <tabColor rgb="FF006600"/>
  </sheetPr>
  <dimension ref="A2:W617"/>
  <sheetViews>
    <sheetView workbookViewId="0">
      <pane xSplit="2" ySplit="5" topLeftCell="C594" activePane="bottomRight" state="frozen"/>
      <selection pane="topRight" activeCell="C1" sqref="C1"/>
      <selection pane="bottomLeft" activeCell="A6" sqref="A6"/>
      <selection pane="bottomRight" sqref="A1:XFD1048576"/>
    </sheetView>
  </sheetViews>
  <sheetFormatPr defaultColWidth="8.88671875" defaultRowHeight="15"/>
  <cols>
    <col min="1" max="1" width="4.6640625" style="54" customWidth="1"/>
    <col min="2" max="2" width="16.88671875" style="54" customWidth="1"/>
    <col min="3" max="9" width="10" style="54" customWidth="1"/>
    <col min="10" max="10" width="12.44140625" style="54" customWidth="1"/>
    <col min="11" max="14" width="8.6640625" style="54" customWidth="1"/>
    <col min="15" max="15" width="11.109375" style="54" customWidth="1"/>
    <col min="16" max="17" width="8.77734375" style="54" customWidth="1"/>
    <col min="18" max="18" width="11.33203125" style="54" customWidth="1"/>
    <col min="19" max="21" width="8.88671875" style="54" customWidth="1"/>
    <col min="22" max="22" width="7.109375" style="54" customWidth="1"/>
    <col min="23" max="16384" width="8.88671875" style="54"/>
  </cols>
  <sheetData>
    <row r="2" spans="1:22">
      <c r="D2" s="54" t="s">
        <v>533</v>
      </c>
    </row>
    <row r="3" spans="1:22">
      <c r="A3" s="50"/>
      <c r="B3" s="51"/>
      <c r="C3" s="50" t="s">
        <v>516</v>
      </c>
      <c r="D3" s="52" t="s">
        <v>21</v>
      </c>
      <c r="E3" s="52"/>
      <c r="F3" s="53"/>
      <c r="G3" s="53"/>
      <c r="H3" s="53"/>
      <c r="I3" s="53"/>
      <c r="J3" s="53"/>
      <c r="K3" s="53"/>
      <c r="L3" s="53"/>
      <c r="M3" s="53"/>
      <c r="N3" s="53"/>
      <c r="O3" s="53"/>
      <c r="P3" s="53"/>
      <c r="Q3" s="53"/>
      <c r="R3" s="53"/>
      <c r="S3" s="288"/>
      <c r="T3" s="288"/>
      <c r="U3" s="53"/>
      <c r="V3" s="289"/>
    </row>
    <row r="4" spans="1:22">
      <c r="A4" s="290"/>
      <c r="B4" s="291"/>
      <c r="C4" s="290" t="s">
        <v>534</v>
      </c>
      <c r="D4" s="292"/>
      <c r="E4" s="291"/>
      <c r="F4" s="291"/>
      <c r="G4" s="291"/>
      <c r="H4" s="291"/>
      <c r="I4" s="291"/>
      <c r="J4" s="50" t="s">
        <v>535</v>
      </c>
      <c r="K4" s="293" t="s">
        <v>520</v>
      </c>
      <c r="L4" s="292"/>
      <c r="M4" s="291"/>
      <c r="N4" s="291"/>
      <c r="O4" s="50" t="s">
        <v>521</v>
      </c>
      <c r="P4" s="50" t="s">
        <v>536</v>
      </c>
      <c r="Q4" s="51"/>
      <c r="R4" s="50" t="s">
        <v>537</v>
      </c>
      <c r="S4" s="294" t="s">
        <v>611</v>
      </c>
      <c r="T4" s="294" t="s">
        <v>612</v>
      </c>
      <c r="U4" s="295" t="s">
        <v>538</v>
      </c>
      <c r="V4" s="289"/>
    </row>
    <row r="5" spans="1:22">
      <c r="A5" s="50" t="s">
        <v>14</v>
      </c>
      <c r="B5" s="50" t="s">
        <v>524</v>
      </c>
      <c r="C5" s="50">
        <v>1</v>
      </c>
      <c r="D5" s="55">
        <v>2</v>
      </c>
      <c r="E5" s="55">
        <v>3</v>
      </c>
      <c r="F5" s="55">
        <v>4</v>
      </c>
      <c r="G5" s="55">
        <v>5</v>
      </c>
      <c r="H5" s="55">
        <v>6</v>
      </c>
      <c r="I5" s="55">
        <v>15</v>
      </c>
      <c r="J5" s="56"/>
      <c r="K5" s="296">
        <v>7</v>
      </c>
      <c r="L5" s="55">
        <v>8</v>
      </c>
      <c r="M5" s="55">
        <v>9</v>
      </c>
      <c r="N5" s="55">
        <v>10</v>
      </c>
      <c r="O5" s="56"/>
      <c r="P5" s="297">
        <v>12</v>
      </c>
      <c r="Q5" s="54">
        <v>13</v>
      </c>
      <c r="R5" s="56"/>
      <c r="S5" s="298" t="s">
        <v>611</v>
      </c>
      <c r="T5" s="298"/>
      <c r="U5" s="299"/>
      <c r="V5" s="289"/>
    </row>
    <row r="6" spans="1:22">
      <c r="A6" s="300" t="s">
        <v>50</v>
      </c>
      <c r="B6" s="50" t="s">
        <v>539</v>
      </c>
      <c r="C6" s="301">
        <v>0.71648338006551737</v>
      </c>
      <c r="D6" s="302">
        <v>0.66164897561623515</v>
      </c>
      <c r="E6" s="302">
        <v>0.51180811651972635</v>
      </c>
      <c r="F6" s="302">
        <v>0.50551167483424619</v>
      </c>
      <c r="G6" s="302">
        <v>0.39553370146651062</v>
      </c>
      <c r="H6" s="302">
        <v>0</v>
      </c>
      <c r="I6" s="302">
        <v>0.93610324205225059</v>
      </c>
      <c r="J6" s="303">
        <v>0.63645136875698449</v>
      </c>
      <c r="K6" s="303">
        <v>0</v>
      </c>
      <c r="L6" s="302">
        <v>0.39900715882219556</v>
      </c>
      <c r="M6" s="302">
        <v>0.49782127285345706</v>
      </c>
      <c r="N6" s="302">
        <v>0.40982549983973421</v>
      </c>
      <c r="O6" s="303">
        <v>0.44952105344202842</v>
      </c>
      <c r="P6" s="303">
        <v>0.42763157894736842</v>
      </c>
      <c r="Q6" s="302">
        <v>0.64651137769648714</v>
      </c>
      <c r="R6" s="303">
        <v>0.53207382498652356</v>
      </c>
      <c r="S6" s="303">
        <v>0</v>
      </c>
      <c r="T6" s="303">
        <v>0</v>
      </c>
      <c r="U6" s="303">
        <v>0.58038860234709289</v>
      </c>
      <c r="V6" s="289"/>
    </row>
    <row r="7" spans="1:22">
      <c r="A7" s="304"/>
      <c r="B7" s="305" t="s">
        <v>540</v>
      </c>
      <c r="C7" s="306">
        <v>0.69453838889677744</v>
      </c>
      <c r="D7" s="307">
        <v>0.61264837798271221</v>
      </c>
      <c r="E7" s="307">
        <v>0.47614922228559703</v>
      </c>
      <c r="F7" s="307">
        <v>0.41640102920706468</v>
      </c>
      <c r="G7" s="307">
        <v>0.401389239501307</v>
      </c>
      <c r="H7" s="307">
        <v>0</v>
      </c>
      <c r="I7" s="307">
        <v>0.92304883614787769</v>
      </c>
      <c r="J7" s="308">
        <v>0.60684233756281381</v>
      </c>
      <c r="K7" s="308">
        <v>0</v>
      </c>
      <c r="L7" s="307">
        <v>0.3940674664594534</v>
      </c>
      <c r="M7" s="307">
        <v>0.52362557886592731</v>
      </c>
      <c r="N7" s="307">
        <v>0.42975483711081713</v>
      </c>
      <c r="O7" s="308">
        <v>0.46395565539957584</v>
      </c>
      <c r="P7" s="308">
        <v>0.41936621492266613</v>
      </c>
      <c r="Q7" s="307">
        <v>0.4460704748939735</v>
      </c>
      <c r="R7" s="308">
        <v>0.4324612303584266</v>
      </c>
      <c r="S7" s="308">
        <v>0</v>
      </c>
      <c r="T7" s="308">
        <v>0</v>
      </c>
      <c r="U7" s="308">
        <v>0.56272733813049447</v>
      </c>
      <c r="V7" s="309"/>
    </row>
    <row r="8" spans="1:22">
      <c r="A8" s="304"/>
      <c r="B8" s="310" t="s">
        <v>541</v>
      </c>
      <c r="C8" s="311">
        <v>-2.1944991168739936</v>
      </c>
      <c r="D8" s="312">
        <v>-4.900059763352294</v>
      </c>
      <c r="E8" s="312">
        <v>-3.5658894234129326</v>
      </c>
      <c r="F8" s="312">
        <v>-8.9110645627181526</v>
      </c>
      <c r="G8" s="312">
        <v>0.58555380347963815</v>
      </c>
      <c r="H8" s="312">
        <v>0</v>
      </c>
      <c r="I8" s="312">
        <v>-1.3054405904372901</v>
      </c>
      <c r="J8" s="313">
        <v>-2.9609031194170687</v>
      </c>
      <c r="K8" s="313">
        <v>0</v>
      </c>
      <c r="L8" s="312">
        <v>-0.49396923627421652</v>
      </c>
      <c r="M8" s="312">
        <v>2.5804306012470244</v>
      </c>
      <c r="N8" s="312">
        <v>1.9929337271082925</v>
      </c>
      <c r="O8" s="313">
        <v>1.4434601957547422</v>
      </c>
      <c r="P8" s="313">
        <v>-0.8265364024702293</v>
      </c>
      <c r="Q8" s="312">
        <v>-20.044090280251364</v>
      </c>
      <c r="R8" s="313">
        <v>-9.9612594628096964</v>
      </c>
      <c r="S8" s="313">
        <v>0</v>
      </c>
      <c r="T8" s="313">
        <v>0</v>
      </c>
      <c r="U8" s="313">
        <v>-1.7661264216598416</v>
      </c>
      <c r="V8" s="309"/>
    </row>
    <row r="9" spans="1:22">
      <c r="A9" s="304"/>
      <c r="B9" s="50" t="s">
        <v>542</v>
      </c>
      <c r="C9" s="301">
        <v>8.064507855213331E-3</v>
      </c>
      <c r="D9" s="302">
        <v>5.4456705812035817E-4</v>
      </c>
      <c r="E9" s="302">
        <v>2.9620790409634373E-3</v>
      </c>
      <c r="F9" s="302">
        <v>1.210723551455751E-3</v>
      </c>
      <c r="G9" s="302">
        <v>8.3026337493814269E-3</v>
      </c>
      <c r="H9" s="302">
        <v>0</v>
      </c>
      <c r="I9" s="302">
        <v>0</v>
      </c>
      <c r="J9" s="303">
        <v>5.4739350089756797E-3</v>
      </c>
      <c r="K9" s="303">
        <v>0</v>
      </c>
      <c r="L9" s="302">
        <v>4.1620776780797515E-2</v>
      </c>
      <c r="M9" s="302">
        <v>6.3985706490355329E-2</v>
      </c>
      <c r="N9" s="302">
        <v>2.6507618657007063E-2</v>
      </c>
      <c r="O9" s="303">
        <v>4.9743130269695346E-2</v>
      </c>
      <c r="P9" s="303">
        <v>2.8181461115475256E-2</v>
      </c>
      <c r="Q9" s="302">
        <v>0.19898864920114046</v>
      </c>
      <c r="R9" s="303">
        <v>0.10968503734887183</v>
      </c>
      <c r="S9" s="303">
        <v>0</v>
      </c>
      <c r="T9" s="303">
        <v>0</v>
      </c>
      <c r="U9" s="303">
        <v>1.9924535395802582E-2</v>
      </c>
      <c r="V9" s="309"/>
    </row>
    <row r="10" spans="1:22">
      <c r="A10" s="304"/>
      <c r="B10" s="305" t="s">
        <v>543</v>
      </c>
      <c r="C10" s="306">
        <v>7.8308060266854447E-3</v>
      </c>
      <c r="D10" s="307">
        <v>4.6623089618902865E-5</v>
      </c>
      <c r="E10" s="307">
        <v>5.8250621683927162E-3</v>
      </c>
      <c r="F10" s="307">
        <v>1.0484896326068225E-3</v>
      </c>
      <c r="G10" s="307">
        <v>8.5178459458799191E-3</v>
      </c>
      <c r="H10" s="307">
        <v>0</v>
      </c>
      <c r="I10" s="307">
        <v>0</v>
      </c>
      <c r="J10" s="308">
        <v>6.0519240936022555E-3</v>
      </c>
      <c r="K10" s="308">
        <v>0</v>
      </c>
      <c r="L10" s="307">
        <v>0</v>
      </c>
      <c r="M10" s="307">
        <v>2.5945247412623482E-2</v>
      </c>
      <c r="N10" s="307">
        <v>2.239156817510906E-2</v>
      </c>
      <c r="O10" s="308">
        <v>1.6855514976830931E-2</v>
      </c>
      <c r="P10" s="308">
        <v>3.4661695803315032E-2</v>
      </c>
      <c r="Q10" s="307">
        <v>0.33169275878318238</v>
      </c>
      <c r="R10" s="308">
        <v>0.18031734620519668</v>
      </c>
      <c r="S10" s="308">
        <v>0</v>
      </c>
      <c r="T10" s="308">
        <v>0</v>
      </c>
      <c r="U10" s="308">
        <v>1.1874252198390566E-2</v>
      </c>
      <c r="V10" s="309"/>
    </row>
    <row r="11" spans="1:22">
      <c r="A11" s="304"/>
      <c r="B11" s="310" t="s">
        <v>544</v>
      </c>
      <c r="C11" s="311">
        <v>-2.3370182852788628E-2</v>
      </c>
      <c r="D11" s="312">
        <v>-4.9794396850145528E-2</v>
      </c>
      <c r="E11" s="312">
        <v>0.28629831274292789</v>
      </c>
      <c r="F11" s="312">
        <v>-1.622339188489285E-2</v>
      </c>
      <c r="G11" s="312">
        <v>2.1521219649849217E-2</v>
      </c>
      <c r="H11" s="312">
        <v>0</v>
      </c>
      <c r="I11" s="312">
        <v>0</v>
      </c>
      <c r="J11" s="314">
        <v>5.7798908462657582E-2</v>
      </c>
      <c r="K11" s="314">
        <v>0</v>
      </c>
      <c r="L11" s="312">
        <v>-4.1620776780797515</v>
      </c>
      <c r="M11" s="312">
        <v>-3.804045907773185</v>
      </c>
      <c r="N11" s="312">
        <v>-0.41160504818980037</v>
      </c>
      <c r="O11" s="314">
        <v>-3.2887615292864414</v>
      </c>
      <c r="P11" s="314">
        <v>0.64802346878397765</v>
      </c>
      <c r="Q11" s="312">
        <v>13.270410958204193</v>
      </c>
      <c r="R11" s="314">
        <v>7.0632308856324846</v>
      </c>
      <c r="S11" s="314">
        <v>0</v>
      </c>
      <c r="T11" s="314">
        <v>0</v>
      </c>
      <c r="U11" s="314">
        <v>-0.80502831974120159</v>
      </c>
      <c r="V11" s="309"/>
    </row>
    <row r="12" spans="1:22">
      <c r="A12" s="304"/>
      <c r="B12" s="50" t="s">
        <v>545</v>
      </c>
      <c r="C12" s="301">
        <v>0.2195735521487058</v>
      </c>
      <c r="D12" s="302">
        <v>0.33780645732564446</v>
      </c>
      <c r="E12" s="302">
        <v>0.47588021352358345</v>
      </c>
      <c r="F12" s="302">
        <v>0.49327760161429807</v>
      </c>
      <c r="G12" s="302">
        <v>0.59616366478410798</v>
      </c>
      <c r="H12" s="302">
        <v>0</v>
      </c>
      <c r="I12" s="302">
        <v>6.3896757947749447E-2</v>
      </c>
      <c r="J12" s="303">
        <v>0.32589667995486205</v>
      </c>
      <c r="K12" s="303">
        <v>0</v>
      </c>
      <c r="L12" s="302">
        <v>0.55799131871335561</v>
      </c>
      <c r="M12" s="302">
        <v>0.42880131597768562</v>
      </c>
      <c r="N12" s="302">
        <v>0.56319125396787106</v>
      </c>
      <c r="O12" s="303">
        <v>0.49559582277255576</v>
      </c>
      <c r="P12" s="303">
        <v>0.54418695993715638</v>
      </c>
      <c r="Q12" s="302">
        <v>0.15449997310237237</v>
      </c>
      <c r="R12" s="303">
        <v>0.35824113766460458</v>
      </c>
      <c r="S12" s="303">
        <v>0</v>
      </c>
      <c r="T12" s="303">
        <v>0</v>
      </c>
      <c r="U12" s="303">
        <v>0.37587008763270785</v>
      </c>
      <c r="V12" s="309"/>
    </row>
    <row r="13" spans="1:22">
      <c r="A13" s="304"/>
      <c r="B13" s="305" t="s">
        <v>546</v>
      </c>
      <c r="C13" s="306">
        <v>0.23522189395183066</v>
      </c>
      <c r="D13" s="307">
        <v>0.38730499892766895</v>
      </c>
      <c r="E13" s="307">
        <v>0.50852214419438491</v>
      </c>
      <c r="F13" s="307">
        <v>0.58255048116032848</v>
      </c>
      <c r="G13" s="307">
        <v>0.5900929145528131</v>
      </c>
      <c r="H13" s="307">
        <v>0</v>
      </c>
      <c r="I13" s="307">
        <v>7.695116385212232E-2</v>
      </c>
      <c r="J13" s="308">
        <v>0.35098278145997674</v>
      </c>
      <c r="K13" s="308">
        <v>0</v>
      </c>
      <c r="L13" s="307">
        <v>0.60593253354054666</v>
      </c>
      <c r="M13" s="307">
        <v>0.44561603668860655</v>
      </c>
      <c r="N13" s="307">
        <v>0.54736523694462969</v>
      </c>
      <c r="O13" s="308">
        <v>0.51674954844584697</v>
      </c>
      <c r="P13" s="308">
        <v>0.54597208927401886</v>
      </c>
      <c r="Q13" s="307">
        <v>0.22223676632284411</v>
      </c>
      <c r="R13" s="308">
        <v>0.38722142343637672</v>
      </c>
      <c r="S13" s="308">
        <v>0</v>
      </c>
      <c r="T13" s="308">
        <v>0</v>
      </c>
      <c r="U13" s="308">
        <v>0.39959802783521481</v>
      </c>
      <c r="V13" s="309"/>
    </row>
    <row r="14" spans="1:22" s="315" customFormat="1">
      <c r="A14" s="304"/>
      <c r="B14" s="310" t="s">
        <v>547</v>
      </c>
      <c r="C14" s="311">
        <v>1.5648341803124854</v>
      </c>
      <c r="D14" s="312">
        <v>4.9498541602024488</v>
      </c>
      <c r="E14" s="312">
        <v>3.2641930670801456</v>
      </c>
      <c r="F14" s="312">
        <v>8.9272879546030417</v>
      </c>
      <c r="G14" s="312">
        <v>-0.60707502312948858</v>
      </c>
      <c r="H14" s="312">
        <v>0</v>
      </c>
      <c r="I14" s="312">
        <v>1.3054405904372874</v>
      </c>
      <c r="J14" s="314">
        <v>2.50861015051147</v>
      </c>
      <c r="K14" s="314">
        <v>0</v>
      </c>
      <c r="L14" s="312">
        <v>4.7941214827191043</v>
      </c>
      <c r="M14" s="312">
        <v>1.6814720710920938</v>
      </c>
      <c r="N14" s="312">
        <v>-1.5826017023241379</v>
      </c>
      <c r="O14" s="314">
        <v>2.1153725673291213</v>
      </c>
      <c r="P14" s="314">
        <v>0.17851293368624788</v>
      </c>
      <c r="Q14" s="312">
        <v>6.7736793220471743</v>
      </c>
      <c r="R14" s="314">
        <v>2.8980285771772141</v>
      </c>
      <c r="S14" s="314">
        <v>0</v>
      </c>
      <c r="T14" s="314">
        <v>0</v>
      </c>
      <c r="U14" s="314">
        <v>2.3727940202506961</v>
      </c>
      <c r="V14" s="309"/>
    </row>
    <row r="15" spans="1:22">
      <c r="A15" s="304"/>
      <c r="B15" s="50" t="s">
        <v>548</v>
      </c>
      <c r="C15" s="301">
        <v>5.5878559930563461E-2</v>
      </c>
      <c r="D15" s="302">
        <v>0</v>
      </c>
      <c r="E15" s="302">
        <v>0</v>
      </c>
      <c r="F15" s="302">
        <v>0</v>
      </c>
      <c r="G15" s="302">
        <v>0</v>
      </c>
      <c r="H15" s="302">
        <v>0</v>
      </c>
      <c r="I15" s="302">
        <v>0</v>
      </c>
      <c r="J15" s="303">
        <v>2.9763189604059138E-2</v>
      </c>
      <c r="K15" s="303">
        <v>0</v>
      </c>
      <c r="L15" s="302">
        <v>0</v>
      </c>
      <c r="M15" s="302">
        <v>2.8515498762959786E-3</v>
      </c>
      <c r="N15" s="302">
        <v>0</v>
      </c>
      <c r="O15" s="303">
        <v>1.398863106983465E-3</v>
      </c>
      <c r="P15" s="303">
        <v>0</v>
      </c>
      <c r="Q15" s="302">
        <v>0</v>
      </c>
      <c r="R15" s="303">
        <v>0</v>
      </c>
      <c r="S15" s="303">
        <v>0</v>
      </c>
      <c r="T15" s="303">
        <v>0</v>
      </c>
      <c r="U15" s="303">
        <v>2.1050762463115259E-2</v>
      </c>
      <c r="V15" s="309"/>
    </row>
    <row r="16" spans="1:22">
      <c r="A16" s="304"/>
      <c r="B16" s="305" t="s">
        <v>549</v>
      </c>
      <c r="C16" s="306">
        <v>6.2408911124706444E-2</v>
      </c>
      <c r="D16" s="307">
        <v>0</v>
      </c>
      <c r="E16" s="307">
        <v>0</v>
      </c>
      <c r="F16" s="307">
        <v>0</v>
      </c>
      <c r="G16" s="307">
        <v>0</v>
      </c>
      <c r="H16" s="307">
        <v>0</v>
      </c>
      <c r="I16" s="307">
        <v>0</v>
      </c>
      <c r="J16" s="308">
        <v>3.37318020736656E-2</v>
      </c>
      <c r="K16" s="308">
        <v>0</v>
      </c>
      <c r="L16" s="307">
        <v>0</v>
      </c>
      <c r="M16" s="307">
        <v>3.1844634067030712E-3</v>
      </c>
      <c r="N16" s="307">
        <v>0</v>
      </c>
      <c r="O16" s="308">
        <v>1.553264247712832E-3</v>
      </c>
      <c r="P16" s="308">
        <v>0</v>
      </c>
      <c r="Q16" s="307">
        <v>0</v>
      </c>
      <c r="R16" s="308">
        <v>0</v>
      </c>
      <c r="S16" s="308">
        <v>0</v>
      </c>
      <c r="T16" s="308">
        <v>0</v>
      </c>
      <c r="U16" s="308">
        <v>2.3882481905604123E-2</v>
      </c>
      <c r="V16" s="309"/>
    </row>
    <row r="17" spans="1:22">
      <c r="A17" s="304"/>
      <c r="B17" s="310" t="s">
        <v>550</v>
      </c>
      <c r="C17" s="311">
        <v>0.65303511941429826</v>
      </c>
      <c r="D17" s="312">
        <v>0</v>
      </c>
      <c r="E17" s="312">
        <v>0</v>
      </c>
      <c r="F17" s="312">
        <v>0</v>
      </c>
      <c r="G17" s="312">
        <v>0</v>
      </c>
      <c r="H17" s="312">
        <v>0</v>
      </c>
      <c r="I17" s="312">
        <v>0</v>
      </c>
      <c r="J17" s="314">
        <v>0.39686124696064612</v>
      </c>
      <c r="K17" s="314">
        <v>0</v>
      </c>
      <c r="L17" s="312">
        <v>0</v>
      </c>
      <c r="M17" s="312">
        <v>3.3291353040709258E-2</v>
      </c>
      <c r="N17" s="312">
        <v>0</v>
      </c>
      <c r="O17" s="314">
        <v>1.5440114072936693E-2</v>
      </c>
      <c r="P17" s="314">
        <v>0</v>
      </c>
      <c r="Q17" s="312">
        <v>0</v>
      </c>
      <c r="R17" s="314">
        <v>0</v>
      </c>
      <c r="S17" s="314">
        <v>0</v>
      </c>
      <c r="T17" s="314">
        <v>0</v>
      </c>
      <c r="U17" s="314">
        <v>0.28317194424888648</v>
      </c>
      <c r="V17" s="309"/>
    </row>
    <row r="18" spans="1:22">
      <c r="A18" s="304"/>
      <c r="B18" s="50" t="s">
        <v>551</v>
      </c>
      <c r="C18" s="301">
        <v>0</v>
      </c>
      <c r="D18" s="302">
        <v>0</v>
      </c>
      <c r="E18" s="302">
        <v>9.3495909157267354E-3</v>
      </c>
      <c r="F18" s="302">
        <v>0</v>
      </c>
      <c r="G18" s="302">
        <v>0</v>
      </c>
      <c r="H18" s="302">
        <v>0</v>
      </c>
      <c r="I18" s="302">
        <v>0</v>
      </c>
      <c r="J18" s="303">
        <v>2.4148266751186512E-3</v>
      </c>
      <c r="K18" s="303">
        <v>0</v>
      </c>
      <c r="L18" s="302">
        <v>1.3807456836513233E-3</v>
      </c>
      <c r="M18" s="302">
        <v>5.8792521601847879E-3</v>
      </c>
      <c r="N18" s="302">
        <v>2.1024115694674695E-4</v>
      </c>
      <c r="O18" s="303">
        <v>3.3668874223819396E-3</v>
      </c>
      <c r="P18" s="303">
        <v>0</v>
      </c>
      <c r="Q18" s="302">
        <v>0</v>
      </c>
      <c r="R18" s="303">
        <v>0</v>
      </c>
      <c r="S18" s="303">
        <v>0</v>
      </c>
      <c r="T18" s="303">
        <v>0</v>
      </c>
      <c r="U18" s="303">
        <v>2.65685739251619E-3</v>
      </c>
      <c r="V18" s="309"/>
    </row>
    <row r="19" spans="1:22">
      <c r="A19" s="304"/>
      <c r="B19" s="305" t="s">
        <v>552</v>
      </c>
      <c r="C19" s="306">
        <v>0</v>
      </c>
      <c r="D19" s="307">
        <v>0</v>
      </c>
      <c r="E19" s="307">
        <v>9.5035713516253371E-3</v>
      </c>
      <c r="F19" s="307">
        <v>0</v>
      </c>
      <c r="G19" s="307">
        <v>0</v>
      </c>
      <c r="H19" s="307">
        <v>0</v>
      </c>
      <c r="I19" s="307">
        <v>0</v>
      </c>
      <c r="J19" s="308">
        <v>2.3911548099415664E-3</v>
      </c>
      <c r="K19" s="308">
        <v>0</v>
      </c>
      <c r="L19" s="307">
        <v>0</v>
      </c>
      <c r="M19" s="307">
        <v>5.4102239215994075E-4</v>
      </c>
      <c r="N19" s="307">
        <v>2.3688996279005355E-4</v>
      </c>
      <c r="O19" s="308">
        <v>3.0832842241130604E-4</v>
      </c>
      <c r="P19" s="308">
        <v>0</v>
      </c>
      <c r="Q19" s="307">
        <v>0</v>
      </c>
      <c r="R19" s="308">
        <v>0</v>
      </c>
      <c r="S19" s="308">
        <v>0</v>
      </c>
      <c r="T19" s="308">
        <v>0</v>
      </c>
      <c r="U19" s="308">
        <v>1.7504280442672787E-3</v>
      </c>
      <c r="V19" s="309"/>
    </row>
    <row r="20" spans="1:22">
      <c r="A20" s="304"/>
      <c r="B20" s="310" t="s">
        <v>553</v>
      </c>
      <c r="C20" s="311">
        <v>0</v>
      </c>
      <c r="D20" s="312">
        <v>0</v>
      </c>
      <c r="E20" s="312">
        <v>1.5398043589860168E-2</v>
      </c>
      <c r="F20" s="312">
        <v>0</v>
      </c>
      <c r="G20" s="312">
        <v>0</v>
      </c>
      <c r="H20" s="312">
        <v>0</v>
      </c>
      <c r="I20" s="312">
        <v>0</v>
      </c>
      <c r="J20" s="314">
        <v>-2.3671865177084771E-3</v>
      </c>
      <c r="K20" s="314">
        <v>0</v>
      </c>
      <c r="L20" s="312">
        <v>-0.13807456836513232</v>
      </c>
      <c r="M20" s="312">
        <v>-0.53382297680248469</v>
      </c>
      <c r="N20" s="312">
        <v>2.6648805843306599E-3</v>
      </c>
      <c r="O20" s="314">
        <v>-0.30585589999706336</v>
      </c>
      <c r="P20" s="314">
        <v>0</v>
      </c>
      <c r="Q20" s="312">
        <v>0</v>
      </c>
      <c r="R20" s="314">
        <v>0</v>
      </c>
      <c r="S20" s="314">
        <v>0</v>
      </c>
      <c r="T20" s="314">
        <v>0</v>
      </c>
      <c r="U20" s="314">
        <v>-9.0642934824891136E-2</v>
      </c>
      <c r="V20" s="309"/>
    </row>
    <row r="21" spans="1:22">
      <c r="A21" s="304"/>
      <c r="B21" s="50" t="s">
        <v>554</v>
      </c>
      <c r="C21" s="301">
        <v>0</v>
      </c>
      <c r="D21" s="302">
        <v>0</v>
      </c>
      <c r="E21" s="302">
        <v>0</v>
      </c>
      <c r="F21" s="302">
        <v>0</v>
      </c>
      <c r="G21" s="302">
        <v>0</v>
      </c>
      <c r="H21" s="302">
        <v>0</v>
      </c>
      <c r="I21" s="302">
        <v>0</v>
      </c>
      <c r="J21" s="303">
        <v>0</v>
      </c>
      <c r="K21" s="303">
        <v>0</v>
      </c>
      <c r="L21" s="302">
        <v>0</v>
      </c>
      <c r="M21" s="302">
        <v>6.6090264202122307E-4</v>
      </c>
      <c r="N21" s="302">
        <v>2.6538637844097566E-4</v>
      </c>
      <c r="O21" s="303">
        <v>3.7424298635507471E-4</v>
      </c>
      <c r="P21" s="303">
        <v>0</v>
      </c>
      <c r="Q21" s="302">
        <v>0</v>
      </c>
      <c r="R21" s="303">
        <v>0</v>
      </c>
      <c r="S21" s="303">
        <v>0</v>
      </c>
      <c r="T21" s="303">
        <v>0</v>
      </c>
      <c r="U21" s="303">
        <v>1.0915476876528711E-4</v>
      </c>
      <c r="V21" s="309"/>
    </row>
    <row r="22" spans="1:22">
      <c r="A22" s="304"/>
      <c r="B22" s="305" t="s">
        <v>555</v>
      </c>
      <c r="C22" s="306">
        <v>0</v>
      </c>
      <c r="D22" s="307">
        <v>0</v>
      </c>
      <c r="E22" s="307">
        <v>0</v>
      </c>
      <c r="F22" s="307">
        <v>0</v>
      </c>
      <c r="G22" s="307">
        <v>0</v>
      </c>
      <c r="H22" s="307">
        <v>0</v>
      </c>
      <c r="I22" s="307">
        <v>0</v>
      </c>
      <c r="J22" s="308">
        <v>0</v>
      </c>
      <c r="K22" s="308">
        <v>0</v>
      </c>
      <c r="L22" s="307">
        <v>0</v>
      </c>
      <c r="M22" s="307">
        <v>1.0876512339795701E-3</v>
      </c>
      <c r="N22" s="307">
        <v>2.5146780665405682E-4</v>
      </c>
      <c r="O22" s="308">
        <v>5.7768850762207006E-4</v>
      </c>
      <c r="P22" s="308">
        <v>0</v>
      </c>
      <c r="Q22" s="307">
        <v>0</v>
      </c>
      <c r="R22" s="308">
        <v>0</v>
      </c>
      <c r="S22" s="308">
        <v>0</v>
      </c>
      <c r="T22" s="308">
        <v>0</v>
      </c>
      <c r="U22" s="308">
        <v>1.6747188602874214E-4</v>
      </c>
      <c r="V22" s="309"/>
    </row>
    <row r="23" spans="1:22" ht="15.75" thickBot="1">
      <c r="A23" s="304"/>
      <c r="B23" s="316" t="s">
        <v>556</v>
      </c>
      <c r="C23" s="317">
        <v>0</v>
      </c>
      <c r="D23" s="318">
        <v>0</v>
      </c>
      <c r="E23" s="318">
        <v>0</v>
      </c>
      <c r="F23" s="318">
        <v>0</v>
      </c>
      <c r="G23" s="318">
        <v>0</v>
      </c>
      <c r="H23" s="318">
        <v>0</v>
      </c>
      <c r="I23" s="318">
        <v>0</v>
      </c>
      <c r="J23" s="319">
        <v>0</v>
      </c>
      <c r="K23" s="319">
        <v>0</v>
      </c>
      <c r="L23" s="318">
        <v>0</v>
      </c>
      <c r="M23" s="318">
        <v>4.2674859195834705E-2</v>
      </c>
      <c r="N23" s="318">
        <v>-1.3918571786918836E-3</v>
      </c>
      <c r="O23" s="319">
        <v>2.0344552126699535E-2</v>
      </c>
      <c r="P23" s="319">
        <v>0</v>
      </c>
      <c r="Q23" s="318">
        <v>0</v>
      </c>
      <c r="R23" s="319">
        <v>0</v>
      </c>
      <c r="S23" s="319">
        <v>0</v>
      </c>
      <c r="T23" s="319">
        <v>0</v>
      </c>
      <c r="U23" s="319">
        <v>5.8317117263455027E-3</v>
      </c>
      <c r="V23" s="309"/>
    </row>
    <row r="24" spans="1:22" ht="15.75" thickTop="1">
      <c r="A24" s="304"/>
      <c r="B24" s="305" t="s">
        <v>557</v>
      </c>
      <c r="C24" s="306">
        <v>0.62625059813200179</v>
      </c>
      <c r="D24" s="307">
        <v>0.53060654429369514</v>
      </c>
      <c r="E24" s="307">
        <v>0.19783228750713064</v>
      </c>
      <c r="F24" s="307">
        <v>8.4188348522060016E-2</v>
      </c>
      <c r="G24" s="307">
        <v>0.40825640493724719</v>
      </c>
      <c r="H24" s="307">
        <v>0</v>
      </c>
      <c r="I24" s="307">
        <v>0</v>
      </c>
      <c r="J24" s="308">
        <v>0.42686327919809813</v>
      </c>
      <c r="K24" s="308">
        <v>0</v>
      </c>
      <c r="L24" s="307">
        <v>0</v>
      </c>
      <c r="M24" s="307">
        <v>0</v>
      </c>
      <c r="N24" s="307">
        <v>0</v>
      </c>
      <c r="O24" s="308">
        <v>0</v>
      </c>
      <c r="P24" s="308">
        <v>0</v>
      </c>
      <c r="Q24" s="307">
        <v>0</v>
      </c>
      <c r="R24" s="308">
        <v>0</v>
      </c>
      <c r="S24" s="308">
        <v>0</v>
      </c>
      <c r="T24" s="308">
        <v>0</v>
      </c>
      <c r="U24" s="308">
        <v>0.42686327919809813</v>
      </c>
      <c r="V24" s="309"/>
    </row>
    <row r="25" spans="1:22">
      <c r="A25" s="304"/>
      <c r="B25" s="305" t="s">
        <v>558</v>
      </c>
      <c r="C25" s="306">
        <v>0.60637295211588338</v>
      </c>
      <c r="D25" s="307">
        <v>0.50164997724169325</v>
      </c>
      <c r="E25" s="307">
        <v>0.16606476665054237</v>
      </c>
      <c r="F25" s="307">
        <v>8.7193938255369779E-2</v>
      </c>
      <c r="G25" s="307">
        <v>0.408459373900809</v>
      </c>
      <c r="H25" s="307">
        <v>0</v>
      </c>
      <c r="I25" s="307">
        <v>0</v>
      </c>
      <c r="J25" s="308">
        <v>0.41706544295262471</v>
      </c>
      <c r="K25" s="308">
        <v>0</v>
      </c>
      <c r="L25" s="307">
        <v>0</v>
      </c>
      <c r="M25" s="307">
        <v>0</v>
      </c>
      <c r="N25" s="307">
        <v>0</v>
      </c>
      <c r="O25" s="308">
        <v>0</v>
      </c>
      <c r="P25" s="308">
        <v>0</v>
      </c>
      <c r="Q25" s="307">
        <v>0</v>
      </c>
      <c r="R25" s="308">
        <v>0</v>
      </c>
      <c r="S25" s="308">
        <v>0</v>
      </c>
      <c r="T25" s="308">
        <v>0</v>
      </c>
      <c r="U25" s="308">
        <v>0.41706544295262471</v>
      </c>
      <c r="V25" s="309"/>
    </row>
    <row r="26" spans="1:22">
      <c r="A26" s="304"/>
      <c r="B26" s="310" t="s">
        <v>559</v>
      </c>
      <c r="C26" s="311">
        <v>-1.9877646016118411</v>
      </c>
      <c r="D26" s="312">
        <v>-2.8956567052001891</v>
      </c>
      <c r="E26" s="312">
        <v>-3.1767520856588267</v>
      </c>
      <c r="F26" s="312">
        <v>0.30055897333097631</v>
      </c>
      <c r="G26" s="312">
        <v>2.0296896356181149E-2</v>
      </c>
      <c r="H26" s="312">
        <v>0</v>
      </c>
      <c r="I26" s="312">
        <v>0</v>
      </c>
      <c r="J26" s="314">
        <v>-0.97978362454734236</v>
      </c>
      <c r="K26" s="314">
        <v>0</v>
      </c>
      <c r="L26" s="312">
        <v>0</v>
      </c>
      <c r="M26" s="312">
        <v>0</v>
      </c>
      <c r="N26" s="312">
        <v>0</v>
      </c>
      <c r="O26" s="314">
        <v>0</v>
      </c>
      <c r="P26" s="314">
        <v>0</v>
      </c>
      <c r="Q26" s="312">
        <v>0</v>
      </c>
      <c r="R26" s="314">
        <v>0</v>
      </c>
      <c r="S26" s="314">
        <v>0</v>
      </c>
      <c r="T26" s="314">
        <v>0</v>
      </c>
      <c r="U26" s="314">
        <v>-0.97978362454734236</v>
      </c>
      <c r="V26" s="309"/>
    </row>
    <row r="27" spans="1:22">
      <c r="A27" s="304"/>
      <c r="B27" s="50" t="s">
        <v>560</v>
      </c>
      <c r="C27" s="301">
        <v>4.1264715873601469E-2</v>
      </c>
      <c r="D27" s="302">
        <v>0</v>
      </c>
      <c r="E27" s="302">
        <v>9.9329720479178554E-3</v>
      </c>
      <c r="F27" s="302">
        <v>0</v>
      </c>
      <c r="G27" s="302">
        <v>0</v>
      </c>
      <c r="H27" s="302">
        <v>0</v>
      </c>
      <c r="I27" s="302">
        <v>0</v>
      </c>
      <c r="J27" s="303">
        <v>2.2906840101591566E-2</v>
      </c>
      <c r="K27" s="303">
        <v>0</v>
      </c>
      <c r="L27" s="302">
        <v>0</v>
      </c>
      <c r="M27" s="302">
        <v>0</v>
      </c>
      <c r="N27" s="302">
        <v>0</v>
      </c>
      <c r="O27" s="303">
        <v>0</v>
      </c>
      <c r="P27" s="303">
        <v>0</v>
      </c>
      <c r="Q27" s="302">
        <v>0</v>
      </c>
      <c r="R27" s="303">
        <v>0</v>
      </c>
      <c r="S27" s="303">
        <v>0</v>
      </c>
      <c r="T27" s="303">
        <v>0</v>
      </c>
      <c r="U27" s="303">
        <v>2.2906840101591566E-2</v>
      </c>
      <c r="V27" s="309"/>
    </row>
    <row r="28" spans="1:22">
      <c r="A28" s="304"/>
      <c r="B28" s="305" t="s">
        <v>561</v>
      </c>
      <c r="C28" s="306">
        <v>3.7507116199633123E-2</v>
      </c>
      <c r="D28" s="307">
        <v>0</v>
      </c>
      <c r="E28" s="307">
        <v>3.9294683621472256E-3</v>
      </c>
      <c r="F28" s="307">
        <v>1.2399023107270337E-3</v>
      </c>
      <c r="G28" s="307">
        <v>1.3981709461836089E-2</v>
      </c>
      <c r="H28" s="307">
        <v>0</v>
      </c>
      <c r="I28" s="307">
        <v>0</v>
      </c>
      <c r="J28" s="308">
        <v>2.0800738418031015E-2</v>
      </c>
      <c r="K28" s="308">
        <v>0</v>
      </c>
      <c r="L28" s="307">
        <v>0</v>
      </c>
      <c r="M28" s="307">
        <v>0</v>
      </c>
      <c r="N28" s="307">
        <v>0</v>
      </c>
      <c r="O28" s="308">
        <v>0</v>
      </c>
      <c r="P28" s="308">
        <v>0</v>
      </c>
      <c r="Q28" s="307">
        <v>0</v>
      </c>
      <c r="R28" s="308">
        <v>0</v>
      </c>
      <c r="S28" s="308">
        <v>0</v>
      </c>
      <c r="T28" s="308">
        <v>0</v>
      </c>
      <c r="U28" s="308">
        <v>2.0800738418031015E-2</v>
      </c>
      <c r="V28" s="309"/>
    </row>
    <row r="29" spans="1:22">
      <c r="A29" s="304"/>
      <c r="B29" s="310" t="s">
        <v>562</v>
      </c>
      <c r="C29" s="311">
        <v>-0.3757599673968347</v>
      </c>
      <c r="D29" s="312">
        <v>0</v>
      </c>
      <c r="E29" s="312">
        <v>-0.60035036857706303</v>
      </c>
      <c r="F29" s="312">
        <v>0</v>
      </c>
      <c r="G29" s="312">
        <v>0</v>
      </c>
      <c r="H29" s="312">
        <v>0</v>
      </c>
      <c r="I29" s="312">
        <v>0</v>
      </c>
      <c r="J29" s="314">
        <v>-0.21061016835605512</v>
      </c>
      <c r="K29" s="314">
        <v>0</v>
      </c>
      <c r="L29" s="312">
        <v>0</v>
      </c>
      <c r="M29" s="312">
        <v>0</v>
      </c>
      <c r="N29" s="312">
        <v>0</v>
      </c>
      <c r="O29" s="314">
        <v>0</v>
      </c>
      <c r="P29" s="314">
        <v>0</v>
      </c>
      <c r="Q29" s="312">
        <v>0</v>
      </c>
      <c r="R29" s="314">
        <v>0</v>
      </c>
      <c r="S29" s="314">
        <v>0</v>
      </c>
      <c r="T29" s="314">
        <v>0</v>
      </c>
      <c r="U29" s="314">
        <v>-0.21061016835605512</v>
      </c>
      <c r="V29" s="309"/>
    </row>
    <row r="30" spans="1:22">
      <c r="A30" s="304"/>
      <c r="B30" s="50" t="s">
        <v>563</v>
      </c>
      <c r="C30" s="301">
        <v>0.30838407562580133</v>
      </c>
      <c r="D30" s="302">
        <v>0.46939345570630486</v>
      </c>
      <c r="E30" s="302">
        <v>0.78446948088990298</v>
      </c>
      <c r="F30" s="302">
        <v>0.91581165147793997</v>
      </c>
      <c r="G30" s="302">
        <v>0.59174359506275287</v>
      </c>
      <c r="H30" s="302">
        <v>0</v>
      </c>
      <c r="I30" s="302">
        <v>0</v>
      </c>
      <c r="J30" s="303">
        <v>0.53635400364271102</v>
      </c>
      <c r="K30" s="303">
        <v>0</v>
      </c>
      <c r="L30" s="302">
        <v>0</v>
      </c>
      <c r="M30" s="302">
        <v>0</v>
      </c>
      <c r="N30" s="302">
        <v>0</v>
      </c>
      <c r="O30" s="303">
        <v>0</v>
      </c>
      <c r="P30" s="303">
        <v>0</v>
      </c>
      <c r="Q30" s="302">
        <v>0</v>
      </c>
      <c r="R30" s="303">
        <v>0</v>
      </c>
      <c r="S30" s="303">
        <v>0</v>
      </c>
      <c r="T30" s="303">
        <v>0</v>
      </c>
      <c r="U30" s="303">
        <v>0.53635400364271102</v>
      </c>
      <c r="V30" s="309"/>
    </row>
    <row r="31" spans="1:22">
      <c r="A31" s="304"/>
      <c r="B31" s="305" t="s">
        <v>564</v>
      </c>
      <c r="C31" s="306">
        <v>0.32666202795875765</v>
      </c>
      <c r="D31" s="307">
        <v>0.49835002275830675</v>
      </c>
      <c r="E31" s="307">
        <v>0.8203841999589162</v>
      </c>
      <c r="F31" s="307">
        <v>0.91156615943390318</v>
      </c>
      <c r="G31" s="307">
        <v>0.57755891663735492</v>
      </c>
      <c r="H31" s="307">
        <v>0</v>
      </c>
      <c r="I31" s="307">
        <v>0</v>
      </c>
      <c r="J31" s="308">
        <v>0.54451456215345739</v>
      </c>
      <c r="K31" s="308">
        <v>0</v>
      </c>
      <c r="L31" s="307">
        <v>0</v>
      </c>
      <c r="M31" s="307">
        <v>0</v>
      </c>
      <c r="N31" s="307">
        <v>0</v>
      </c>
      <c r="O31" s="308">
        <v>0</v>
      </c>
      <c r="P31" s="308">
        <v>0</v>
      </c>
      <c r="Q31" s="307">
        <v>0</v>
      </c>
      <c r="R31" s="308">
        <v>0</v>
      </c>
      <c r="S31" s="308">
        <v>0</v>
      </c>
      <c r="T31" s="308">
        <v>0</v>
      </c>
      <c r="U31" s="308">
        <v>0.54451456215345739</v>
      </c>
      <c r="V31" s="309"/>
    </row>
    <row r="32" spans="1:22">
      <c r="A32" s="304"/>
      <c r="B32" s="310" t="s">
        <v>565</v>
      </c>
      <c r="C32" s="311">
        <v>1.8277952332956315</v>
      </c>
      <c r="D32" s="312">
        <v>2.8956567052001891</v>
      </c>
      <c r="E32" s="312">
        <v>3.5914719069013223</v>
      </c>
      <c r="F32" s="312">
        <v>-0.42454920440367916</v>
      </c>
      <c r="G32" s="312">
        <v>-1.4184678425397945</v>
      </c>
      <c r="H32" s="312">
        <v>0</v>
      </c>
      <c r="I32" s="312">
        <v>0</v>
      </c>
      <c r="J32" s="314">
        <v>0.81605585107463741</v>
      </c>
      <c r="K32" s="314">
        <v>0</v>
      </c>
      <c r="L32" s="312">
        <v>0</v>
      </c>
      <c r="M32" s="312">
        <v>0</v>
      </c>
      <c r="N32" s="312">
        <v>0</v>
      </c>
      <c r="O32" s="314">
        <v>0</v>
      </c>
      <c r="P32" s="314">
        <v>0</v>
      </c>
      <c r="Q32" s="312">
        <v>0</v>
      </c>
      <c r="R32" s="314">
        <v>0</v>
      </c>
      <c r="S32" s="314">
        <v>0</v>
      </c>
      <c r="T32" s="314">
        <v>0</v>
      </c>
      <c r="U32" s="314">
        <v>0.81605585107463741</v>
      </c>
      <c r="V32" s="309"/>
    </row>
    <row r="33" spans="1:22">
      <c r="A33" s="304"/>
      <c r="B33" s="50" t="s">
        <v>566</v>
      </c>
      <c r="C33" s="301">
        <v>2.4100610368595423E-2</v>
      </c>
      <c r="D33" s="302">
        <v>0</v>
      </c>
      <c r="E33" s="302">
        <v>0</v>
      </c>
      <c r="F33" s="302">
        <v>0</v>
      </c>
      <c r="G33" s="302">
        <v>0</v>
      </c>
      <c r="H33" s="302">
        <v>0</v>
      </c>
      <c r="I33" s="302">
        <v>0</v>
      </c>
      <c r="J33" s="303">
        <v>1.1910112765193156E-2</v>
      </c>
      <c r="K33" s="303">
        <v>0</v>
      </c>
      <c r="L33" s="302">
        <v>0</v>
      </c>
      <c r="M33" s="302">
        <v>0</v>
      </c>
      <c r="N33" s="302">
        <v>0</v>
      </c>
      <c r="O33" s="303">
        <v>0</v>
      </c>
      <c r="P33" s="303">
        <v>0</v>
      </c>
      <c r="Q33" s="302">
        <v>0</v>
      </c>
      <c r="R33" s="303">
        <v>0</v>
      </c>
      <c r="S33" s="303">
        <v>0</v>
      </c>
      <c r="T33" s="303">
        <v>0</v>
      </c>
      <c r="U33" s="303">
        <v>1.1910112765193156E-2</v>
      </c>
      <c r="V33" s="309"/>
    </row>
    <row r="34" spans="1:22">
      <c r="A34" s="304"/>
      <c r="B34" s="305" t="s">
        <v>567</v>
      </c>
      <c r="C34" s="306">
        <v>2.9457903725725852E-2</v>
      </c>
      <c r="D34" s="307">
        <v>0</v>
      </c>
      <c r="E34" s="307">
        <v>0</v>
      </c>
      <c r="F34" s="307">
        <v>0</v>
      </c>
      <c r="G34" s="307">
        <v>0</v>
      </c>
      <c r="H34" s="307">
        <v>0</v>
      </c>
      <c r="I34" s="307">
        <v>0</v>
      </c>
      <c r="J34" s="308">
        <v>1.5242964407989055E-2</v>
      </c>
      <c r="K34" s="308">
        <v>0</v>
      </c>
      <c r="L34" s="307">
        <v>0</v>
      </c>
      <c r="M34" s="307">
        <v>0</v>
      </c>
      <c r="N34" s="307">
        <v>0</v>
      </c>
      <c r="O34" s="308">
        <v>0</v>
      </c>
      <c r="P34" s="308">
        <v>0</v>
      </c>
      <c r="Q34" s="307">
        <v>0</v>
      </c>
      <c r="R34" s="308">
        <v>0</v>
      </c>
      <c r="S34" s="308">
        <v>0</v>
      </c>
      <c r="T34" s="308">
        <v>0</v>
      </c>
      <c r="U34" s="308">
        <v>1.5242964407989055E-2</v>
      </c>
      <c r="V34" s="309"/>
    </row>
    <row r="35" spans="1:22">
      <c r="A35" s="304"/>
      <c r="B35" s="310" t="s">
        <v>568</v>
      </c>
      <c r="C35" s="311">
        <v>0.53572933571304282</v>
      </c>
      <c r="D35" s="312">
        <v>0</v>
      </c>
      <c r="E35" s="312">
        <v>0</v>
      </c>
      <c r="F35" s="312">
        <v>0</v>
      </c>
      <c r="G35" s="312">
        <v>0</v>
      </c>
      <c r="H35" s="312">
        <v>0</v>
      </c>
      <c r="I35" s="312">
        <v>0</v>
      </c>
      <c r="J35" s="314">
        <v>0.33328516427958993</v>
      </c>
      <c r="K35" s="314">
        <v>0</v>
      </c>
      <c r="L35" s="312">
        <v>0</v>
      </c>
      <c r="M35" s="312">
        <v>0</v>
      </c>
      <c r="N35" s="312">
        <v>0</v>
      </c>
      <c r="O35" s="314">
        <v>0</v>
      </c>
      <c r="P35" s="314">
        <v>0</v>
      </c>
      <c r="Q35" s="312">
        <v>0</v>
      </c>
      <c r="R35" s="314">
        <v>0</v>
      </c>
      <c r="S35" s="314">
        <v>0</v>
      </c>
      <c r="T35" s="314">
        <v>0</v>
      </c>
      <c r="U35" s="314">
        <v>0.33328516427958993</v>
      </c>
      <c r="V35" s="309"/>
    </row>
    <row r="36" spans="1:22">
      <c r="A36" s="304"/>
      <c r="B36" s="50" t="s">
        <v>569</v>
      </c>
      <c r="C36" s="301">
        <v>0</v>
      </c>
      <c r="D36" s="302">
        <v>0</v>
      </c>
      <c r="E36" s="302">
        <v>7.7652595550484881E-3</v>
      </c>
      <c r="F36" s="302">
        <v>0</v>
      </c>
      <c r="G36" s="302">
        <v>0</v>
      </c>
      <c r="H36" s="302">
        <v>0</v>
      </c>
      <c r="I36" s="302">
        <v>0</v>
      </c>
      <c r="J36" s="303">
        <v>1.9657642924060846E-3</v>
      </c>
      <c r="K36" s="303">
        <v>0</v>
      </c>
      <c r="L36" s="302">
        <v>0</v>
      </c>
      <c r="M36" s="302">
        <v>0</v>
      </c>
      <c r="N36" s="302">
        <v>0</v>
      </c>
      <c r="O36" s="303">
        <v>0</v>
      </c>
      <c r="P36" s="303">
        <v>0</v>
      </c>
      <c r="Q36" s="302">
        <v>0</v>
      </c>
      <c r="R36" s="303">
        <v>0</v>
      </c>
      <c r="S36" s="303">
        <v>0</v>
      </c>
      <c r="T36" s="303">
        <v>0</v>
      </c>
      <c r="U36" s="303">
        <v>1.9657642924060846E-3</v>
      </c>
      <c r="V36" s="309"/>
    </row>
    <row r="37" spans="1:22">
      <c r="A37" s="304"/>
      <c r="B37" s="305" t="s">
        <v>570</v>
      </c>
      <c r="C37" s="306">
        <v>0</v>
      </c>
      <c r="D37" s="307">
        <v>0</v>
      </c>
      <c r="E37" s="307">
        <v>9.6215650283942196E-3</v>
      </c>
      <c r="F37" s="307">
        <v>0</v>
      </c>
      <c r="G37" s="307">
        <v>0</v>
      </c>
      <c r="H37" s="307">
        <v>0</v>
      </c>
      <c r="I37" s="307">
        <v>0</v>
      </c>
      <c r="J37" s="308">
        <v>2.3762920678977997E-3</v>
      </c>
      <c r="K37" s="308">
        <v>0</v>
      </c>
      <c r="L37" s="307">
        <v>0</v>
      </c>
      <c r="M37" s="307">
        <v>0</v>
      </c>
      <c r="N37" s="307">
        <v>0</v>
      </c>
      <c r="O37" s="308">
        <v>0</v>
      </c>
      <c r="P37" s="308">
        <v>0</v>
      </c>
      <c r="Q37" s="307">
        <v>0</v>
      </c>
      <c r="R37" s="308">
        <v>0</v>
      </c>
      <c r="S37" s="308">
        <v>0</v>
      </c>
      <c r="T37" s="308">
        <v>0</v>
      </c>
      <c r="U37" s="308">
        <v>2.3762920678977997E-3</v>
      </c>
      <c r="V37" s="309"/>
    </row>
    <row r="38" spans="1:22">
      <c r="A38" s="304"/>
      <c r="B38" s="310" t="s">
        <v>571</v>
      </c>
      <c r="C38" s="311">
        <v>0</v>
      </c>
      <c r="D38" s="312">
        <v>0</v>
      </c>
      <c r="E38" s="312">
        <v>0.18563054733457315</v>
      </c>
      <c r="F38" s="312">
        <v>0</v>
      </c>
      <c r="G38" s="312">
        <v>0</v>
      </c>
      <c r="H38" s="312">
        <v>0</v>
      </c>
      <c r="I38" s="312">
        <v>0</v>
      </c>
      <c r="J38" s="314">
        <v>4.1052777549171506E-2</v>
      </c>
      <c r="K38" s="314">
        <v>0</v>
      </c>
      <c r="L38" s="312">
        <v>0</v>
      </c>
      <c r="M38" s="312">
        <v>0</v>
      </c>
      <c r="N38" s="312">
        <v>0</v>
      </c>
      <c r="O38" s="314">
        <v>0</v>
      </c>
      <c r="P38" s="314">
        <v>0</v>
      </c>
      <c r="Q38" s="312">
        <v>0</v>
      </c>
      <c r="R38" s="314">
        <v>0</v>
      </c>
      <c r="S38" s="314">
        <v>0</v>
      </c>
      <c r="T38" s="314">
        <v>0</v>
      </c>
      <c r="U38" s="314">
        <v>4.1052777549171506E-2</v>
      </c>
      <c r="V38" s="309"/>
    </row>
    <row r="39" spans="1:22">
      <c r="A39" s="304"/>
      <c r="B39" s="50" t="s">
        <v>572</v>
      </c>
      <c r="C39" s="301">
        <v>0</v>
      </c>
      <c r="D39" s="302">
        <v>0</v>
      </c>
      <c r="E39" s="302">
        <v>0</v>
      </c>
      <c r="F39" s="302">
        <v>0</v>
      </c>
      <c r="G39" s="302">
        <v>0</v>
      </c>
      <c r="H39" s="302">
        <v>0</v>
      </c>
      <c r="I39" s="302">
        <v>0</v>
      </c>
      <c r="J39" s="303">
        <v>0</v>
      </c>
      <c r="K39" s="303">
        <v>0</v>
      </c>
      <c r="L39" s="302">
        <v>0</v>
      </c>
      <c r="M39" s="302">
        <v>0</v>
      </c>
      <c r="N39" s="302">
        <v>0</v>
      </c>
      <c r="O39" s="303">
        <v>0</v>
      </c>
      <c r="P39" s="303">
        <v>0</v>
      </c>
      <c r="Q39" s="302">
        <v>0</v>
      </c>
      <c r="R39" s="303">
        <v>0</v>
      </c>
      <c r="S39" s="303">
        <v>0</v>
      </c>
      <c r="T39" s="303">
        <v>0</v>
      </c>
      <c r="U39" s="303">
        <v>0</v>
      </c>
      <c r="V39" s="309"/>
    </row>
    <row r="40" spans="1:22">
      <c r="A40" s="304"/>
      <c r="B40" s="305" t="s">
        <v>573</v>
      </c>
      <c r="C40" s="306">
        <v>0</v>
      </c>
      <c r="D40" s="307">
        <v>0</v>
      </c>
      <c r="E40" s="307">
        <v>0</v>
      </c>
      <c r="F40" s="307">
        <v>0</v>
      </c>
      <c r="G40" s="307">
        <v>0</v>
      </c>
      <c r="H40" s="307">
        <v>0</v>
      </c>
      <c r="I40" s="307">
        <v>0</v>
      </c>
      <c r="J40" s="308">
        <v>0</v>
      </c>
      <c r="K40" s="308">
        <v>0</v>
      </c>
      <c r="L40" s="307">
        <v>0</v>
      </c>
      <c r="M40" s="307">
        <v>0</v>
      </c>
      <c r="N40" s="307">
        <v>0</v>
      </c>
      <c r="O40" s="308">
        <v>0</v>
      </c>
      <c r="P40" s="308">
        <v>0</v>
      </c>
      <c r="Q40" s="307">
        <v>0</v>
      </c>
      <c r="R40" s="308">
        <v>0</v>
      </c>
      <c r="S40" s="308">
        <v>0</v>
      </c>
      <c r="T40" s="308">
        <v>0</v>
      </c>
      <c r="U40" s="308">
        <v>0</v>
      </c>
      <c r="V40" s="309"/>
    </row>
    <row r="41" spans="1:22" ht="15.75" thickBot="1">
      <c r="A41" s="320"/>
      <c r="B41" s="321" t="s">
        <v>574</v>
      </c>
      <c r="C41" s="322">
        <v>0</v>
      </c>
      <c r="D41" s="323">
        <v>0</v>
      </c>
      <c r="E41" s="323">
        <v>0</v>
      </c>
      <c r="F41" s="323">
        <v>0</v>
      </c>
      <c r="G41" s="323">
        <v>0</v>
      </c>
      <c r="H41" s="323">
        <v>0</v>
      </c>
      <c r="I41" s="323">
        <v>0</v>
      </c>
      <c r="J41" s="324">
        <v>0</v>
      </c>
      <c r="K41" s="324">
        <v>0</v>
      </c>
      <c r="L41" s="323">
        <v>0</v>
      </c>
      <c r="M41" s="323">
        <v>0</v>
      </c>
      <c r="N41" s="323">
        <v>0</v>
      </c>
      <c r="O41" s="324">
        <v>0</v>
      </c>
      <c r="P41" s="324">
        <v>0</v>
      </c>
      <c r="Q41" s="323">
        <v>0</v>
      </c>
      <c r="R41" s="324">
        <v>0</v>
      </c>
      <c r="S41" s="324">
        <v>0</v>
      </c>
      <c r="T41" s="324">
        <v>0</v>
      </c>
      <c r="U41" s="324">
        <v>0</v>
      </c>
      <c r="V41" s="309"/>
    </row>
    <row r="42" spans="1:22">
      <c r="A42" s="325" t="s">
        <v>80</v>
      </c>
      <c r="B42" s="305" t="s">
        <v>539</v>
      </c>
      <c r="C42" s="306">
        <v>0.85945852208595863</v>
      </c>
      <c r="D42" s="307">
        <v>0.47017884505164165</v>
      </c>
      <c r="E42" s="307">
        <v>0.67680817535496862</v>
      </c>
      <c r="F42" s="307">
        <v>0.6004176023322696</v>
      </c>
      <c r="G42" s="307">
        <v>0</v>
      </c>
      <c r="H42" s="307">
        <v>0.63491293456915088</v>
      </c>
      <c r="I42" s="307">
        <v>0.59702553169889849</v>
      </c>
      <c r="J42" s="308">
        <v>0.70348268635864686</v>
      </c>
      <c r="K42" s="308">
        <v>0</v>
      </c>
      <c r="L42" s="307">
        <v>0.5273117285987724</v>
      </c>
      <c r="M42" s="307">
        <v>0.57558548809061016</v>
      </c>
      <c r="N42" s="307">
        <v>0.54903094127332597</v>
      </c>
      <c r="O42" s="308">
        <v>0.55093825953828723</v>
      </c>
      <c r="P42" s="308">
        <v>0</v>
      </c>
      <c r="Q42" s="307">
        <v>0</v>
      </c>
      <c r="R42" s="308">
        <v>0</v>
      </c>
      <c r="S42" s="308">
        <v>0</v>
      </c>
      <c r="T42" s="308">
        <v>0</v>
      </c>
      <c r="U42" s="308">
        <v>0.65612483044996173</v>
      </c>
      <c r="V42" s="309"/>
    </row>
    <row r="43" spans="1:22">
      <c r="A43" s="304"/>
      <c r="B43" s="305" t="s">
        <v>540</v>
      </c>
      <c r="C43" s="306">
        <v>0.24767608412306813</v>
      </c>
      <c r="D43" s="307">
        <v>5.2752176791078978E-2</v>
      </c>
      <c r="E43" s="307">
        <v>0.3297382129023641</v>
      </c>
      <c r="F43" s="307">
        <v>0.28554902357105072</v>
      </c>
      <c r="G43" s="307">
        <v>0</v>
      </c>
      <c r="H43" s="307">
        <v>0.10599878632993077</v>
      </c>
      <c r="I43" s="307">
        <v>0.14848986346710799</v>
      </c>
      <c r="J43" s="308">
        <v>0.24951205788151093</v>
      </c>
      <c r="K43" s="308">
        <v>0</v>
      </c>
      <c r="L43" s="307">
        <v>7.4924884950367018E-2</v>
      </c>
      <c r="M43" s="307">
        <v>0.36113881425336447</v>
      </c>
      <c r="N43" s="307">
        <v>0.43608891317381177</v>
      </c>
      <c r="O43" s="308">
        <v>0.36340333341777253</v>
      </c>
      <c r="P43" s="308">
        <v>0</v>
      </c>
      <c r="Q43" s="307">
        <v>0</v>
      </c>
      <c r="R43" s="308">
        <v>0</v>
      </c>
      <c r="S43" s="308">
        <v>0</v>
      </c>
      <c r="T43" s="308">
        <v>0</v>
      </c>
      <c r="U43" s="308">
        <v>0.28340523662753087</v>
      </c>
      <c r="V43" s="309"/>
    </row>
    <row r="44" spans="1:22">
      <c r="A44" s="304"/>
      <c r="B44" s="310" t="s">
        <v>541</v>
      </c>
      <c r="C44" s="311">
        <v>-61.178243796289046</v>
      </c>
      <c r="D44" s="312">
        <v>-41.742666826056265</v>
      </c>
      <c r="E44" s="312">
        <v>-34.706996245260449</v>
      </c>
      <c r="F44" s="312">
        <v>-31.486857876121888</v>
      </c>
      <c r="G44" s="312">
        <v>0</v>
      </c>
      <c r="H44" s="312">
        <v>-52.891414823922013</v>
      </c>
      <c r="I44" s="312">
        <v>-44.853566823179051</v>
      </c>
      <c r="J44" s="314">
        <v>-45.397062847713592</v>
      </c>
      <c r="K44" s="314">
        <v>0</v>
      </c>
      <c r="L44" s="312">
        <v>-45.238684364840537</v>
      </c>
      <c r="M44" s="312">
        <v>-21.444667383724571</v>
      </c>
      <c r="N44" s="312">
        <v>-11.29420280995142</v>
      </c>
      <c r="O44" s="314">
        <v>-18.75349261205147</v>
      </c>
      <c r="P44" s="314">
        <v>0</v>
      </c>
      <c r="Q44" s="312">
        <v>0</v>
      </c>
      <c r="R44" s="314">
        <v>0</v>
      </c>
      <c r="S44" s="314">
        <v>0</v>
      </c>
      <c r="T44" s="314">
        <v>0</v>
      </c>
      <c r="U44" s="314">
        <v>-37.271959382243089</v>
      </c>
      <c r="V44" s="309"/>
    </row>
    <row r="45" spans="1:22">
      <c r="A45" s="304"/>
      <c r="B45" s="50" t="s">
        <v>542</v>
      </c>
      <c r="C45" s="301">
        <v>7.5146108983154495E-3</v>
      </c>
      <c r="D45" s="302">
        <v>7.6901032833097446E-2</v>
      </c>
      <c r="E45" s="302">
        <v>4.5447093112274281E-2</v>
      </c>
      <c r="F45" s="302">
        <v>8.1720048851593591E-2</v>
      </c>
      <c r="G45" s="302">
        <v>0</v>
      </c>
      <c r="H45" s="302">
        <v>7.4097742782641959E-2</v>
      </c>
      <c r="I45" s="302">
        <v>1.1979087355971777E-2</v>
      </c>
      <c r="J45" s="303">
        <v>4.3077342458885122E-2</v>
      </c>
      <c r="K45" s="303">
        <v>0</v>
      </c>
      <c r="L45" s="302">
        <v>0.11943106065606231</v>
      </c>
      <c r="M45" s="302">
        <v>5.2218498166573854E-2</v>
      </c>
      <c r="N45" s="302">
        <v>9.2271542261251366E-2</v>
      </c>
      <c r="O45" s="303">
        <v>8.8477290616107179E-2</v>
      </c>
      <c r="P45" s="303">
        <v>0</v>
      </c>
      <c r="Q45" s="302">
        <v>0</v>
      </c>
      <c r="R45" s="303">
        <v>0</v>
      </c>
      <c r="S45" s="303">
        <v>0</v>
      </c>
      <c r="T45" s="303">
        <v>0</v>
      </c>
      <c r="U45" s="303">
        <v>5.7171886900180553E-2</v>
      </c>
      <c r="V45" s="309"/>
    </row>
    <row r="46" spans="1:22">
      <c r="A46" s="304"/>
      <c r="B46" s="305" t="s">
        <v>543</v>
      </c>
      <c r="C46" s="306">
        <v>2.8032834954765198E-3</v>
      </c>
      <c r="D46" s="307">
        <v>5.6857528387392435E-2</v>
      </c>
      <c r="E46" s="307">
        <v>4.1178622656082138E-2</v>
      </c>
      <c r="F46" s="307">
        <v>6.4761257638766445E-2</v>
      </c>
      <c r="G46" s="307">
        <v>0</v>
      </c>
      <c r="H46" s="307">
        <v>6.5187896847911347E-2</v>
      </c>
      <c r="I46" s="307">
        <v>1.2081092263136119E-2</v>
      </c>
      <c r="J46" s="308">
        <v>3.4592655851446857E-2</v>
      </c>
      <c r="K46" s="308">
        <v>0</v>
      </c>
      <c r="L46" s="307">
        <v>7.187464344122009E-2</v>
      </c>
      <c r="M46" s="307">
        <v>4.3388987316523721E-2</v>
      </c>
      <c r="N46" s="307">
        <v>7.3890672312911229E-2</v>
      </c>
      <c r="O46" s="308">
        <v>6.7299236790394193E-2</v>
      </c>
      <c r="P46" s="308">
        <v>0</v>
      </c>
      <c r="Q46" s="307">
        <v>0</v>
      </c>
      <c r="R46" s="308">
        <v>0</v>
      </c>
      <c r="S46" s="308">
        <v>0</v>
      </c>
      <c r="T46" s="308">
        <v>0</v>
      </c>
      <c r="U46" s="308">
        <v>4.4325885975662727E-2</v>
      </c>
      <c r="V46" s="309"/>
    </row>
    <row r="47" spans="1:22">
      <c r="A47" s="304"/>
      <c r="B47" s="310" t="s">
        <v>544</v>
      </c>
      <c r="C47" s="311">
        <v>-0.47113274028389301</v>
      </c>
      <c r="D47" s="312">
        <v>-2.0043504445705009</v>
      </c>
      <c r="E47" s="312">
        <v>-0.42684704561921427</v>
      </c>
      <c r="F47" s="312">
        <v>-1.6958791212827147</v>
      </c>
      <c r="G47" s="312">
        <v>0</v>
      </c>
      <c r="H47" s="312">
        <v>-0.89098459347306114</v>
      </c>
      <c r="I47" s="312">
        <v>1.020049071643412E-2</v>
      </c>
      <c r="J47" s="314">
        <v>-0.84846866074382643</v>
      </c>
      <c r="K47" s="314">
        <v>0</v>
      </c>
      <c r="L47" s="312">
        <v>-4.7556417214842215</v>
      </c>
      <c r="M47" s="312">
        <v>-0.88295108500501329</v>
      </c>
      <c r="N47" s="312">
        <v>-1.8380869948340137</v>
      </c>
      <c r="O47" s="314">
        <v>-2.1178053825712988</v>
      </c>
      <c r="P47" s="314">
        <v>0</v>
      </c>
      <c r="Q47" s="312">
        <v>0</v>
      </c>
      <c r="R47" s="314">
        <v>0</v>
      </c>
      <c r="S47" s="314">
        <v>0</v>
      </c>
      <c r="T47" s="314">
        <v>0</v>
      </c>
      <c r="U47" s="314">
        <v>-1.2846000924517826</v>
      </c>
      <c r="V47" s="309"/>
    </row>
    <row r="48" spans="1:22">
      <c r="A48" s="304"/>
      <c r="B48" s="50" t="s">
        <v>545</v>
      </c>
      <c r="C48" s="301">
        <v>0.12906724511930587</v>
      </c>
      <c r="D48" s="302">
        <v>0.45292012211526089</v>
      </c>
      <c r="E48" s="302">
        <v>0.26717866516355182</v>
      </c>
      <c r="F48" s="302">
        <v>0.31786234881613679</v>
      </c>
      <c r="G48" s="302">
        <v>0</v>
      </c>
      <c r="H48" s="302">
        <v>0.29093334701626561</v>
      </c>
      <c r="I48" s="302">
        <v>0.23907415867214862</v>
      </c>
      <c r="J48" s="303">
        <v>0.24691416318414258</v>
      </c>
      <c r="K48" s="303">
        <v>0</v>
      </c>
      <c r="L48" s="302">
        <v>0.35325721074516536</v>
      </c>
      <c r="M48" s="302">
        <v>0.37163915651890689</v>
      </c>
      <c r="N48" s="302">
        <v>0.34351330954994513</v>
      </c>
      <c r="O48" s="303">
        <v>0.35089803914784667</v>
      </c>
      <c r="P48" s="303">
        <v>0</v>
      </c>
      <c r="Q48" s="302">
        <v>0</v>
      </c>
      <c r="R48" s="303">
        <v>0</v>
      </c>
      <c r="S48" s="303">
        <v>0</v>
      </c>
      <c r="T48" s="303">
        <v>0</v>
      </c>
      <c r="U48" s="303">
        <v>0.27919625645599216</v>
      </c>
      <c r="V48" s="309"/>
    </row>
    <row r="49" spans="1:22">
      <c r="A49" s="304"/>
      <c r="B49" s="305" t="s">
        <v>546</v>
      </c>
      <c r="C49" s="306">
        <v>0.74620305536408138</v>
      </c>
      <c r="D49" s="307">
        <v>0.89039029482152854</v>
      </c>
      <c r="E49" s="307">
        <v>0.6053245916109663</v>
      </c>
      <c r="F49" s="307">
        <v>0.64968971879018278</v>
      </c>
      <c r="G49" s="307">
        <v>0</v>
      </c>
      <c r="H49" s="307">
        <v>0.70907933751375241</v>
      </c>
      <c r="I49" s="307">
        <v>0.66069507654116677</v>
      </c>
      <c r="J49" s="308">
        <v>0.69181632013704797</v>
      </c>
      <c r="K49" s="308">
        <v>0</v>
      </c>
      <c r="L49" s="307">
        <v>0.52336363290609667</v>
      </c>
      <c r="M49" s="307">
        <v>0.59501460770395054</v>
      </c>
      <c r="N49" s="307">
        <v>0.45633836486578788</v>
      </c>
      <c r="O49" s="308">
        <v>0.49548190046067608</v>
      </c>
      <c r="P49" s="308">
        <v>0</v>
      </c>
      <c r="Q49" s="307">
        <v>0</v>
      </c>
      <c r="R49" s="308">
        <v>0</v>
      </c>
      <c r="S49" s="308">
        <v>0</v>
      </c>
      <c r="T49" s="308">
        <v>0</v>
      </c>
      <c r="U49" s="308">
        <v>0.63338868774154733</v>
      </c>
      <c r="V49" s="309"/>
    </row>
    <row r="50" spans="1:22">
      <c r="A50" s="304"/>
      <c r="B50" s="310" t="s">
        <v>547</v>
      </c>
      <c r="C50" s="311">
        <v>61.713581024477548</v>
      </c>
      <c r="D50" s="312">
        <v>43.747017270626763</v>
      </c>
      <c r="E50" s="312">
        <v>33.814592644741445</v>
      </c>
      <c r="F50" s="312">
        <v>33.182736997404596</v>
      </c>
      <c r="G50" s="312">
        <v>0</v>
      </c>
      <c r="H50" s="312">
        <v>41.814599049748679</v>
      </c>
      <c r="I50" s="312">
        <v>42.162091786901811</v>
      </c>
      <c r="J50" s="314">
        <v>44.490215695290537</v>
      </c>
      <c r="K50" s="314">
        <v>0</v>
      </c>
      <c r="L50" s="312">
        <v>17.010642216093132</v>
      </c>
      <c r="M50" s="312">
        <v>22.337545118504366</v>
      </c>
      <c r="N50" s="312">
        <v>11.282505531584274</v>
      </c>
      <c r="O50" s="314">
        <v>14.458386131282941</v>
      </c>
      <c r="P50" s="314">
        <v>0</v>
      </c>
      <c r="Q50" s="312">
        <v>0</v>
      </c>
      <c r="R50" s="314">
        <v>0</v>
      </c>
      <c r="S50" s="314">
        <v>0</v>
      </c>
      <c r="T50" s="314">
        <v>0</v>
      </c>
      <c r="U50" s="314">
        <v>35.419243128555514</v>
      </c>
      <c r="V50" s="309"/>
    </row>
    <row r="51" spans="1:22">
      <c r="A51" s="304"/>
      <c r="B51" s="50" t="s">
        <v>548</v>
      </c>
      <c r="C51" s="301">
        <v>5.3545405591235589E-4</v>
      </c>
      <c r="D51" s="302">
        <v>0</v>
      </c>
      <c r="E51" s="302">
        <v>2.8156304071824318E-3</v>
      </c>
      <c r="F51" s="302">
        <v>0</v>
      </c>
      <c r="G51" s="302">
        <v>0</v>
      </c>
      <c r="H51" s="302">
        <v>5.5975631941561443E-5</v>
      </c>
      <c r="I51" s="302">
        <v>0.15192122227298108</v>
      </c>
      <c r="J51" s="303">
        <v>2.6456636185960701E-3</v>
      </c>
      <c r="K51" s="303">
        <v>0</v>
      </c>
      <c r="L51" s="302">
        <v>0</v>
      </c>
      <c r="M51" s="302">
        <v>5.5685722390913766E-4</v>
      </c>
      <c r="N51" s="302">
        <v>1.4451838638858397E-2</v>
      </c>
      <c r="O51" s="303">
        <v>9.2247411623260361E-3</v>
      </c>
      <c r="P51" s="303">
        <v>0</v>
      </c>
      <c r="Q51" s="302">
        <v>0</v>
      </c>
      <c r="R51" s="303">
        <v>0</v>
      </c>
      <c r="S51" s="303">
        <v>0</v>
      </c>
      <c r="T51" s="303">
        <v>0</v>
      </c>
      <c r="U51" s="303">
        <v>4.6881571584940834E-3</v>
      </c>
      <c r="V51" s="309"/>
    </row>
    <row r="52" spans="1:22">
      <c r="A52" s="304"/>
      <c r="B52" s="305" t="s">
        <v>549</v>
      </c>
      <c r="C52" s="306">
        <v>4.2985727203363939E-4</v>
      </c>
      <c r="D52" s="307">
        <v>0</v>
      </c>
      <c r="E52" s="307">
        <v>5.3237205358853896E-3</v>
      </c>
      <c r="F52" s="307">
        <v>0</v>
      </c>
      <c r="G52" s="307">
        <v>0</v>
      </c>
      <c r="H52" s="307">
        <v>0</v>
      </c>
      <c r="I52" s="307">
        <v>0.17873396772858915</v>
      </c>
      <c r="J52" s="308">
        <v>4.2249986840000473E-3</v>
      </c>
      <c r="K52" s="308">
        <v>0</v>
      </c>
      <c r="L52" s="307">
        <v>0.32983683870231623</v>
      </c>
      <c r="M52" s="307">
        <v>4.5759072616128314E-4</v>
      </c>
      <c r="N52" s="307">
        <v>3.3219118305519504E-2</v>
      </c>
      <c r="O52" s="308">
        <v>7.3521198457416712E-2</v>
      </c>
      <c r="P52" s="308">
        <v>0</v>
      </c>
      <c r="Q52" s="307">
        <v>0</v>
      </c>
      <c r="R52" s="308">
        <v>0</v>
      </c>
      <c r="S52" s="308">
        <v>0</v>
      </c>
      <c r="T52" s="308">
        <v>0</v>
      </c>
      <c r="U52" s="308">
        <v>2.4847021523603161E-2</v>
      </c>
      <c r="V52" s="309"/>
    </row>
    <row r="53" spans="1:22">
      <c r="A53" s="304"/>
      <c r="B53" s="310" t="s">
        <v>550</v>
      </c>
      <c r="C53" s="311">
        <v>-1.0559678387871651E-2</v>
      </c>
      <c r="D53" s="312">
        <v>0</v>
      </c>
      <c r="E53" s="312">
        <v>0.25080901287029578</v>
      </c>
      <c r="F53" s="312">
        <v>0</v>
      </c>
      <c r="G53" s="312">
        <v>0</v>
      </c>
      <c r="H53" s="312">
        <v>-5.5975631941561441E-3</v>
      </c>
      <c r="I53" s="312">
        <v>2.6812745455608078</v>
      </c>
      <c r="J53" s="314">
        <v>0.15793350654039773</v>
      </c>
      <c r="K53" s="314">
        <v>0</v>
      </c>
      <c r="L53" s="312">
        <v>0</v>
      </c>
      <c r="M53" s="312">
        <v>-9.926649774785452E-3</v>
      </c>
      <c r="N53" s="312">
        <v>1.8767279666661105</v>
      </c>
      <c r="O53" s="314">
        <v>6.4296457295090672</v>
      </c>
      <c r="P53" s="314">
        <v>0</v>
      </c>
      <c r="Q53" s="312">
        <v>0</v>
      </c>
      <c r="R53" s="314">
        <v>0</v>
      </c>
      <c r="S53" s="314">
        <v>0</v>
      </c>
      <c r="T53" s="314">
        <v>0</v>
      </c>
      <c r="U53" s="314">
        <v>2.0158864365109075</v>
      </c>
      <c r="V53" s="309"/>
    </row>
    <row r="54" spans="1:22">
      <c r="A54" s="304"/>
      <c r="B54" s="50" t="s">
        <v>551</v>
      </c>
      <c r="C54" s="301">
        <v>0</v>
      </c>
      <c r="D54" s="302">
        <v>0</v>
      </c>
      <c r="E54" s="302">
        <v>7.7504359620228641E-3</v>
      </c>
      <c r="F54" s="302">
        <v>0</v>
      </c>
      <c r="G54" s="302">
        <v>0</v>
      </c>
      <c r="H54" s="302">
        <v>0</v>
      </c>
      <c r="I54" s="302">
        <v>0</v>
      </c>
      <c r="J54" s="303">
        <v>2.7843966694332148E-3</v>
      </c>
      <c r="K54" s="303">
        <v>0</v>
      </c>
      <c r="L54" s="302">
        <v>0</v>
      </c>
      <c r="M54" s="302">
        <v>0</v>
      </c>
      <c r="N54" s="302">
        <v>7.3236827661909986E-4</v>
      </c>
      <c r="O54" s="303">
        <v>4.6166953543286656E-4</v>
      </c>
      <c r="P54" s="303">
        <v>0</v>
      </c>
      <c r="Q54" s="302">
        <v>0</v>
      </c>
      <c r="R54" s="303">
        <v>0</v>
      </c>
      <c r="S54" s="303">
        <v>0</v>
      </c>
      <c r="T54" s="303">
        <v>0</v>
      </c>
      <c r="U54" s="303">
        <v>2.0632993522777354E-3</v>
      </c>
      <c r="V54" s="309"/>
    </row>
    <row r="55" spans="1:22">
      <c r="A55" s="304"/>
      <c r="B55" s="305" t="s">
        <v>552</v>
      </c>
      <c r="C55" s="306">
        <v>0</v>
      </c>
      <c r="D55" s="307">
        <v>0</v>
      </c>
      <c r="E55" s="307">
        <v>1.8434852294702122E-2</v>
      </c>
      <c r="F55" s="307">
        <v>0</v>
      </c>
      <c r="G55" s="307">
        <v>0</v>
      </c>
      <c r="H55" s="307">
        <v>0.1197339793084054</v>
      </c>
      <c r="I55" s="307">
        <v>0</v>
      </c>
      <c r="J55" s="308">
        <v>1.8892648645388865E-2</v>
      </c>
      <c r="K55" s="308">
        <v>0</v>
      </c>
      <c r="L55" s="307">
        <v>0</v>
      </c>
      <c r="M55" s="307">
        <v>0</v>
      </c>
      <c r="N55" s="307">
        <v>4.62931341969659E-4</v>
      </c>
      <c r="O55" s="308">
        <v>2.943308737404991E-4</v>
      </c>
      <c r="P55" s="308">
        <v>0</v>
      </c>
      <c r="Q55" s="307">
        <v>0</v>
      </c>
      <c r="R55" s="308">
        <v>0</v>
      </c>
      <c r="S55" s="308">
        <v>0</v>
      </c>
      <c r="T55" s="308">
        <v>0</v>
      </c>
      <c r="U55" s="308">
        <v>1.3357930506166165E-2</v>
      </c>
      <c r="V55" s="309"/>
    </row>
    <row r="56" spans="1:22">
      <c r="A56" s="304"/>
      <c r="B56" s="310" t="s">
        <v>553</v>
      </c>
      <c r="C56" s="311">
        <v>0</v>
      </c>
      <c r="D56" s="312">
        <v>0</v>
      </c>
      <c r="E56" s="312">
        <v>1.0684416332679258</v>
      </c>
      <c r="F56" s="312">
        <v>0</v>
      </c>
      <c r="G56" s="312">
        <v>0</v>
      </c>
      <c r="H56" s="312">
        <v>0</v>
      </c>
      <c r="I56" s="312">
        <v>0</v>
      </c>
      <c r="J56" s="314">
        <v>1.610825197595565</v>
      </c>
      <c r="K56" s="314">
        <v>0</v>
      </c>
      <c r="L56" s="312">
        <v>0</v>
      </c>
      <c r="M56" s="312">
        <v>0</v>
      </c>
      <c r="N56" s="312">
        <v>-2.6943693464944088E-2</v>
      </c>
      <c r="O56" s="314">
        <v>-1.6733866169236746E-2</v>
      </c>
      <c r="P56" s="314">
        <v>0</v>
      </c>
      <c r="Q56" s="312">
        <v>0</v>
      </c>
      <c r="R56" s="314">
        <v>0</v>
      </c>
      <c r="S56" s="314">
        <v>0</v>
      </c>
      <c r="T56" s="314">
        <v>0</v>
      </c>
      <c r="U56" s="314">
        <v>1.1294631153888428</v>
      </c>
      <c r="V56" s="309"/>
    </row>
    <row r="57" spans="1:22">
      <c r="A57" s="304"/>
      <c r="B57" s="50" t="s">
        <v>554</v>
      </c>
      <c r="C57" s="301">
        <v>3.4241678405077078E-3</v>
      </c>
      <c r="D57" s="302">
        <v>0</v>
      </c>
      <c r="E57" s="302">
        <v>0</v>
      </c>
      <c r="F57" s="302">
        <v>0</v>
      </c>
      <c r="G57" s="302">
        <v>0</v>
      </c>
      <c r="H57" s="302">
        <v>0</v>
      </c>
      <c r="I57" s="302">
        <v>0</v>
      </c>
      <c r="J57" s="303">
        <v>1.095747710296183E-3</v>
      </c>
      <c r="K57" s="303">
        <v>0</v>
      </c>
      <c r="L57" s="302">
        <v>0</v>
      </c>
      <c r="M57" s="302">
        <v>0</v>
      </c>
      <c r="N57" s="302">
        <v>0</v>
      </c>
      <c r="O57" s="303">
        <v>0</v>
      </c>
      <c r="P57" s="303">
        <v>0</v>
      </c>
      <c r="Q57" s="302">
        <v>0</v>
      </c>
      <c r="R57" s="303">
        <v>0</v>
      </c>
      <c r="S57" s="303">
        <v>0</v>
      </c>
      <c r="T57" s="303">
        <v>0</v>
      </c>
      <c r="U57" s="303">
        <v>7.5556968309373391E-4</v>
      </c>
      <c r="V57" s="309"/>
    </row>
    <row r="58" spans="1:22">
      <c r="A58" s="304"/>
      <c r="B58" s="305" t="s">
        <v>555</v>
      </c>
      <c r="C58" s="306">
        <v>2.8877197453402704E-3</v>
      </c>
      <c r="D58" s="307">
        <v>0</v>
      </c>
      <c r="E58" s="307">
        <v>0</v>
      </c>
      <c r="F58" s="307">
        <v>0</v>
      </c>
      <c r="G58" s="307">
        <v>0</v>
      </c>
      <c r="H58" s="307">
        <v>0</v>
      </c>
      <c r="I58" s="307">
        <v>0</v>
      </c>
      <c r="J58" s="308">
        <v>9.613188006053089E-4</v>
      </c>
      <c r="K58" s="308">
        <v>0</v>
      </c>
      <c r="L58" s="307">
        <v>0</v>
      </c>
      <c r="M58" s="307">
        <v>0</v>
      </c>
      <c r="N58" s="307">
        <v>0</v>
      </c>
      <c r="O58" s="308">
        <v>0</v>
      </c>
      <c r="P58" s="308">
        <v>0</v>
      </c>
      <c r="Q58" s="307">
        <v>0</v>
      </c>
      <c r="R58" s="308">
        <v>0</v>
      </c>
      <c r="S58" s="308">
        <v>0</v>
      </c>
      <c r="T58" s="308">
        <v>0</v>
      </c>
      <c r="U58" s="308">
        <v>6.7523762548973572E-4</v>
      </c>
      <c r="V58" s="309"/>
    </row>
    <row r="59" spans="1:22" ht="15.75" thickBot="1">
      <c r="A59" s="304"/>
      <c r="B59" s="316" t="s">
        <v>556</v>
      </c>
      <c r="C59" s="317">
        <v>-5.3644809516743747E-2</v>
      </c>
      <c r="D59" s="318">
        <v>0</v>
      </c>
      <c r="E59" s="318">
        <v>0</v>
      </c>
      <c r="F59" s="318">
        <v>0</v>
      </c>
      <c r="G59" s="318">
        <v>0</v>
      </c>
      <c r="H59" s="318">
        <v>0</v>
      </c>
      <c r="I59" s="318">
        <v>0</v>
      </c>
      <c r="J59" s="319">
        <v>-1.3442890969087408E-2</v>
      </c>
      <c r="K59" s="319">
        <v>0</v>
      </c>
      <c r="L59" s="318">
        <v>0</v>
      </c>
      <c r="M59" s="318">
        <v>0</v>
      </c>
      <c r="N59" s="318">
        <v>0</v>
      </c>
      <c r="O59" s="319">
        <v>0</v>
      </c>
      <c r="P59" s="319">
        <v>0</v>
      </c>
      <c r="Q59" s="318">
        <v>0</v>
      </c>
      <c r="R59" s="319">
        <v>0</v>
      </c>
      <c r="S59" s="319">
        <v>0</v>
      </c>
      <c r="T59" s="319">
        <v>0</v>
      </c>
      <c r="U59" s="319">
        <v>-8.0332057603998194E-3</v>
      </c>
      <c r="V59" s="309"/>
    </row>
    <row r="60" spans="1:22" ht="15.75" thickTop="1">
      <c r="A60" s="304"/>
      <c r="B60" s="305" t="s">
        <v>557</v>
      </c>
      <c r="C60" s="306">
        <v>0.59540555583666444</v>
      </c>
      <c r="D60" s="307">
        <v>0.3331599551041638</v>
      </c>
      <c r="E60" s="307">
        <v>0.24754402643849879</v>
      </c>
      <c r="F60" s="307">
        <v>9.3166724371281984E-2</v>
      </c>
      <c r="G60" s="307">
        <v>0</v>
      </c>
      <c r="H60" s="307">
        <v>0.44675925925925924</v>
      </c>
      <c r="I60" s="307">
        <v>0.69106116048092003</v>
      </c>
      <c r="J60" s="308">
        <v>0.39504917105434922</v>
      </c>
      <c r="K60" s="308">
        <v>0</v>
      </c>
      <c r="L60" s="307">
        <v>0</v>
      </c>
      <c r="M60" s="307">
        <v>0</v>
      </c>
      <c r="N60" s="307">
        <v>0</v>
      </c>
      <c r="O60" s="308">
        <v>0</v>
      </c>
      <c r="P60" s="308">
        <v>0</v>
      </c>
      <c r="Q60" s="307">
        <v>0</v>
      </c>
      <c r="R60" s="308">
        <v>0</v>
      </c>
      <c r="S60" s="308">
        <v>0</v>
      </c>
      <c r="T60" s="308">
        <v>0</v>
      </c>
      <c r="U60" s="308">
        <v>0.39504917105434922</v>
      </c>
      <c r="V60" s="309"/>
    </row>
    <row r="61" spans="1:22">
      <c r="A61" s="304"/>
      <c r="B61" s="305" t="s">
        <v>558</v>
      </c>
      <c r="C61" s="306">
        <v>0.36917653857266686</v>
      </c>
      <c r="D61" s="307">
        <v>0.13071966801354154</v>
      </c>
      <c r="E61" s="307">
        <v>0.1581662811616551</v>
      </c>
      <c r="F61" s="307">
        <v>4.813380175960124E-2</v>
      </c>
      <c r="G61" s="307">
        <v>0</v>
      </c>
      <c r="H61" s="307">
        <v>0.14793741109530584</v>
      </c>
      <c r="I61" s="307">
        <v>0.55540905687404374</v>
      </c>
      <c r="J61" s="308">
        <v>0.25883382620111656</v>
      </c>
      <c r="K61" s="308">
        <v>0</v>
      </c>
      <c r="L61" s="307">
        <v>0</v>
      </c>
      <c r="M61" s="307">
        <v>0</v>
      </c>
      <c r="N61" s="307">
        <v>0</v>
      </c>
      <c r="O61" s="308">
        <v>0</v>
      </c>
      <c r="P61" s="308">
        <v>0</v>
      </c>
      <c r="Q61" s="307">
        <v>0</v>
      </c>
      <c r="R61" s="308">
        <v>0</v>
      </c>
      <c r="S61" s="308">
        <v>0</v>
      </c>
      <c r="T61" s="308">
        <v>0</v>
      </c>
      <c r="U61" s="308">
        <v>0.25883382620111656</v>
      </c>
      <c r="V61" s="309"/>
    </row>
    <row r="62" spans="1:22">
      <c r="A62" s="304"/>
      <c r="B62" s="310" t="s">
        <v>559</v>
      </c>
      <c r="C62" s="311">
        <v>-22.622901726399757</v>
      </c>
      <c r="D62" s="312">
        <v>-20.244028709062224</v>
      </c>
      <c r="E62" s="312">
        <v>-8.9377745276843701</v>
      </c>
      <c r="F62" s="312">
        <v>-4.5032922611680748</v>
      </c>
      <c r="G62" s="312">
        <v>0</v>
      </c>
      <c r="H62" s="312">
        <v>-29.882184816395341</v>
      </c>
      <c r="I62" s="312">
        <v>-13.56521036068763</v>
      </c>
      <c r="J62" s="314">
        <v>-13.621534485323266</v>
      </c>
      <c r="K62" s="314">
        <v>0</v>
      </c>
      <c r="L62" s="312">
        <v>0</v>
      </c>
      <c r="M62" s="312">
        <v>0</v>
      </c>
      <c r="N62" s="312">
        <v>0</v>
      </c>
      <c r="O62" s="314">
        <v>0</v>
      </c>
      <c r="P62" s="314">
        <v>0</v>
      </c>
      <c r="Q62" s="312">
        <v>0</v>
      </c>
      <c r="R62" s="314">
        <v>0</v>
      </c>
      <c r="S62" s="314">
        <v>0</v>
      </c>
      <c r="T62" s="314">
        <v>0</v>
      </c>
      <c r="U62" s="314">
        <v>-13.621534485323266</v>
      </c>
      <c r="V62" s="309"/>
    </row>
    <row r="63" spans="1:22">
      <c r="A63" s="304"/>
      <c r="B63" s="50" t="s">
        <v>560</v>
      </c>
      <c r="C63" s="301">
        <v>4.5919141830693721E-3</v>
      </c>
      <c r="D63" s="302">
        <v>0.33362533877193462</v>
      </c>
      <c r="E63" s="302">
        <v>2.7162841233192993E-4</v>
      </c>
      <c r="F63" s="302">
        <v>4.7118441345881466E-2</v>
      </c>
      <c r="G63" s="302">
        <v>0</v>
      </c>
      <c r="H63" s="302">
        <v>0</v>
      </c>
      <c r="I63" s="302">
        <v>6.2934625924693885E-2</v>
      </c>
      <c r="J63" s="303">
        <v>4.912210086593273E-2</v>
      </c>
      <c r="K63" s="303">
        <v>0</v>
      </c>
      <c r="L63" s="302">
        <v>0</v>
      </c>
      <c r="M63" s="302">
        <v>0</v>
      </c>
      <c r="N63" s="302">
        <v>0</v>
      </c>
      <c r="O63" s="303">
        <v>0</v>
      </c>
      <c r="P63" s="303">
        <v>0</v>
      </c>
      <c r="Q63" s="302">
        <v>0</v>
      </c>
      <c r="R63" s="303">
        <v>0</v>
      </c>
      <c r="S63" s="303">
        <v>0</v>
      </c>
      <c r="T63" s="303">
        <v>0</v>
      </c>
      <c r="U63" s="303">
        <v>4.912210086593273E-2</v>
      </c>
      <c r="V63" s="309"/>
    </row>
    <row r="64" spans="1:22">
      <c r="A64" s="304"/>
      <c r="B64" s="305" t="s">
        <v>561</v>
      </c>
      <c r="C64" s="306">
        <v>5.5937590291823174E-3</v>
      </c>
      <c r="D64" s="307">
        <v>0.35366386371082231</v>
      </c>
      <c r="E64" s="307">
        <v>1.9275250578257516E-5</v>
      </c>
      <c r="F64" s="307">
        <v>4.3960003603278987E-2</v>
      </c>
      <c r="G64" s="307">
        <v>0</v>
      </c>
      <c r="H64" s="307">
        <v>0</v>
      </c>
      <c r="I64" s="307">
        <v>4.7009799134030014E-2</v>
      </c>
      <c r="J64" s="308">
        <v>4.7190653635507701E-2</v>
      </c>
      <c r="K64" s="308">
        <v>0</v>
      </c>
      <c r="L64" s="307">
        <v>0</v>
      </c>
      <c r="M64" s="307">
        <v>0</v>
      </c>
      <c r="N64" s="307">
        <v>0</v>
      </c>
      <c r="O64" s="308">
        <v>0</v>
      </c>
      <c r="P64" s="308">
        <v>0</v>
      </c>
      <c r="Q64" s="307">
        <v>0</v>
      </c>
      <c r="R64" s="308">
        <v>0</v>
      </c>
      <c r="S64" s="308">
        <v>0</v>
      </c>
      <c r="T64" s="308">
        <v>0</v>
      </c>
      <c r="U64" s="308">
        <v>4.7190653635507701E-2</v>
      </c>
      <c r="V64" s="309"/>
    </row>
    <row r="65" spans="1:23">
      <c r="A65" s="304"/>
      <c r="B65" s="310" t="s">
        <v>562</v>
      </c>
      <c r="C65" s="311">
        <v>0.10018448461129453</v>
      </c>
      <c r="D65" s="312">
        <v>2.0038524938887692</v>
      </c>
      <c r="E65" s="312">
        <v>-2.5235316175367246E-2</v>
      </c>
      <c r="F65" s="312">
        <v>-0.31584377426024796</v>
      </c>
      <c r="G65" s="312">
        <v>0</v>
      </c>
      <c r="H65" s="312">
        <v>0</v>
      </c>
      <c r="I65" s="312">
        <v>-1.5924826790663871</v>
      </c>
      <c r="J65" s="314">
        <v>-0.19314472304250291</v>
      </c>
      <c r="K65" s="314">
        <v>0</v>
      </c>
      <c r="L65" s="312">
        <v>0</v>
      </c>
      <c r="M65" s="312">
        <v>0</v>
      </c>
      <c r="N65" s="312">
        <v>0</v>
      </c>
      <c r="O65" s="314">
        <v>0</v>
      </c>
      <c r="P65" s="314">
        <v>0</v>
      </c>
      <c r="Q65" s="312">
        <v>0</v>
      </c>
      <c r="R65" s="314">
        <v>0</v>
      </c>
      <c r="S65" s="314">
        <v>0</v>
      </c>
      <c r="T65" s="314">
        <v>0</v>
      </c>
      <c r="U65" s="314">
        <v>-0.19314472304250291</v>
      </c>
      <c r="V65" s="309"/>
    </row>
    <row r="66" spans="1:23">
      <c r="A66" s="304"/>
      <c r="B66" s="50" t="s">
        <v>563</v>
      </c>
      <c r="C66" s="301">
        <v>0.39893993826848151</v>
      </c>
      <c r="D66" s="302">
        <v>0.33321470612390158</v>
      </c>
      <c r="E66" s="302">
        <v>0.72844919578587919</v>
      </c>
      <c r="F66" s="302">
        <v>0.85971483428283657</v>
      </c>
      <c r="G66" s="302">
        <v>0</v>
      </c>
      <c r="H66" s="302">
        <v>0.5532407407407407</v>
      </c>
      <c r="I66" s="302">
        <v>0.14319884680574696</v>
      </c>
      <c r="J66" s="303">
        <v>0.52796875679909494</v>
      </c>
      <c r="K66" s="303">
        <v>0</v>
      </c>
      <c r="L66" s="302">
        <v>0</v>
      </c>
      <c r="M66" s="302">
        <v>0</v>
      </c>
      <c r="N66" s="302">
        <v>0</v>
      </c>
      <c r="O66" s="303">
        <v>0</v>
      </c>
      <c r="P66" s="303">
        <v>0</v>
      </c>
      <c r="Q66" s="302">
        <v>0</v>
      </c>
      <c r="R66" s="303">
        <v>0</v>
      </c>
      <c r="S66" s="303">
        <v>0</v>
      </c>
      <c r="T66" s="303">
        <v>0</v>
      </c>
      <c r="U66" s="303">
        <v>0.52796875679909494</v>
      </c>
      <c r="V66" s="309"/>
    </row>
    <row r="67" spans="1:23">
      <c r="A67" s="304"/>
      <c r="B67" s="305" t="s">
        <v>564</v>
      </c>
      <c r="C67" s="306">
        <v>0.62439757295579312</v>
      </c>
      <c r="D67" s="307">
        <v>0.51561646827563612</v>
      </c>
      <c r="E67" s="307">
        <v>0.80447185813415578</v>
      </c>
      <c r="F67" s="307">
        <v>0.90790619463711975</v>
      </c>
      <c r="G67" s="307">
        <v>0</v>
      </c>
      <c r="H67" s="307">
        <v>0.6349928876244666</v>
      </c>
      <c r="I67" s="307">
        <v>0.36152619070872805</v>
      </c>
      <c r="J67" s="308">
        <v>0.67047169436008969</v>
      </c>
      <c r="K67" s="308">
        <v>0</v>
      </c>
      <c r="L67" s="307">
        <v>0</v>
      </c>
      <c r="M67" s="307">
        <v>0</v>
      </c>
      <c r="N67" s="307">
        <v>0</v>
      </c>
      <c r="O67" s="308">
        <v>0</v>
      </c>
      <c r="P67" s="308">
        <v>0</v>
      </c>
      <c r="Q67" s="307">
        <v>0</v>
      </c>
      <c r="R67" s="308">
        <v>0</v>
      </c>
      <c r="S67" s="308">
        <v>0</v>
      </c>
      <c r="T67" s="308">
        <v>0</v>
      </c>
      <c r="U67" s="308">
        <v>0.67047169436008969</v>
      </c>
      <c r="V67" s="309"/>
    </row>
    <row r="68" spans="1:23">
      <c r="A68" s="304"/>
      <c r="B68" s="310" t="s">
        <v>565</v>
      </c>
      <c r="C68" s="311">
        <v>22.54576346873116</v>
      </c>
      <c r="D68" s="312">
        <v>18.240176215173452</v>
      </c>
      <c r="E68" s="312">
        <v>7.6022662348276597</v>
      </c>
      <c r="F68" s="312">
        <v>4.8191360354283175</v>
      </c>
      <c r="G68" s="312">
        <v>0</v>
      </c>
      <c r="H68" s="312">
        <v>8.1752146883725896</v>
      </c>
      <c r="I68" s="312">
        <v>21.832734390298107</v>
      </c>
      <c r="J68" s="314">
        <v>14.250293756099474</v>
      </c>
      <c r="K68" s="314">
        <v>0</v>
      </c>
      <c r="L68" s="312">
        <v>0</v>
      </c>
      <c r="M68" s="312">
        <v>0</v>
      </c>
      <c r="N68" s="312">
        <v>0</v>
      </c>
      <c r="O68" s="314">
        <v>0</v>
      </c>
      <c r="P68" s="314">
        <v>0</v>
      </c>
      <c r="Q68" s="312">
        <v>0</v>
      </c>
      <c r="R68" s="314">
        <v>0</v>
      </c>
      <c r="S68" s="314">
        <v>0</v>
      </c>
      <c r="T68" s="314">
        <v>0</v>
      </c>
      <c r="U68" s="314">
        <v>14.250293756099474</v>
      </c>
      <c r="V68" s="309"/>
    </row>
    <row r="69" spans="1:23">
      <c r="A69" s="304"/>
      <c r="B69" s="50" t="s">
        <v>566</v>
      </c>
      <c r="C69" s="301">
        <v>1.0246420077923391E-3</v>
      </c>
      <c r="D69" s="302">
        <v>0</v>
      </c>
      <c r="E69" s="302">
        <v>1.3057565821384917E-2</v>
      </c>
      <c r="F69" s="302">
        <v>0</v>
      </c>
      <c r="G69" s="302">
        <v>0</v>
      </c>
      <c r="H69" s="302">
        <v>0</v>
      </c>
      <c r="I69" s="302">
        <v>0.10280536678863914</v>
      </c>
      <c r="J69" s="303">
        <v>2.3361690091814977E-2</v>
      </c>
      <c r="K69" s="303">
        <v>0</v>
      </c>
      <c r="L69" s="302">
        <v>0</v>
      </c>
      <c r="M69" s="302">
        <v>0</v>
      </c>
      <c r="N69" s="302">
        <v>0</v>
      </c>
      <c r="O69" s="303">
        <v>0</v>
      </c>
      <c r="P69" s="303">
        <v>0</v>
      </c>
      <c r="Q69" s="302">
        <v>0</v>
      </c>
      <c r="R69" s="303">
        <v>0</v>
      </c>
      <c r="S69" s="303">
        <v>0</v>
      </c>
      <c r="T69" s="303">
        <v>0</v>
      </c>
      <c r="U69" s="303">
        <v>2.3361690091814977E-2</v>
      </c>
      <c r="V69" s="309"/>
    </row>
    <row r="70" spans="1:23">
      <c r="A70" s="304"/>
      <c r="B70" s="305" t="s">
        <v>567</v>
      </c>
      <c r="C70" s="306">
        <v>8.3212944235770009E-4</v>
      </c>
      <c r="D70" s="307">
        <v>0</v>
      </c>
      <c r="E70" s="307">
        <v>1.8292212798766385E-2</v>
      </c>
      <c r="F70" s="307">
        <v>0</v>
      </c>
      <c r="G70" s="307">
        <v>0</v>
      </c>
      <c r="H70" s="307">
        <v>0</v>
      </c>
      <c r="I70" s="307">
        <v>3.6054953283198229E-2</v>
      </c>
      <c r="J70" s="308">
        <v>1.3616411834131205E-2</v>
      </c>
      <c r="K70" s="308">
        <v>0</v>
      </c>
      <c r="L70" s="307">
        <v>0</v>
      </c>
      <c r="M70" s="307">
        <v>0</v>
      </c>
      <c r="N70" s="307">
        <v>0</v>
      </c>
      <c r="O70" s="308">
        <v>0</v>
      </c>
      <c r="P70" s="308">
        <v>0</v>
      </c>
      <c r="Q70" s="307">
        <v>0</v>
      </c>
      <c r="R70" s="308">
        <v>0</v>
      </c>
      <c r="S70" s="308">
        <v>0</v>
      </c>
      <c r="T70" s="308">
        <v>0</v>
      </c>
      <c r="U70" s="308">
        <v>1.3616411834131205E-2</v>
      </c>
      <c r="V70" s="309"/>
    </row>
    <row r="71" spans="1:23">
      <c r="A71" s="304"/>
      <c r="B71" s="310" t="s">
        <v>568</v>
      </c>
      <c r="C71" s="311">
        <v>-1.9251256543463904E-2</v>
      </c>
      <c r="D71" s="312">
        <v>0</v>
      </c>
      <c r="E71" s="312">
        <v>0.52346469773814686</v>
      </c>
      <c r="F71" s="312">
        <v>0</v>
      </c>
      <c r="G71" s="312">
        <v>0</v>
      </c>
      <c r="H71" s="312">
        <v>0</v>
      </c>
      <c r="I71" s="312">
        <v>-6.6750413505440909</v>
      </c>
      <c r="J71" s="314">
        <v>-0.97452782576837715</v>
      </c>
      <c r="K71" s="314">
        <v>0</v>
      </c>
      <c r="L71" s="312">
        <v>0</v>
      </c>
      <c r="M71" s="312">
        <v>0</v>
      </c>
      <c r="N71" s="312">
        <v>0</v>
      </c>
      <c r="O71" s="314">
        <v>0</v>
      </c>
      <c r="P71" s="314">
        <v>0</v>
      </c>
      <c r="Q71" s="312">
        <v>0</v>
      </c>
      <c r="R71" s="314">
        <v>0</v>
      </c>
      <c r="S71" s="314">
        <v>0</v>
      </c>
      <c r="T71" s="314">
        <v>0</v>
      </c>
      <c r="U71" s="314">
        <v>-0.97452782576837715</v>
      </c>
      <c r="V71" s="309"/>
    </row>
    <row r="72" spans="1:23">
      <c r="A72" s="304"/>
      <c r="B72" s="50" t="s">
        <v>569</v>
      </c>
      <c r="C72" s="301">
        <v>3.7949703992308857E-5</v>
      </c>
      <c r="D72" s="302">
        <v>0</v>
      </c>
      <c r="E72" s="302">
        <v>1.067758354190515E-2</v>
      </c>
      <c r="F72" s="302">
        <v>0</v>
      </c>
      <c r="G72" s="302">
        <v>0</v>
      </c>
      <c r="H72" s="302">
        <v>0</v>
      </c>
      <c r="I72" s="302">
        <v>0</v>
      </c>
      <c r="J72" s="303">
        <v>4.498281188808146E-3</v>
      </c>
      <c r="K72" s="303">
        <v>0</v>
      </c>
      <c r="L72" s="302">
        <v>0</v>
      </c>
      <c r="M72" s="302">
        <v>0</v>
      </c>
      <c r="N72" s="302">
        <v>0</v>
      </c>
      <c r="O72" s="303">
        <v>0</v>
      </c>
      <c r="P72" s="303">
        <v>0</v>
      </c>
      <c r="Q72" s="302">
        <v>0</v>
      </c>
      <c r="R72" s="303">
        <v>0</v>
      </c>
      <c r="S72" s="303">
        <v>0</v>
      </c>
      <c r="T72" s="303">
        <v>0</v>
      </c>
      <c r="U72" s="303">
        <v>4.498281188808146E-3</v>
      </c>
      <c r="V72" s="309"/>
    </row>
    <row r="73" spans="1:23">
      <c r="A73" s="304"/>
      <c r="B73" s="305" t="s">
        <v>570</v>
      </c>
      <c r="C73" s="306">
        <v>0</v>
      </c>
      <c r="D73" s="307">
        <v>0</v>
      </c>
      <c r="E73" s="307">
        <v>1.9050372654844511E-2</v>
      </c>
      <c r="F73" s="307">
        <v>0</v>
      </c>
      <c r="G73" s="307">
        <v>0</v>
      </c>
      <c r="H73" s="307">
        <v>0.21706970128022759</v>
      </c>
      <c r="I73" s="307">
        <v>0</v>
      </c>
      <c r="J73" s="308">
        <v>9.8874139691548756E-3</v>
      </c>
      <c r="K73" s="308">
        <v>0</v>
      </c>
      <c r="L73" s="307">
        <v>0</v>
      </c>
      <c r="M73" s="307">
        <v>0</v>
      </c>
      <c r="N73" s="307">
        <v>0</v>
      </c>
      <c r="O73" s="308">
        <v>0</v>
      </c>
      <c r="P73" s="308">
        <v>0</v>
      </c>
      <c r="Q73" s="307">
        <v>0</v>
      </c>
      <c r="R73" s="308">
        <v>0</v>
      </c>
      <c r="S73" s="308">
        <v>0</v>
      </c>
      <c r="T73" s="308">
        <v>0</v>
      </c>
      <c r="U73" s="308">
        <v>9.8874139691548756E-3</v>
      </c>
      <c r="V73" s="309"/>
    </row>
    <row r="74" spans="1:23">
      <c r="A74" s="304"/>
      <c r="B74" s="310" t="s">
        <v>571</v>
      </c>
      <c r="C74" s="311">
        <v>-3.7949703992308857E-3</v>
      </c>
      <c r="D74" s="312">
        <v>0</v>
      </c>
      <c r="E74" s="312">
        <v>0.83727891129393617</v>
      </c>
      <c r="F74" s="312">
        <v>0</v>
      </c>
      <c r="G74" s="312">
        <v>0</v>
      </c>
      <c r="H74" s="312">
        <v>0</v>
      </c>
      <c r="I74" s="312">
        <v>0</v>
      </c>
      <c r="J74" s="314">
        <v>0.53891327803467293</v>
      </c>
      <c r="K74" s="314">
        <v>0</v>
      </c>
      <c r="L74" s="312">
        <v>0</v>
      </c>
      <c r="M74" s="312">
        <v>0</v>
      </c>
      <c r="N74" s="312">
        <v>0</v>
      </c>
      <c r="O74" s="314">
        <v>0</v>
      </c>
      <c r="P74" s="314">
        <v>0</v>
      </c>
      <c r="Q74" s="312">
        <v>0</v>
      </c>
      <c r="R74" s="314">
        <v>0</v>
      </c>
      <c r="S74" s="314">
        <v>0</v>
      </c>
      <c r="T74" s="314">
        <v>0</v>
      </c>
      <c r="U74" s="314">
        <v>0.53891327803467293</v>
      </c>
      <c r="V74" s="309"/>
    </row>
    <row r="75" spans="1:23">
      <c r="A75" s="304"/>
      <c r="B75" s="50" t="s">
        <v>572</v>
      </c>
      <c r="C75" s="301">
        <v>0</v>
      </c>
      <c r="D75" s="302">
        <v>0</v>
      </c>
      <c r="E75" s="302">
        <v>0</v>
      </c>
      <c r="F75" s="302">
        <v>0</v>
      </c>
      <c r="G75" s="302">
        <v>0</v>
      </c>
      <c r="H75" s="302">
        <v>0</v>
      </c>
      <c r="I75" s="302">
        <v>0</v>
      </c>
      <c r="J75" s="303">
        <v>0</v>
      </c>
      <c r="K75" s="303">
        <v>0</v>
      </c>
      <c r="L75" s="302">
        <v>0</v>
      </c>
      <c r="M75" s="302">
        <v>0</v>
      </c>
      <c r="N75" s="302">
        <v>0</v>
      </c>
      <c r="O75" s="303">
        <v>0</v>
      </c>
      <c r="P75" s="303">
        <v>0</v>
      </c>
      <c r="Q75" s="302">
        <v>0</v>
      </c>
      <c r="R75" s="303">
        <v>0</v>
      </c>
      <c r="S75" s="303">
        <v>0</v>
      </c>
      <c r="T75" s="303">
        <v>0</v>
      </c>
      <c r="U75" s="303">
        <v>0</v>
      </c>
      <c r="V75" s="309"/>
    </row>
    <row r="76" spans="1:23">
      <c r="A76" s="304"/>
      <c r="B76" s="305" t="s">
        <v>573</v>
      </c>
      <c r="C76" s="306">
        <v>0</v>
      </c>
      <c r="D76" s="307">
        <v>0</v>
      </c>
      <c r="E76" s="307">
        <v>0</v>
      </c>
      <c r="F76" s="307">
        <v>0</v>
      </c>
      <c r="G76" s="307">
        <v>0</v>
      </c>
      <c r="H76" s="307">
        <v>0</v>
      </c>
      <c r="I76" s="307">
        <v>0</v>
      </c>
      <c r="J76" s="308">
        <v>0</v>
      </c>
      <c r="K76" s="308">
        <v>0</v>
      </c>
      <c r="L76" s="307">
        <v>0</v>
      </c>
      <c r="M76" s="307">
        <v>0</v>
      </c>
      <c r="N76" s="307">
        <v>0</v>
      </c>
      <c r="O76" s="308">
        <v>0</v>
      </c>
      <c r="P76" s="308">
        <v>0</v>
      </c>
      <c r="Q76" s="307">
        <v>0</v>
      </c>
      <c r="R76" s="308">
        <v>0</v>
      </c>
      <c r="S76" s="308">
        <v>0</v>
      </c>
      <c r="T76" s="308">
        <v>0</v>
      </c>
      <c r="U76" s="308">
        <v>0</v>
      </c>
      <c r="V76" s="309"/>
      <c r="W76" s="326"/>
    </row>
    <row r="77" spans="1:23" ht="15.75" thickBot="1">
      <c r="A77" s="320"/>
      <c r="B77" s="321" t="s">
        <v>574</v>
      </c>
      <c r="C77" s="322">
        <v>0</v>
      </c>
      <c r="D77" s="323">
        <v>0</v>
      </c>
      <c r="E77" s="323">
        <v>0</v>
      </c>
      <c r="F77" s="323">
        <v>0</v>
      </c>
      <c r="G77" s="323">
        <v>0</v>
      </c>
      <c r="H77" s="323">
        <v>0</v>
      </c>
      <c r="I77" s="323">
        <v>0</v>
      </c>
      <c r="J77" s="324">
        <v>0</v>
      </c>
      <c r="K77" s="324">
        <v>0</v>
      </c>
      <c r="L77" s="323">
        <v>0</v>
      </c>
      <c r="M77" s="323">
        <v>0</v>
      </c>
      <c r="N77" s="323">
        <v>0</v>
      </c>
      <c r="O77" s="324">
        <v>0</v>
      </c>
      <c r="P77" s="324">
        <v>0</v>
      </c>
      <c r="Q77" s="323">
        <v>0</v>
      </c>
      <c r="R77" s="324">
        <v>0</v>
      </c>
      <c r="S77" s="324">
        <v>0</v>
      </c>
      <c r="T77" s="324">
        <v>0</v>
      </c>
      <c r="U77" s="324">
        <v>0</v>
      </c>
      <c r="V77" s="309"/>
    </row>
    <row r="78" spans="1:23">
      <c r="A78" s="300" t="s">
        <v>110</v>
      </c>
      <c r="B78" s="50" t="s">
        <v>539</v>
      </c>
      <c r="C78" s="301">
        <v>0.49079771965928087</v>
      </c>
      <c r="D78" s="302">
        <v>0</v>
      </c>
      <c r="E78" s="302">
        <v>0.7929631148163333</v>
      </c>
      <c r="F78" s="302">
        <v>0</v>
      </c>
      <c r="G78" s="302">
        <v>0</v>
      </c>
      <c r="H78" s="302">
        <v>0</v>
      </c>
      <c r="I78" s="302">
        <v>0</v>
      </c>
      <c r="J78" s="303">
        <v>0.54514159149440544</v>
      </c>
      <c r="K78" s="303">
        <v>0.74155805748893078</v>
      </c>
      <c r="L78" s="302">
        <v>0</v>
      </c>
      <c r="M78" s="302">
        <v>0</v>
      </c>
      <c r="N78" s="302">
        <v>0</v>
      </c>
      <c r="O78" s="303">
        <v>0.74155805748893078</v>
      </c>
      <c r="P78" s="303">
        <v>0</v>
      </c>
      <c r="Q78" s="302">
        <v>0</v>
      </c>
      <c r="R78" s="303">
        <v>0</v>
      </c>
      <c r="S78" s="303">
        <v>0</v>
      </c>
      <c r="T78" s="303">
        <v>0</v>
      </c>
      <c r="U78" s="303">
        <v>0.59363594573832346</v>
      </c>
      <c r="V78" s="309"/>
    </row>
    <row r="79" spans="1:23">
      <c r="A79" s="304"/>
      <c r="B79" s="305" t="s">
        <v>540</v>
      </c>
      <c r="C79" s="306">
        <v>0.39889733648859577</v>
      </c>
      <c r="D79" s="307">
        <v>0</v>
      </c>
      <c r="E79" s="307">
        <v>0.71896174778658151</v>
      </c>
      <c r="F79" s="307">
        <v>0</v>
      </c>
      <c r="G79" s="307">
        <v>0</v>
      </c>
      <c r="H79" s="307">
        <v>0</v>
      </c>
      <c r="I79" s="307">
        <v>0</v>
      </c>
      <c r="J79" s="308">
        <v>0.45585500320081235</v>
      </c>
      <c r="K79" s="308">
        <v>7.6725120561157392E-2</v>
      </c>
      <c r="L79" s="307">
        <v>0</v>
      </c>
      <c r="M79" s="307">
        <v>0</v>
      </c>
      <c r="N79" s="307">
        <v>0</v>
      </c>
      <c r="O79" s="308">
        <v>7.6725120561157392E-2</v>
      </c>
      <c r="P79" s="308">
        <v>0</v>
      </c>
      <c r="Q79" s="307">
        <v>0</v>
      </c>
      <c r="R79" s="308">
        <v>0</v>
      </c>
      <c r="S79" s="308">
        <v>0</v>
      </c>
      <c r="T79" s="308">
        <v>0</v>
      </c>
      <c r="U79" s="308">
        <v>0.36510248542368895</v>
      </c>
      <c r="V79" s="309"/>
    </row>
    <row r="80" spans="1:23">
      <c r="A80" s="304"/>
      <c r="B80" s="310" t="s">
        <v>541</v>
      </c>
      <c r="C80" s="311">
        <v>-9.1900383170685114</v>
      </c>
      <c r="D80" s="312">
        <v>0</v>
      </c>
      <c r="E80" s="312">
        <v>-7.4001367029751801</v>
      </c>
      <c r="F80" s="312">
        <v>0</v>
      </c>
      <c r="G80" s="312">
        <v>0</v>
      </c>
      <c r="H80" s="312">
        <v>0</v>
      </c>
      <c r="I80" s="312">
        <v>0</v>
      </c>
      <c r="J80" s="314">
        <v>-8.9286588293593088</v>
      </c>
      <c r="K80" s="314">
        <v>-66.483293692777337</v>
      </c>
      <c r="L80" s="312">
        <v>0</v>
      </c>
      <c r="M80" s="312">
        <v>0</v>
      </c>
      <c r="N80" s="312">
        <v>0</v>
      </c>
      <c r="O80" s="314">
        <v>-66.483293692777337</v>
      </c>
      <c r="P80" s="314">
        <v>0</v>
      </c>
      <c r="Q80" s="312">
        <v>0</v>
      </c>
      <c r="R80" s="314">
        <v>0</v>
      </c>
      <c r="S80" s="314">
        <v>0</v>
      </c>
      <c r="T80" s="314">
        <v>0</v>
      </c>
      <c r="U80" s="314">
        <v>-22.853346031463452</v>
      </c>
      <c r="V80" s="309"/>
    </row>
    <row r="81" spans="1:22">
      <c r="A81" s="304"/>
      <c r="B81" s="50" t="s">
        <v>542</v>
      </c>
      <c r="C81" s="301">
        <v>0</v>
      </c>
      <c r="D81" s="302">
        <v>0</v>
      </c>
      <c r="E81" s="302">
        <v>0</v>
      </c>
      <c r="F81" s="302">
        <v>0</v>
      </c>
      <c r="G81" s="302">
        <v>0</v>
      </c>
      <c r="H81" s="302">
        <v>0</v>
      </c>
      <c r="I81" s="302">
        <v>0</v>
      </c>
      <c r="J81" s="303">
        <v>0</v>
      </c>
      <c r="K81" s="303">
        <v>0</v>
      </c>
      <c r="L81" s="302">
        <v>0</v>
      </c>
      <c r="M81" s="302">
        <v>0</v>
      </c>
      <c r="N81" s="302">
        <v>0</v>
      </c>
      <c r="O81" s="303">
        <v>0</v>
      </c>
      <c r="P81" s="303">
        <v>0</v>
      </c>
      <c r="Q81" s="302">
        <v>0</v>
      </c>
      <c r="R81" s="303">
        <v>0</v>
      </c>
      <c r="S81" s="303">
        <v>0</v>
      </c>
      <c r="T81" s="303">
        <v>0</v>
      </c>
      <c r="U81" s="303">
        <v>0</v>
      </c>
      <c r="V81" s="309"/>
    </row>
    <row r="82" spans="1:22">
      <c r="A82" s="304"/>
      <c r="B82" s="305" t="s">
        <v>543</v>
      </c>
      <c r="C82" s="306">
        <v>0</v>
      </c>
      <c r="D82" s="307">
        <v>0</v>
      </c>
      <c r="E82" s="307">
        <v>0</v>
      </c>
      <c r="F82" s="307">
        <v>0</v>
      </c>
      <c r="G82" s="307">
        <v>0</v>
      </c>
      <c r="H82" s="307">
        <v>0</v>
      </c>
      <c r="I82" s="307">
        <v>0</v>
      </c>
      <c r="J82" s="308">
        <v>0</v>
      </c>
      <c r="K82" s="308">
        <v>0</v>
      </c>
      <c r="L82" s="307">
        <v>0</v>
      </c>
      <c r="M82" s="307">
        <v>0</v>
      </c>
      <c r="N82" s="307">
        <v>0</v>
      </c>
      <c r="O82" s="308">
        <v>0</v>
      </c>
      <c r="P82" s="308">
        <v>0</v>
      </c>
      <c r="Q82" s="307">
        <v>0</v>
      </c>
      <c r="R82" s="308">
        <v>0</v>
      </c>
      <c r="S82" s="308">
        <v>0</v>
      </c>
      <c r="T82" s="308">
        <v>0</v>
      </c>
      <c r="U82" s="308">
        <v>0</v>
      </c>
      <c r="V82" s="309"/>
    </row>
    <row r="83" spans="1:22">
      <c r="A83" s="304"/>
      <c r="B83" s="310" t="s">
        <v>544</v>
      </c>
      <c r="C83" s="311">
        <v>0</v>
      </c>
      <c r="D83" s="312">
        <v>0</v>
      </c>
      <c r="E83" s="312">
        <v>0</v>
      </c>
      <c r="F83" s="312">
        <v>0</v>
      </c>
      <c r="G83" s="312">
        <v>0</v>
      </c>
      <c r="H83" s="312">
        <v>0</v>
      </c>
      <c r="I83" s="312">
        <v>0</v>
      </c>
      <c r="J83" s="314">
        <v>0</v>
      </c>
      <c r="K83" s="314">
        <v>0</v>
      </c>
      <c r="L83" s="312">
        <v>0</v>
      </c>
      <c r="M83" s="312">
        <v>0</v>
      </c>
      <c r="N83" s="312">
        <v>0</v>
      </c>
      <c r="O83" s="314">
        <v>0</v>
      </c>
      <c r="P83" s="314">
        <v>0</v>
      </c>
      <c r="Q83" s="312">
        <v>0</v>
      </c>
      <c r="R83" s="314">
        <v>0</v>
      </c>
      <c r="S83" s="314">
        <v>0</v>
      </c>
      <c r="T83" s="314">
        <v>0</v>
      </c>
      <c r="U83" s="314">
        <v>0</v>
      </c>
      <c r="V83" s="309"/>
    </row>
    <row r="84" spans="1:22">
      <c r="A84" s="304"/>
      <c r="B84" s="50" t="s">
        <v>545</v>
      </c>
      <c r="C84" s="301">
        <v>0.50920228034071913</v>
      </c>
      <c r="D84" s="302">
        <v>0</v>
      </c>
      <c r="E84" s="302">
        <v>0.20703688518366664</v>
      </c>
      <c r="F84" s="302">
        <v>0</v>
      </c>
      <c r="G84" s="302">
        <v>0</v>
      </c>
      <c r="H84" s="302">
        <v>0</v>
      </c>
      <c r="I84" s="302">
        <v>0</v>
      </c>
      <c r="J84" s="303">
        <v>0.45485840850559456</v>
      </c>
      <c r="K84" s="303">
        <v>0.24750396741099878</v>
      </c>
      <c r="L84" s="302">
        <v>0</v>
      </c>
      <c r="M84" s="302">
        <v>0</v>
      </c>
      <c r="N84" s="302">
        <v>0</v>
      </c>
      <c r="O84" s="303">
        <v>0.24750396741099878</v>
      </c>
      <c r="P84" s="303">
        <v>0</v>
      </c>
      <c r="Q84" s="302">
        <v>0</v>
      </c>
      <c r="R84" s="303">
        <v>0</v>
      </c>
      <c r="S84" s="303">
        <v>0</v>
      </c>
      <c r="T84" s="303">
        <v>0</v>
      </c>
      <c r="U84" s="303">
        <v>0.40366351672513034</v>
      </c>
      <c r="V84" s="309"/>
    </row>
    <row r="85" spans="1:22">
      <c r="A85" s="304"/>
      <c r="B85" s="305" t="s">
        <v>546</v>
      </c>
      <c r="C85" s="306">
        <v>0.60110266351140429</v>
      </c>
      <c r="D85" s="307">
        <v>0</v>
      </c>
      <c r="E85" s="307">
        <v>0.28103825221341849</v>
      </c>
      <c r="F85" s="307">
        <v>0</v>
      </c>
      <c r="G85" s="307">
        <v>0</v>
      </c>
      <c r="H85" s="307">
        <v>0</v>
      </c>
      <c r="I85" s="307">
        <v>0</v>
      </c>
      <c r="J85" s="308">
        <v>0.54414499679918771</v>
      </c>
      <c r="K85" s="308">
        <v>0.75735642262165714</v>
      </c>
      <c r="L85" s="307">
        <v>0</v>
      </c>
      <c r="M85" s="307">
        <v>0</v>
      </c>
      <c r="N85" s="307">
        <v>0</v>
      </c>
      <c r="O85" s="308">
        <v>0.75735642262165714</v>
      </c>
      <c r="P85" s="308">
        <v>0</v>
      </c>
      <c r="Q85" s="307">
        <v>0</v>
      </c>
      <c r="R85" s="308">
        <v>0</v>
      </c>
      <c r="S85" s="308">
        <v>0</v>
      </c>
      <c r="T85" s="308">
        <v>0</v>
      </c>
      <c r="U85" s="308">
        <v>0.59518152701812121</v>
      </c>
      <c r="V85" s="309"/>
    </row>
    <row r="86" spans="1:22">
      <c r="A86" s="304"/>
      <c r="B86" s="310" t="s">
        <v>547</v>
      </c>
      <c r="C86" s="311">
        <v>9.1900383170685167</v>
      </c>
      <c r="D86" s="312">
        <v>0</v>
      </c>
      <c r="E86" s="312">
        <v>7.4001367029751854</v>
      </c>
      <c r="F86" s="312">
        <v>0</v>
      </c>
      <c r="G86" s="312">
        <v>0</v>
      </c>
      <c r="H86" s="312">
        <v>0</v>
      </c>
      <c r="I86" s="312">
        <v>0</v>
      </c>
      <c r="J86" s="314">
        <v>8.9286588293593141</v>
      </c>
      <c r="K86" s="314">
        <v>50.985245521065835</v>
      </c>
      <c r="L86" s="312">
        <v>0</v>
      </c>
      <c r="M86" s="312">
        <v>0</v>
      </c>
      <c r="N86" s="312">
        <v>0</v>
      </c>
      <c r="O86" s="314">
        <v>50.985245521065835</v>
      </c>
      <c r="P86" s="314">
        <v>0</v>
      </c>
      <c r="Q86" s="312">
        <v>0</v>
      </c>
      <c r="R86" s="314">
        <v>0</v>
      </c>
      <c r="S86" s="314">
        <v>0</v>
      </c>
      <c r="T86" s="314">
        <v>0</v>
      </c>
      <c r="U86" s="314">
        <v>19.151801029299087</v>
      </c>
      <c r="V86" s="309"/>
    </row>
    <row r="87" spans="1:22">
      <c r="A87" s="304"/>
      <c r="B87" s="50" t="s">
        <v>548</v>
      </c>
      <c r="C87" s="301">
        <v>0</v>
      </c>
      <c r="D87" s="302">
        <v>0</v>
      </c>
      <c r="E87" s="302">
        <v>0</v>
      </c>
      <c r="F87" s="302">
        <v>0</v>
      </c>
      <c r="G87" s="302">
        <v>0</v>
      </c>
      <c r="H87" s="302">
        <v>0</v>
      </c>
      <c r="I87" s="302">
        <v>0</v>
      </c>
      <c r="J87" s="303">
        <v>0</v>
      </c>
      <c r="K87" s="303">
        <v>4.0777904124024806E-3</v>
      </c>
      <c r="L87" s="302">
        <v>0</v>
      </c>
      <c r="M87" s="302">
        <v>0</v>
      </c>
      <c r="N87" s="302">
        <v>0</v>
      </c>
      <c r="O87" s="303">
        <v>4.0777904124024806E-3</v>
      </c>
      <c r="P87" s="303">
        <v>0</v>
      </c>
      <c r="Q87" s="302">
        <v>0</v>
      </c>
      <c r="R87" s="303">
        <v>0</v>
      </c>
      <c r="S87" s="303">
        <v>0</v>
      </c>
      <c r="T87" s="303">
        <v>0</v>
      </c>
      <c r="U87" s="303">
        <v>1.0067883656811659E-3</v>
      </c>
      <c r="V87" s="309"/>
    </row>
    <row r="88" spans="1:22">
      <c r="A88" s="304"/>
      <c r="B88" s="305" t="s">
        <v>549</v>
      </c>
      <c r="C88" s="306">
        <v>0</v>
      </c>
      <c r="D88" s="307">
        <v>0</v>
      </c>
      <c r="E88" s="307">
        <v>0</v>
      </c>
      <c r="F88" s="307">
        <v>0</v>
      </c>
      <c r="G88" s="307">
        <v>0</v>
      </c>
      <c r="H88" s="307">
        <v>0</v>
      </c>
      <c r="I88" s="307">
        <v>0</v>
      </c>
      <c r="J88" s="308">
        <v>0</v>
      </c>
      <c r="K88" s="308">
        <v>0</v>
      </c>
      <c r="L88" s="307">
        <v>0</v>
      </c>
      <c r="M88" s="307">
        <v>0</v>
      </c>
      <c r="N88" s="307">
        <v>0</v>
      </c>
      <c r="O88" s="308">
        <v>0</v>
      </c>
      <c r="P88" s="308">
        <v>0</v>
      </c>
      <c r="Q88" s="307">
        <v>0</v>
      </c>
      <c r="R88" s="308">
        <v>0</v>
      </c>
      <c r="S88" s="308">
        <v>0</v>
      </c>
      <c r="T88" s="308">
        <v>0</v>
      </c>
      <c r="U88" s="308">
        <v>0</v>
      </c>
      <c r="V88" s="309"/>
    </row>
    <row r="89" spans="1:22">
      <c r="A89" s="304"/>
      <c r="B89" s="310" t="s">
        <v>550</v>
      </c>
      <c r="C89" s="311">
        <v>0</v>
      </c>
      <c r="D89" s="312">
        <v>0</v>
      </c>
      <c r="E89" s="312">
        <v>0</v>
      </c>
      <c r="F89" s="312">
        <v>0</v>
      </c>
      <c r="G89" s="312">
        <v>0</v>
      </c>
      <c r="H89" s="312">
        <v>0</v>
      </c>
      <c r="I89" s="312">
        <v>0</v>
      </c>
      <c r="J89" s="314">
        <v>0</v>
      </c>
      <c r="K89" s="314">
        <v>-0.40777904124024805</v>
      </c>
      <c r="L89" s="312">
        <v>0</v>
      </c>
      <c r="M89" s="312">
        <v>0</v>
      </c>
      <c r="N89" s="312">
        <v>0</v>
      </c>
      <c r="O89" s="314">
        <v>-0.40777904124024805</v>
      </c>
      <c r="P89" s="314">
        <v>0</v>
      </c>
      <c r="Q89" s="312">
        <v>0</v>
      </c>
      <c r="R89" s="314">
        <v>0</v>
      </c>
      <c r="S89" s="314">
        <v>0</v>
      </c>
      <c r="T89" s="314">
        <v>0</v>
      </c>
      <c r="U89" s="314">
        <v>-0.10067883656811659</v>
      </c>
      <c r="V89" s="309"/>
    </row>
    <row r="90" spans="1:22">
      <c r="A90" s="304"/>
      <c r="B90" s="50" t="s">
        <v>551</v>
      </c>
      <c r="C90" s="301">
        <v>0</v>
      </c>
      <c r="D90" s="302">
        <v>0</v>
      </c>
      <c r="E90" s="302">
        <v>0</v>
      </c>
      <c r="F90" s="302">
        <v>0</v>
      </c>
      <c r="G90" s="302">
        <v>0</v>
      </c>
      <c r="H90" s="302">
        <v>0</v>
      </c>
      <c r="I90" s="302">
        <v>0</v>
      </c>
      <c r="J90" s="303">
        <v>0</v>
      </c>
      <c r="K90" s="303">
        <v>6.8601846876679123E-3</v>
      </c>
      <c r="L90" s="302">
        <v>0</v>
      </c>
      <c r="M90" s="302">
        <v>0</v>
      </c>
      <c r="N90" s="302">
        <v>0</v>
      </c>
      <c r="O90" s="303">
        <v>6.8601846876679123E-3</v>
      </c>
      <c r="P90" s="303">
        <v>0</v>
      </c>
      <c r="Q90" s="302">
        <v>0</v>
      </c>
      <c r="R90" s="303">
        <v>0</v>
      </c>
      <c r="S90" s="303">
        <v>0</v>
      </c>
      <c r="T90" s="303">
        <v>0</v>
      </c>
      <c r="U90" s="303">
        <v>1.6937491708650461E-3</v>
      </c>
      <c r="V90" s="309"/>
    </row>
    <row r="91" spans="1:22">
      <c r="A91" s="304"/>
      <c r="B91" s="305" t="s">
        <v>552</v>
      </c>
      <c r="C91" s="306">
        <v>0</v>
      </c>
      <c r="D91" s="307">
        <v>0</v>
      </c>
      <c r="E91" s="307">
        <v>0</v>
      </c>
      <c r="F91" s="307">
        <v>0</v>
      </c>
      <c r="G91" s="307">
        <v>0</v>
      </c>
      <c r="H91" s="307">
        <v>0</v>
      </c>
      <c r="I91" s="307">
        <v>0</v>
      </c>
      <c r="J91" s="308">
        <v>0</v>
      </c>
      <c r="K91" s="308">
        <v>0.16591845681718545</v>
      </c>
      <c r="L91" s="307">
        <v>0</v>
      </c>
      <c r="M91" s="307">
        <v>0</v>
      </c>
      <c r="N91" s="307">
        <v>0</v>
      </c>
      <c r="O91" s="308">
        <v>0.16591845681718545</v>
      </c>
      <c r="P91" s="308">
        <v>0</v>
      </c>
      <c r="Q91" s="307">
        <v>0</v>
      </c>
      <c r="R91" s="308">
        <v>0</v>
      </c>
      <c r="S91" s="308">
        <v>0</v>
      </c>
      <c r="T91" s="308">
        <v>0</v>
      </c>
      <c r="U91" s="308">
        <v>3.9715987558189808E-2</v>
      </c>
      <c r="V91" s="309"/>
    </row>
    <row r="92" spans="1:22">
      <c r="A92" s="304"/>
      <c r="B92" s="310" t="s">
        <v>553</v>
      </c>
      <c r="C92" s="311">
        <v>0</v>
      </c>
      <c r="D92" s="312">
        <v>0</v>
      </c>
      <c r="E92" s="312">
        <v>0</v>
      </c>
      <c r="F92" s="312">
        <v>0</v>
      </c>
      <c r="G92" s="312">
        <v>0</v>
      </c>
      <c r="H92" s="312">
        <v>0</v>
      </c>
      <c r="I92" s="312">
        <v>0</v>
      </c>
      <c r="J92" s="314">
        <v>0</v>
      </c>
      <c r="K92" s="314">
        <v>15.905827212951754</v>
      </c>
      <c r="L92" s="312">
        <v>0</v>
      </c>
      <c r="M92" s="312">
        <v>0</v>
      </c>
      <c r="N92" s="312">
        <v>0</v>
      </c>
      <c r="O92" s="314">
        <v>15.905827212951754</v>
      </c>
      <c r="P92" s="314">
        <v>0</v>
      </c>
      <c r="Q92" s="312">
        <v>0</v>
      </c>
      <c r="R92" s="314">
        <v>0</v>
      </c>
      <c r="S92" s="314">
        <v>0</v>
      </c>
      <c r="T92" s="314">
        <v>0</v>
      </c>
      <c r="U92" s="314">
        <v>3.802223838732476</v>
      </c>
      <c r="V92" s="309"/>
    </row>
    <row r="93" spans="1:22">
      <c r="A93" s="304"/>
      <c r="B93" s="50" t="s">
        <v>554</v>
      </c>
      <c r="C93" s="301">
        <v>0</v>
      </c>
      <c r="D93" s="302">
        <v>0</v>
      </c>
      <c r="E93" s="302">
        <v>0</v>
      </c>
      <c r="F93" s="302">
        <v>0</v>
      </c>
      <c r="G93" s="302">
        <v>0</v>
      </c>
      <c r="H93" s="302">
        <v>0</v>
      </c>
      <c r="I93" s="302">
        <v>0</v>
      </c>
      <c r="J93" s="303">
        <v>0</v>
      </c>
      <c r="K93" s="303">
        <v>0</v>
      </c>
      <c r="L93" s="302">
        <v>0</v>
      </c>
      <c r="M93" s="302">
        <v>0</v>
      </c>
      <c r="N93" s="302">
        <v>0</v>
      </c>
      <c r="O93" s="303">
        <v>0</v>
      </c>
      <c r="P93" s="303">
        <v>0</v>
      </c>
      <c r="Q93" s="302">
        <v>0</v>
      </c>
      <c r="R93" s="303">
        <v>0</v>
      </c>
      <c r="S93" s="303">
        <v>0</v>
      </c>
      <c r="T93" s="303">
        <v>0</v>
      </c>
      <c r="U93" s="303">
        <v>0</v>
      </c>
      <c r="V93" s="309"/>
    </row>
    <row r="94" spans="1:22">
      <c r="A94" s="304"/>
      <c r="B94" s="305" t="s">
        <v>555</v>
      </c>
      <c r="C94" s="306">
        <v>0</v>
      </c>
      <c r="D94" s="307">
        <v>0</v>
      </c>
      <c r="E94" s="307">
        <v>0</v>
      </c>
      <c r="F94" s="307">
        <v>0</v>
      </c>
      <c r="G94" s="307">
        <v>0</v>
      </c>
      <c r="H94" s="307">
        <v>0</v>
      </c>
      <c r="I94" s="307">
        <v>0</v>
      </c>
      <c r="J94" s="308">
        <v>0</v>
      </c>
      <c r="K94" s="308">
        <v>0</v>
      </c>
      <c r="L94" s="307">
        <v>0</v>
      </c>
      <c r="M94" s="307">
        <v>0</v>
      </c>
      <c r="N94" s="307">
        <v>0</v>
      </c>
      <c r="O94" s="308">
        <v>0</v>
      </c>
      <c r="P94" s="308">
        <v>0</v>
      </c>
      <c r="Q94" s="307">
        <v>0</v>
      </c>
      <c r="R94" s="308">
        <v>0</v>
      </c>
      <c r="S94" s="308">
        <v>0</v>
      </c>
      <c r="T94" s="308">
        <v>0</v>
      </c>
      <c r="U94" s="308">
        <v>0</v>
      </c>
      <c r="V94" s="309"/>
    </row>
    <row r="95" spans="1:22" ht="15.75" thickBot="1">
      <c r="A95" s="304"/>
      <c r="B95" s="316" t="s">
        <v>556</v>
      </c>
      <c r="C95" s="317">
        <v>0</v>
      </c>
      <c r="D95" s="318">
        <v>0</v>
      </c>
      <c r="E95" s="318">
        <v>0</v>
      </c>
      <c r="F95" s="318">
        <v>0</v>
      </c>
      <c r="G95" s="318">
        <v>0</v>
      </c>
      <c r="H95" s="318">
        <v>0</v>
      </c>
      <c r="I95" s="318">
        <v>0</v>
      </c>
      <c r="J95" s="319">
        <v>0</v>
      </c>
      <c r="K95" s="319">
        <v>0</v>
      </c>
      <c r="L95" s="318">
        <v>0</v>
      </c>
      <c r="M95" s="318">
        <v>0</v>
      </c>
      <c r="N95" s="318">
        <v>0</v>
      </c>
      <c r="O95" s="319">
        <v>0</v>
      </c>
      <c r="P95" s="319">
        <v>0</v>
      </c>
      <c r="Q95" s="318">
        <v>0</v>
      </c>
      <c r="R95" s="319">
        <v>0</v>
      </c>
      <c r="S95" s="319">
        <v>0</v>
      </c>
      <c r="T95" s="319">
        <v>0</v>
      </c>
      <c r="U95" s="319">
        <v>0</v>
      </c>
      <c r="V95" s="309"/>
    </row>
    <row r="96" spans="1:22" ht="15.75" thickTop="1">
      <c r="A96" s="304"/>
      <c r="B96" s="305" t="s">
        <v>557</v>
      </c>
      <c r="C96" s="306">
        <v>0.49689041389663308</v>
      </c>
      <c r="D96" s="307">
        <v>0</v>
      </c>
      <c r="E96" s="307">
        <v>0.54222792388283092</v>
      </c>
      <c r="F96" s="307">
        <v>0</v>
      </c>
      <c r="G96" s="307">
        <v>0</v>
      </c>
      <c r="H96" s="307">
        <v>0</v>
      </c>
      <c r="I96" s="307">
        <v>0</v>
      </c>
      <c r="J96" s="308">
        <v>0.50194135442223864</v>
      </c>
      <c r="K96" s="308">
        <v>0</v>
      </c>
      <c r="L96" s="307">
        <v>0</v>
      </c>
      <c r="M96" s="307">
        <v>0</v>
      </c>
      <c r="N96" s="307">
        <v>0</v>
      </c>
      <c r="O96" s="308">
        <v>0</v>
      </c>
      <c r="P96" s="308">
        <v>0</v>
      </c>
      <c r="Q96" s="307">
        <v>0</v>
      </c>
      <c r="R96" s="308">
        <v>0</v>
      </c>
      <c r="S96" s="308">
        <v>0</v>
      </c>
      <c r="T96" s="308">
        <v>0</v>
      </c>
      <c r="U96" s="308">
        <v>0.50194135442223864</v>
      </c>
      <c r="V96" s="309"/>
    </row>
    <row r="97" spans="1:22">
      <c r="A97" s="304"/>
      <c r="B97" s="305" t="s">
        <v>558</v>
      </c>
      <c r="C97" s="306">
        <v>0.43756063545961676</v>
      </c>
      <c r="D97" s="307">
        <v>0</v>
      </c>
      <c r="E97" s="307">
        <v>0.41807832110280502</v>
      </c>
      <c r="F97" s="307">
        <v>0</v>
      </c>
      <c r="G97" s="307">
        <v>0</v>
      </c>
      <c r="H97" s="307">
        <v>0</v>
      </c>
      <c r="I97" s="307">
        <v>0</v>
      </c>
      <c r="J97" s="308">
        <v>0.43403394207252727</v>
      </c>
      <c r="K97" s="308">
        <v>0</v>
      </c>
      <c r="L97" s="307">
        <v>0</v>
      </c>
      <c r="M97" s="307">
        <v>0</v>
      </c>
      <c r="N97" s="307">
        <v>0</v>
      </c>
      <c r="O97" s="308">
        <v>0</v>
      </c>
      <c r="P97" s="308">
        <v>0</v>
      </c>
      <c r="Q97" s="307">
        <v>0</v>
      </c>
      <c r="R97" s="308">
        <v>0</v>
      </c>
      <c r="S97" s="308">
        <v>0</v>
      </c>
      <c r="T97" s="308">
        <v>0</v>
      </c>
      <c r="U97" s="308">
        <v>0.43403394207252727</v>
      </c>
      <c r="V97" s="309"/>
    </row>
    <row r="98" spans="1:22">
      <c r="A98" s="304"/>
      <c r="B98" s="310" t="s">
        <v>559</v>
      </c>
      <c r="C98" s="311">
        <v>-5.9329778437016314</v>
      </c>
      <c r="D98" s="312">
        <v>0</v>
      </c>
      <c r="E98" s="312">
        <v>-12.41496027800259</v>
      </c>
      <c r="F98" s="312">
        <v>0</v>
      </c>
      <c r="G98" s="312">
        <v>0</v>
      </c>
      <c r="H98" s="312">
        <v>0</v>
      </c>
      <c r="I98" s="312">
        <v>0</v>
      </c>
      <c r="J98" s="314">
        <v>-6.7907412349711374</v>
      </c>
      <c r="K98" s="314">
        <v>0</v>
      </c>
      <c r="L98" s="312">
        <v>0</v>
      </c>
      <c r="M98" s="312">
        <v>0</v>
      </c>
      <c r="N98" s="312">
        <v>0</v>
      </c>
      <c r="O98" s="314">
        <v>0</v>
      </c>
      <c r="P98" s="314">
        <v>0</v>
      </c>
      <c r="Q98" s="312">
        <v>0</v>
      </c>
      <c r="R98" s="314">
        <v>0</v>
      </c>
      <c r="S98" s="314">
        <v>0</v>
      </c>
      <c r="T98" s="314">
        <v>0</v>
      </c>
      <c r="U98" s="314">
        <v>-6.7907412349711374</v>
      </c>
      <c r="V98" s="309"/>
    </row>
    <row r="99" spans="1:22">
      <c r="A99" s="304"/>
      <c r="B99" s="50" t="s">
        <v>560</v>
      </c>
      <c r="C99" s="301">
        <v>0</v>
      </c>
      <c r="D99" s="302">
        <v>0</v>
      </c>
      <c r="E99" s="302">
        <v>0</v>
      </c>
      <c r="F99" s="302">
        <v>0</v>
      </c>
      <c r="G99" s="302">
        <v>0</v>
      </c>
      <c r="H99" s="302">
        <v>0</v>
      </c>
      <c r="I99" s="302">
        <v>0</v>
      </c>
      <c r="J99" s="303">
        <v>0</v>
      </c>
      <c r="K99" s="303">
        <v>0</v>
      </c>
      <c r="L99" s="302">
        <v>0</v>
      </c>
      <c r="M99" s="302">
        <v>0</v>
      </c>
      <c r="N99" s="302">
        <v>0</v>
      </c>
      <c r="O99" s="303">
        <v>0</v>
      </c>
      <c r="P99" s="303">
        <v>0</v>
      </c>
      <c r="Q99" s="302">
        <v>0</v>
      </c>
      <c r="R99" s="303">
        <v>0</v>
      </c>
      <c r="S99" s="303">
        <v>0</v>
      </c>
      <c r="T99" s="303">
        <v>0</v>
      </c>
      <c r="U99" s="303">
        <v>0</v>
      </c>
      <c r="V99" s="309"/>
    </row>
    <row r="100" spans="1:22">
      <c r="A100" s="304"/>
      <c r="B100" s="305" t="s">
        <v>561</v>
      </c>
      <c r="C100" s="306">
        <v>0</v>
      </c>
      <c r="D100" s="307">
        <v>0</v>
      </c>
      <c r="E100" s="307">
        <v>0</v>
      </c>
      <c r="F100" s="307">
        <v>0</v>
      </c>
      <c r="G100" s="307">
        <v>0</v>
      </c>
      <c r="H100" s="307">
        <v>0</v>
      </c>
      <c r="I100" s="307">
        <v>0</v>
      </c>
      <c r="J100" s="308">
        <v>0</v>
      </c>
      <c r="K100" s="308">
        <v>0</v>
      </c>
      <c r="L100" s="307">
        <v>0</v>
      </c>
      <c r="M100" s="307">
        <v>0</v>
      </c>
      <c r="N100" s="307">
        <v>0</v>
      </c>
      <c r="O100" s="308">
        <v>0</v>
      </c>
      <c r="P100" s="308">
        <v>0</v>
      </c>
      <c r="Q100" s="307">
        <v>0</v>
      </c>
      <c r="R100" s="308">
        <v>0</v>
      </c>
      <c r="S100" s="308">
        <v>0</v>
      </c>
      <c r="T100" s="308">
        <v>0</v>
      </c>
      <c r="U100" s="308">
        <v>0</v>
      </c>
      <c r="V100" s="309"/>
    </row>
    <row r="101" spans="1:22">
      <c r="A101" s="304"/>
      <c r="B101" s="310" t="s">
        <v>562</v>
      </c>
      <c r="C101" s="311">
        <v>0</v>
      </c>
      <c r="D101" s="312">
        <v>0</v>
      </c>
      <c r="E101" s="312">
        <v>0</v>
      </c>
      <c r="F101" s="312">
        <v>0</v>
      </c>
      <c r="G101" s="312">
        <v>0</v>
      </c>
      <c r="H101" s="312">
        <v>0</v>
      </c>
      <c r="I101" s="312">
        <v>0</v>
      </c>
      <c r="J101" s="314">
        <v>0</v>
      </c>
      <c r="K101" s="314">
        <v>0</v>
      </c>
      <c r="L101" s="312">
        <v>0</v>
      </c>
      <c r="M101" s="312">
        <v>0</v>
      </c>
      <c r="N101" s="312">
        <v>0</v>
      </c>
      <c r="O101" s="314">
        <v>0</v>
      </c>
      <c r="P101" s="314">
        <v>0</v>
      </c>
      <c r="Q101" s="312">
        <v>0</v>
      </c>
      <c r="R101" s="314">
        <v>0</v>
      </c>
      <c r="S101" s="314">
        <v>0</v>
      </c>
      <c r="T101" s="314">
        <v>0</v>
      </c>
      <c r="U101" s="314">
        <v>0</v>
      </c>
      <c r="V101" s="309"/>
    </row>
    <row r="102" spans="1:22">
      <c r="A102" s="304"/>
      <c r="B102" s="50" t="s">
        <v>563</v>
      </c>
      <c r="C102" s="301">
        <v>0.50310958610336698</v>
      </c>
      <c r="D102" s="302">
        <v>0</v>
      </c>
      <c r="E102" s="302">
        <v>0.45777207611716914</v>
      </c>
      <c r="F102" s="302">
        <v>0</v>
      </c>
      <c r="G102" s="302">
        <v>0</v>
      </c>
      <c r="H102" s="302">
        <v>0</v>
      </c>
      <c r="I102" s="302">
        <v>0</v>
      </c>
      <c r="J102" s="303">
        <v>0.49805864557776136</v>
      </c>
      <c r="K102" s="303">
        <v>0</v>
      </c>
      <c r="L102" s="302">
        <v>0</v>
      </c>
      <c r="M102" s="302">
        <v>0</v>
      </c>
      <c r="N102" s="302">
        <v>0</v>
      </c>
      <c r="O102" s="303">
        <v>0</v>
      </c>
      <c r="P102" s="303">
        <v>0</v>
      </c>
      <c r="Q102" s="302">
        <v>0</v>
      </c>
      <c r="R102" s="303">
        <v>0</v>
      </c>
      <c r="S102" s="303">
        <v>0</v>
      </c>
      <c r="T102" s="303">
        <v>0</v>
      </c>
      <c r="U102" s="303">
        <v>0.49805864557776136</v>
      </c>
      <c r="V102" s="309"/>
    </row>
    <row r="103" spans="1:22">
      <c r="A103" s="304"/>
      <c r="B103" s="305" t="s">
        <v>564</v>
      </c>
      <c r="C103" s="306">
        <v>0.56243936454038324</v>
      </c>
      <c r="D103" s="307">
        <v>0</v>
      </c>
      <c r="E103" s="307">
        <v>0.58192167889719493</v>
      </c>
      <c r="F103" s="307">
        <v>0</v>
      </c>
      <c r="G103" s="307">
        <v>0</v>
      </c>
      <c r="H103" s="307">
        <v>0</v>
      </c>
      <c r="I103" s="307">
        <v>0</v>
      </c>
      <c r="J103" s="308">
        <v>0.56596605792747268</v>
      </c>
      <c r="K103" s="308">
        <v>0</v>
      </c>
      <c r="L103" s="307">
        <v>0</v>
      </c>
      <c r="M103" s="307">
        <v>0</v>
      </c>
      <c r="N103" s="307">
        <v>0</v>
      </c>
      <c r="O103" s="308">
        <v>0</v>
      </c>
      <c r="P103" s="308">
        <v>0</v>
      </c>
      <c r="Q103" s="307">
        <v>0</v>
      </c>
      <c r="R103" s="308">
        <v>0</v>
      </c>
      <c r="S103" s="308">
        <v>0</v>
      </c>
      <c r="T103" s="308">
        <v>0</v>
      </c>
      <c r="U103" s="308">
        <v>0.56596605792747268</v>
      </c>
      <c r="V103" s="309"/>
    </row>
    <row r="104" spans="1:22">
      <c r="A104" s="304"/>
      <c r="B104" s="310" t="s">
        <v>565</v>
      </c>
      <c r="C104" s="311">
        <v>5.9329778437016252</v>
      </c>
      <c r="D104" s="312">
        <v>0</v>
      </c>
      <c r="E104" s="312">
        <v>12.41496027800258</v>
      </c>
      <c r="F104" s="312">
        <v>0</v>
      </c>
      <c r="G104" s="312">
        <v>0</v>
      </c>
      <c r="H104" s="312">
        <v>0</v>
      </c>
      <c r="I104" s="312">
        <v>0</v>
      </c>
      <c r="J104" s="314">
        <v>6.7907412349711311</v>
      </c>
      <c r="K104" s="314">
        <v>0</v>
      </c>
      <c r="L104" s="312">
        <v>0</v>
      </c>
      <c r="M104" s="312">
        <v>0</v>
      </c>
      <c r="N104" s="312">
        <v>0</v>
      </c>
      <c r="O104" s="314">
        <v>0</v>
      </c>
      <c r="P104" s="314">
        <v>0</v>
      </c>
      <c r="Q104" s="312">
        <v>0</v>
      </c>
      <c r="R104" s="314">
        <v>0</v>
      </c>
      <c r="S104" s="314">
        <v>0</v>
      </c>
      <c r="T104" s="314">
        <v>0</v>
      </c>
      <c r="U104" s="314">
        <v>6.7907412349711311</v>
      </c>
      <c r="V104" s="309"/>
    </row>
    <row r="105" spans="1:22">
      <c r="A105" s="304"/>
      <c r="B105" s="50" t="s">
        <v>566</v>
      </c>
      <c r="C105" s="301">
        <v>0</v>
      </c>
      <c r="D105" s="302">
        <v>0</v>
      </c>
      <c r="E105" s="302">
        <v>0</v>
      </c>
      <c r="F105" s="302">
        <v>0</v>
      </c>
      <c r="G105" s="302">
        <v>0</v>
      </c>
      <c r="H105" s="302">
        <v>0</v>
      </c>
      <c r="I105" s="302">
        <v>0</v>
      </c>
      <c r="J105" s="303">
        <v>0</v>
      </c>
      <c r="K105" s="303">
        <v>0</v>
      </c>
      <c r="L105" s="302">
        <v>0</v>
      </c>
      <c r="M105" s="302">
        <v>0</v>
      </c>
      <c r="N105" s="302">
        <v>0</v>
      </c>
      <c r="O105" s="303">
        <v>0</v>
      </c>
      <c r="P105" s="303">
        <v>0</v>
      </c>
      <c r="Q105" s="302">
        <v>0</v>
      </c>
      <c r="R105" s="303">
        <v>0</v>
      </c>
      <c r="S105" s="303">
        <v>0</v>
      </c>
      <c r="T105" s="303">
        <v>0</v>
      </c>
      <c r="U105" s="303">
        <v>0</v>
      </c>
      <c r="V105" s="309"/>
    </row>
    <row r="106" spans="1:22">
      <c r="A106" s="304"/>
      <c r="B106" s="305" t="s">
        <v>567</v>
      </c>
      <c r="C106" s="306">
        <v>0</v>
      </c>
      <c r="D106" s="307">
        <v>0</v>
      </c>
      <c r="E106" s="307">
        <v>0</v>
      </c>
      <c r="F106" s="307">
        <v>0</v>
      </c>
      <c r="G106" s="307">
        <v>0</v>
      </c>
      <c r="H106" s="307">
        <v>0</v>
      </c>
      <c r="I106" s="307">
        <v>0</v>
      </c>
      <c r="J106" s="308">
        <v>0</v>
      </c>
      <c r="K106" s="308">
        <v>0</v>
      </c>
      <c r="L106" s="307">
        <v>0</v>
      </c>
      <c r="M106" s="307">
        <v>0</v>
      </c>
      <c r="N106" s="307">
        <v>0</v>
      </c>
      <c r="O106" s="308">
        <v>0</v>
      </c>
      <c r="P106" s="308">
        <v>0</v>
      </c>
      <c r="Q106" s="307">
        <v>0</v>
      </c>
      <c r="R106" s="308">
        <v>0</v>
      </c>
      <c r="S106" s="308">
        <v>0</v>
      </c>
      <c r="T106" s="308">
        <v>0</v>
      </c>
      <c r="U106" s="308">
        <v>0</v>
      </c>
      <c r="V106" s="309"/>
    </row>
    <row r="107" spans="1:22">
      <c r="A107" s="304"/>
      <c r="B107" s="310" t="s">
        <v>568</v>
      </c>
      <c r="C107" s="311">
        <v>0</v>
      </c>
      <c r="D107" s="312">
        <v>0</v>
      </c>
      <c r="E107" s="312">
        <v>0</v>
      </c>
      <c r="F107" s="312">
        <v>0</v>
      </c>
      <c r="G107" s="312">
        <v>0</v>
      </c>
      <c r="H107" s="312">
        <v>0</v>
      </c>
      <c r="I107" s="312">
        <v>0</v>
      </c>
      <c r="J107" s="314">
        <v>0</v>
      </c>
      <c r="K107" s="314">
        <v>0</v>
      </c>
      <c r="L107" s="312">
        <v>0</v>
      </c>
      <c r="M107" s="312">
        <v>0</v>
      </c>
      <c r="N107" s="312">
        <v>0</v>
      </c>
      <c r="O107" s="314">
        <v>0</v>
      </c>
      <c r="P107" s="314">
        <v>0</v>
      </c>
      <c r="Q107" s="312">
        <v>0</v>
      </c>
      <c r="R107" s="314">
        <v>0</v>
      </c>
      <c r="S107" s="314">
        <v>0</v>
      </c>
      <c r="T107" s="314">
        <v>0</v>
      </c>
      <c r="U107" s="314">
        <v>0</v>
      </c>
      <c r="V107" s="309"/>
    </row>
    <row r="108" spans="1:22">
      <c r="A108" s="304"/>
      <c r="B108" s="50" t="s">
        <v>569</v>
      </c>
      <c r="C108" s="301">
        <v>0</v>
      </c>
      <c r="D108" s="302">
        <v>0</v>
      </c>
      <c r="E108" s="302">
        <v>0</v>
      </c>
      <c r="F108" s="302">
        <v>0</v>
      </c>
      <c r="G108" s="302">
        <v>0</v>
      </c>
      <c r="H108" s="302">
        <v>0</v>
      </c>
      <c r="I108" s="302">
        <v>0</v>
      </c>
      <c r="J108" s="303">
        <v>0</v>
      </c>
      <c r="K108" s="303">
        <v>0</v>
      </c>
      <c r="L108" s="302">
        <v>0</v>
      </c>
      <c r="M108" s="302">
        <v>0</v>
      </c>
      <c r="N108" s="302">
        <v>0</v>
      </c>
      <c r="O108" s="303">
        <v>0</v>
      </c>
      <c r="P108" s="303">
        <v>0</v>
      </c>
      <c r="Q108" s="302">
        <v>0</v>
      </c>
      <c r="R108" s="303">
        <v>0</v>
      </c>
      <c r="S108" s="303">
        <v>0</v>
      </c>
      <c r="T108" s="303">
        <v>0</v>
      </c>
      <c r="U108" s="303">
        <v>0</v>
      </c>
      <c r="V108" s="309"/>
    </row>
    <row r="109" spans="1:22">
      <c r="A109" s="304"/>
      <c r="B109" s="305" t="s">
        <v>570</v>
      </c>
      <c r="C109" s="306">
        <v>0</v>
      </c>
      <c r="D109" s="307">
        <v>0</v>
      </c>
      <c r="E109" s="307">
        <v>0</v>
      </c>
      <c r="F109" s="307">
        <v>0</v>
      </c>
      <c r="G109" s="307">
        <v>0</v>
      </c>
      <c r="H109" s="307">
        <v>0</v>
      </c>
      <c r="I109" s="307">
        <v>0</v>
      </c>
      <c r="J109" s="308">
        <v>0</v>
      </c>
      <c r="K109" s="308">
        <v>0</v>
      </c>
      <c r="L109" s="307">
        <v>0</v>
      </c>
      <c r="M109" s="307">
        <v>0</v>
      </c>
      <c r="N109" s="307">
        <v>0</v>
      </c>
      <c r="O109" s="308">
        <v>0</v>
      </c>
      <c r="P109" s="308">
        <v>0</v>
      </c>
      <c r="Q109" s="307">
        <v>0</v>
      </c>
      <c r="R109" s="308">
        <v>0</v>
      </c>
      <c r="S109" s="308">
        <v>0</v>
      </c>
      <c r="T109" s="308">
        <v>0</v>
      </c>
      <c r="U109" s="308">
        <v>0</v>
      </c>
      <c r="V109" s="309"/>
    </row>
    <row r="110" spans="1:22">
      <c r="A110" s="304"/>
      <c r="B110" s="310" t="s">
        <v>571</v>
      </c>
      <c r="C110" s="311">
        <v>0</v>
      </c>
      <c r="D110" s="312">
        <v>0</v>
      </c>
      <c r="E110" s="312">
        <v>0</v>
      </c>
      <c r="F110" s="312">
        <v>0</v>
      </c>
      <c r="G110" s="312">
        <v>0</v>
      </c>
      <c r="H110" s="312">
        <v>0</v>
      </c>
      <c r="I110" s="312">
        <v>0</v>
      </c>
      <c r="J110" s="314">
        <v>0</v>
      </c>
      <c r="K110" s="314">
        <v>0</v>
      </c>
      <c r="L110" s="312">
        <v>0</v>
      </c>
      <c r="M110" s="312">
        <v>0</v>
      </c>
      <c r="N110" s="312">
        <v>0</v>
      </c>
      <c r="O110" s="314">
        <v>0</v>
      </c>
      <c r="P110" s="314">
        <v>0</v>
      </c>
      <c r="Q110" s="312">
        <v>0</v>
      </c>
      <c r="R110" s="314">
        <v>0</v>
      </c>
      <c r="S110" s="314">
        <v>0</v>
      </c>
      <c r="T110" s="314">
        <v>0</v>
      </c>
      <c r="U110" s="314">
        <v>0</v>
      </c>
      <c r="V110" s="309"/>
    </row>
    <row r="111" spans="1:22">
      <c r="A111" s="304"/>
      <c r="B111" s="50" t="s">
        <v>572</v>
      </c>
      <c r="C111" s="301">
        <v>0</v>
      </c>
      <c r="D111" s="302">
        <v>0</v>
      </c>
      <c r="E111" s="302">
        <v>0</v>
      </c>
      <c r="F111" s="302">
        <v>0</v>
      </c>
      <c r="G111" s="302">
        <v>0</v>
      </c>
      <c r="H111" s="302">
        <v>0</v>
      </c>
      <c r="I111" s="302">
        <v>0</v>
      </c>
      <c r="J111" s="303">
        <v>0</v>
      </c>
      <c r="K111" s="303">
        <v>0</v>
      </c>
      <c r="L111" s="302">
        <v>0</v>
      </c>
      <c r="M111" s="302">
        <v>0</v>
      </c>
      <c r="N111" s="302">
        <v>0</v>
      </c>
      <c r="O111" s="303">
        <v>0</v>
      </c>
      <c r="P111" s="303">
        <v>0</v>
      </c>
      <c r="Q111" s="302">
        <v>0</v>
      </c>
      <c r="R111" s="303">
        <v>0</v>
      </c>
      <c r="S111" s="303">
        <v>0</v>
      </c>
      <c r="T111" s="303">
        <v>0</v>
      </c>
      <c r="U111" s="303">
        <v>0</v>
      </c>
      <c r="V111" s="309"/>
    </row>
    <row r="112" spans="1:22">
      <c r="A112" s="304"/>
      <c r="B112" s="305" t="s">
        <v>573</v>
      </c>
      <c r="C112" s="306">
        <v>0</v>
      </c>
      <c r="D112" s="307">
        <v>0</v>
      </c>
      <c r="E112" s="307">
        <v>0</v>
      </c>
      <c r="F112" s="307">
        <v>0</v>
      </c>
      <c r="G112" s="307">
        <v>0</v>
      </c>
      <c r="H112" s="307">
        <v>0</v>
      </c>
      <c r="I112" s="307">
        <v>0</v>
      </c>
      <c r="J112" s="308">
        <v>0</v>
      </c>
      <c r="K112" s="308">
        <v>0</v>
      </c>
      <c r="L112" s="307">
        <v>0</v>
      </c>
      <c r="M112" s="307">
        <v>0</v>
      </c>
      <c r="N112" s="307">
        <v>0</v>
      </c>
      <c r="O112" s="308">
        <v>0</v>
      </c>
      <c r="P112" s="308">
        <v>0</v>
      </c>
      <c r="Q112" s="307">
        <v>0</v>
      </c>
      <c r="R112" s="308">
        <v>0</v>
      </c>
      <c r="S112" s="308">
        <v>0</v>
      </c>
      <c r="T112" s="308">
        <v>0</v>
      </c>
      <c r="U112" s="308">
        <v>0</v>
      </c>
      <c r="V112" s="309"/>
    </row>
    <row r="113" spans="1:22" ht="15.75" thickBot="1">
      <c r="A113" s="320"/>
      <c r="B113" s="321" t="s">
        <v>574</v>
      </c>
      <c r="C113" s="322">
        <v>0</v>
      </c>
      <c r="D113" s="323">
        <v>0</v>
      </c>
      <c r="E113" s="323">
        <v>0</v>
      </c>
      <c r="F113" s="323">
        <v>0</v>
      </c>
      <c r="G113" s="323">
        <v>0</v>
      </c>
      <c r="H113" s="323">
        <v>0</v>
      </c>
      <c r="I113" s="323">
        <v>0</v>
      </c>
      <c r="J113" s="324">
        <v>0</v>
      </c>
      <c r="K113" s="324">
        <v>0</v>
      </c>
      <c r="L113" s="323">
        <v>0</v>
      </c>
      <c r="M113" s="323">
        <v>0</v>
      </c>
      <c r="N113" s="323">
        <v>0</v>
      </c>
      <c r="O113" s="324">
        <v>0</v>
      </c>
      <c r="P113" s="324">
        <v>0</v>
      </c>
      <c r="Q113" s="323">
        <v>0</v>
      </c>
      <c r="R113" s="324">
        <v>0</v>
      </c>
      <c r="S113" s="324">
        <v>0</v>
      </c>
      <c r="T113" s="324">
        <v>0</v>
      </c>
      <c r="U113" s="324">
        <v>0</v>
      </c>
      <c r="V113" s="309"/>
    </row>
    <row r="114" spans="1:22">
      <c r="A114" s="300" t="s">
        <v>114</v>
      </c>
      <c r="B114" s="50" t="s">
        <v>539</v>
      </c>
      <c r="C114" s="301">
        <v>0</v>
      </c>
      <c r="D114" s="302">
        <v>0</v>
      </c>
      <c r="E114" s="302">
        <v>0</v>
      </c>
      <c r="F114" s="302">
        <v>0</v>
      </c>
      <c r="G114" s="302">
        <v>0</v>
      </c>
      <c r="H114" s="302">
        <v>0</v>
      </c>
      <c r="I114" s="302">
        <v>0</v>
      </c>
      <c r="J114" s="303">
        <v>0</v>
      </c>
      <c r="K114" s="303">
        <v>0.36206881033365657</v>
      </c>
      <c r="L114" s="302">
        <v>0.31194785856391355</v>
      </c>
      <c r="M114" s="302">
        <v>0</v>
      </c>
      <c r="N114" s="302">
        <v>0.39378129240559639</v>
      </c>
      <c r="O114" s="303">
        <v>0.35753081611492449</v>
      </c>
      <c r="P114" s="303">
        <v>0</v>
      </c>
      <c r="Q114" s="302">
        <v>0</v>
      </c>
      <c r="R114" s="303">
        <v>0</v>
      </c>
      <c r="S114" s="303">
        <v>0</v>
      </c>
      <c r="T114" s="303">
        <v>0</v>
      </c>
      <c r="U114" s="303">
        <v>0.35753081611492449</v>
      </c>
      <c r="V114" s="309"/>
    </row>
    <row r="115" spans="1:22">
      <c r="A115" s="304"/>
      <c r="B115" s="305" t="s">
        <v>540</v>
      </c>
      <c r="C115" s="306">
        <v>0</v>
      </c>
      <c r="D115" s="307">
        <v>0</v>
      </c>
      <c r="E115" s="307">
        <v>0</v>
      </c>
      <c r="F115" s="307">
        <v>0</v>
      </c>
      <c r="G115" s="307">
        <v>0</v>
      </c>
      <c r="H115" s="307">
        <v>0</v>
      </c>
      <c r="I115" s="307">
        <v>0</v>
      </c>
      <c r="J115" s="308">
        <v>0</v>
      </c>
      <c r="K115" s="308">
        <v>0.2755320582926053</v>
      </c>
      <c r="L115" s="307">
        <v>0.21629859060606982</v>
      </c>
      <c r="M115" s="307">
        <v>0</v>
      </c>
      <c r="N115" s="307">
        <v>0.35296135376171967</v>
      </c>
      <c r="O115" s="308">
        <v>0.27013673192610504</v>
      </c>
      <c r="P115" s="308">
        <v>0</v>
      </c>
      <c r="Q115" s="307">
        <v>0</v>
      </c>
      <c r="R115" s="308">
        <v>0</v>
      </c>
      <c r="S115" s="308">
        <v>0</v>
      </c>
      <c r="T115" s="308">
        <v>0</v>
      </c>
      <c r="U115" s="308">
        <v>0.27013673192610504</v>
      </c>
      <c r="V115" s="309"/>
    </row>
    <row r="116" spans="1:22">
      <c r="A116" s="304"/>
      <c r="B116" s="310" t="s">
        <v>541</v>
      </c>
      <c r="C116" s="311">
        <v>0</v>
      </c>
      <c r="D116" s="312">
        <v>0</v>
      </c>
      <c r="E116" s="312">
        <v>0</v>
      </c>
      <c r="F116" s="312">
        <v>0</v>
      </c>
      <c r="G116" s="312">
        <v>0</v>
      </c>
      <c r="H116" s="312">
        <v>0</v>
      </c>
      <c r="I116" s="312">
        <v>0</v>
      </c>
      <c r="J116" s="314">
        <v>0</v>
      </c>
      <c r="K116" s="314">
        <v>-8.6536752041051272</v>
      </c>
      <c r="L116" s="312">
        <v>-9.5649267957843733</v>
      </c>
      <c r="M116" s="312">
        <v>0</v>
      </c>
      <c r="N116" s="312">
        <v>-4.0819938643876732</v>
      </c>
      <c r="O116" s="314">
        <v>-8.7394084188819434</v>
      </c>
      <c r="P116" s="314">
        <v>0</v>
      </c>
      <c r="Q116" s="312">
        <v>0</v>
      </c>
      <c r="R116" s="314">
        <v>0</v>
      </c>
      <c r="S116" s="314">
        <v>0</v>
      </c>
      <c r="T116" s="314">
        <v>0</v>
      </c>
      <c r="U116" s="314">
        <v>-8.7394084188819434</v>
      </c>
      <c r="V116" s="309"/>
    </row>
    <row r="117" spans="1:22">
      <c r="A117" s="304"/>
      <c r="B117" s="50" t="s">
        <v>542</v>
      </c>
      <c r="C117" s="301">
        <v>0</v>
      </c>
      <c r="D117" s="302">
        <v>0</v>
      </c>
      <c r="E117" s="302">
        <v>0</v>
      </c>
      <c r="F117" s="302">
        <v>0</v>
      </c>
      <c r="G117" s="302">
        <v>0</v>
      </c>
      <c r="H117" s="302">
        <v>0</v>
      </c>
      <c r="I117" s="302">
        <v>0</v>
      </c>
      <c r="J117" s="303">
        <v>0</v>
      </c>
      <c r="K117" s="303">
        <v>2.4914934369430455E-2</v>
      </c>
      <c r="L117" s="302">
        <v>5.173133490376048E-2</v>
      </c>
      <c r="M117" s="302">
        <v>0</v>
      </c>
      <c r="N117" s="302">
        <v>3.6568246689438956E-2</v>
      </c>
      <c r="O117" s="303">
        <v>2.7482714165441863E-2</v>
      </c>
      <c r="P117" s="303">
        <v>0</v>
      </c>
      <c r="Q117" s="302">
        <v>0</v>
      </c>
      <c r="R117" s="303">
        <v>0</v>
      </c>
      <c r="S117" s="303">
        <v>0</v>
      </c>
      <c r="T117" s="303">
        <v>0</v>
      </c>
      <c r="U117" s="303">
        <v>2.7482714165441863E-2</v>
      </c>
      <c r="V117" s="309"/>
    </row>
    <row r="118" spans="1:22">
      <c r="A118" s="304"/>
      <c r="B118" s="305" t="s">
        <v>543</v>
      </c>
      <c r="C118" s="306">
        <v>0</v>
      </c>
      <c r="D118" s="307">
        <v>0</v>
      </c>
      <c r="E118" s="307">
        <v>0</v>
      </c>
      <c r="F118" s="307">
        <v>0</v>
      </c>
      <c r="G118" s="307">
        <v>0</v>
      </c>
      <c r="H118" s="307">
        <v>0</v>
      </c>
      <c r="I118" s="307">
        <v>0</v>
      </c>
      <c r="J118" s="308">
        <v>0</v>
      </c>
      <c r="K118" s="308">
        <v>2.5115235870491141E-2</v>
      </c>
      <c r="L118" s="307">
        <v>4.7376792182886367E-2</v>
      </c>
      <c r="M118" s="307">
        <v>0</v>
      </c>
      <c r="N118" s="307">
        <v>5.6094214498056252E-2</v>
      </c>
      <c r="O118" s="308">
        <v>2.7470197791203677E-2</v>
      </c>
      <c r="P118" s="308">
        <v>0</v>
      </c>
      <c r="Q118" s="307">
        <v>0</v>
      </c>
      <c r="R118" s="308">
        <v>0</v>
      </c>
      <c r="S118" s="308">
        <v>0</v>
      </c>
      <c r="T118" s="308">
        <v>0</v>
      </c>
      <c r="U118" s="308">
        <v>2.7470197791203677E-2</v>
      </c>
      <c r="V118" s="309"/>
    </row>
    <row r="119" spans="1:22">
      <c r="A119" s="304"/>
      <c r="B119" s="310" t="s">
        <v>544</v>
      </c>
      <c r="C119" s="311">
        <v>0</v>
      </c>
      <c r="D119" s="312">
        <v>0</v>
      </c>
      <c r="E119" s="312">
        <v>0</v>
      </c>
      <c r="F119" s="312">
        <v>0</v>
      </c>
      <c r="G119" s="312">
        <v>0</v>
      </c>
      <c r="H119" s="312">
        <v>0</v>
      </c>
      <c r="I119" s="312">
        <v>0</v>
      </c>
      <c r="J119" s="314">
        <v>0</v>
      </c>
      <c r="K119" s="314">
        <v>2.0030150106068595E-2</v>
      </c>
      <c r="L119" s="312">
        <v>-0.43545427208741133</v>
      </c>
      <c r="M119" s="312">
        <v>0</v>
      </c>
      <c r="N119" s="312">
        <v>1.9525967808617297</v>
      </c>
      <c r="O119" s="314">
        <v>-1.251637423818619E-3</v>
      </c>
      <c r="P119" s="314">
        <v>0</v>
      </c>
      <c r="Q119" s="312">
        <v>0</v>
      </c>
      <c r="R119" s="314">
        <v>0</v>
      </c>
      <c r="S119" s="314">
        <v>0</v>
      </c>
      <c r="T119" s="314">
        <v>0</v>
      </c>
      <c r="U119" s="314">
        <v>-1.251637423818619E-3</v>
      </c>
      <c r="V119" s="309"/>
    </row>
    <row r="120" spans="1:22">
      <c r="A120" s="304"/>
      <c r="B120" s="50" t="s">
        <v>545</v>
      </c>
      <c r="C120" s="301">
        <v>0</v>
      </c>
      <c r="D120" s="302">
        <v>0</v>
      </c>
      <c r="E120" s="302">
        <v>0</v>
      </c>
      <c r="F120" s="302">
        <v>0</v>
      </c>
      <c r="G120" s="302">
        <v>0</v>
      </c>
      <c r="H120" s="302">
        <v>0</v>
      </c>
      <c r="I120" s="302">
        <v>0</v>
      </c>
      <c r="J120" s="303">
        <v>0</v>
      </c>
      <c r="K120" s="303">
        <v>0.48813530788110676</v>
      </c>
      <c r="L120" s="302">
        <v>0.63632080653232603</v>
      </c>
      <c r="M120" s="302">
        <v>0</v>
      </c>
      <c r="N120" s="302">
        <v>0.56422254456974408</v>
      </c>
      <c r="O120" s="303">
        <v>0.50238178418222856</v>
      </c>
      <c r="P120" s="303">
        <v>0</v>
      </c>
      <c r="Q120" s="302">
        <v>0</v>
      </c>
      <c r="R120" s="303">
        <v>0</v>
      </c>
      <c r="S120" s="303">
        <v>0</v>
      </c>
      <c r="T120" s="303">
        <v>0</v>
      </c>
      <c r="U120" s="303">
        <v>0.50238178418222856</v>
      </c>
      <c r="V120" s="309"/>
    </row>
    <row r="121" spans="1:22">
      <c r="A121" s="304"/>
      <c r="B121" s="305" t="s">
        <v>546</v>
      </c>
      <c r="C121" s="306">
        <v>0</v>
      </c>
      <c r="D121" s="307">
        <v>0</v>
      </c>
      <c r="E121" s="307">
        <v>0</v>
      </c>
      <c r="F121" s="307">
        <v>0</v>
      </c>
      <c r="G121" s="307">
        <v>0</v>
      </c>
      <c r="H121" s="307">
        <v>0</v>
      </c>
      <c r="I121" s="307">
        <v>0</v>
      </c>
      <c r="J121" s="308">
        <v>0</v>
      </c>
      <c r="K121" s="308">
        <v>0.51703295252573955</v>
      </c>
      <c r="L121" s="307">
        <v>0.73632461721104381</v>
      </c>
      <c r="M121" s="307">
        <v>0</v>
      </c>
      <c r="N121" s="307">
        <v>0.58330665447061514</v>
      </c>
      <c r="O121" s="308">
        <v>0.53892971132987155</v>
      </c>
      <c r="P121" s="308">
        <v>0</v>
      </c>
      <c r="Q121" s="307">
        <v>0</v>
      </c>
      <c r="R121" s="308">
        <v>0</v>
      </c>
      <c r="S121" s="308">
        <v>0</v>
      </c>
      <c r="T121" s="308">
        <v>0</v>
      </c>
      <c r="U121" s="308">
        <v>0.53892971132987155</v>
      </c>
      <c r="V121" s="309"/>
    </row>
    <row r="122" spans="1:22">
      <c r="A122" s="304"/>
      <c r="B122" s="310" t="s">
        <v>547</v>
      </c>
      <c r="C122" s="311">
        <v>0</v>
      </c>
      <c r="D122" s="312">
        <v>0</v>
      </c>
      <c r="E122" s="312">
        <v>0</v>
      </c>
      <c r="F122" s="312">
        <v>0</v>
      </c>
      <c r="G122" s="312">
        <v>0</v>
      </c>
      <c r="H122" s="312">
        <v>0</v>
      </c>
      <c r="I122" s="312">
        <v>0</v>
      </c>
      <c r="J122" s="314">
        <v>0</v>
      </c>
      <c r="K122" s="314">
        <v>2.8897644644632789</v>
      </c>
      <c r="L122" s="312">
        <v>10.000381067871778</v>
      </c>
      <c r="M122" s="312">
        <v>0</v>
      </c>
      <c r="N122" s="312">
        <v>1.908410990087106</v>
      </c>
      <c r="O122" s="314">
        <v>3.6547927147642989</v>
      </c>
      <c r="P122" s="314">
        <v>0</v>
      </c>
      <c r="Q122" s="312">
        <v>0</v>
      </c>
      <c r="R122" s="314">
        <v>0</v>
      </c>
      <c r="S122" s="314">
        <v>0</v>
      </c>
      <c r="T122" s="314">
        <v>0</v>
      </c>
      <c r="U122" s="314">
        <v>3.6547927147642989</v>
      </c>
      <c r="V122" s="309"/>
    </row>
    <row r="123" spans="1:22">
      <c r="A123" s="304"/>
      <c r="B123" s="50" t="s">
        <v>548</v>
      </c>
      <c r="C123" s="301">
        <v>0</v>
      </c>
      <c r="D123" s="302">
        <v>0</v>
      </c>
      <c r="E123" s="302">
        <v>0</v>
      </c>
      <c r="F123" s="302">
        <v>0</v>
      </c>
      <c r="G123" s="302">
        <v>0</v>
      </c>
      <c r="H123" s="302">
        <v>0</v>
      </c>
      <c r="I123" s="302">
        <v>0</v>
      </c>
      <c r="J123" s="303">
        <v>0</v>
      </c>
      <c r="K123" s="303">
        <v>0.12412020251204281</v>
      </c>
      <c r="L123" s="302">
        <v>0</v>
      </c>
      <c r="M123" s="302">
        <v>0</v>
      </c>
      <c r="N123" s="302">
        <v>5.4279163352206261E-3</v>
      </c>
      <c r="O123" s="303">
        <v>0.11191888620062253</v>
      </c>
      <c r="P123" s="303">
        <v>0</v>
      </c>
      <c r="Q123" s="302">
        <v>0</v>
      </c>
      <c r="R123" s="303">
        <v>0</v>
      </c>
      <c r="S123" s="303">
        <v>0</v>
      </c>
      <c r="T123" s="303">
        <v>0</v>
      </c>
      <c r="U123" s="303">
        <v>0.11191888620062253</v>
      </c>
      <c r="V123" s="309"/>
    </row>
    <row r="124" spans="1:22">
      <c r="A124" s="304"/>
      <c r="B124" s="305" t="s">
        <v>549</v>
      </c>
      <c r="C124" s="306">
        <v>0</v>
      </c>
      <c r="D124" s="307">
        <v>0</v>
      </c>
      <c r="E124" s="307">
        <v>0</v>
      </c>
      <c r="F124" s="307">
        <v>0</v>
      </c>
      <c r="G124" s="307">
        <v>0</v>
      </c>
      <c r="H124" s="307">
        <v>0</v>
      </c>
      <c r="I124" s="307">
        <v>0</v>
      </c>
      <c r="J124" s="308">
        <v>0</v>
      </c>
      <c r="K124" s="308">
        <v>0.18174624901509287</v>
      </c>
      <c r="L124" s="307">
        <v>0</v>
      </c>
      <c r="M124" s="307">
        <v>0</v>
      </c>
      <c r="N124" s="307">
        <v>7.6377772696089637E-3</v>
      </c>
      <c r="O124" s="308">
        <v>0.16294930012266662</v>
      </c>
      <c r="P124" s="308">
        <v>0</v>
      </c>
      <c r="Q124" s="307">
        <v>0</v>
      </c>
      <c r="R124" s="308">
        <v>0</v>
      </c>
      <c r="S124" s="308">
        <v>0</v>
      </c>
      <c r="T124" s="308">
        <v>0</v>
      </c>
      <c r="U124" s="308">
        <v>0.16294930012266662</v>
      </c>
      <c r="V124" s="309"/>
    </row>
    <row r="125" spans="1:22">
      <c r="A125" s="304"/>
      <c r="B125" s="310" t="s">
        <v>550</v>
      </c>
      <c r="C125" s="311">
        <v>0</v>
      </c>
      <c r="D125" s="312">
        <v>0</v>
      </c>
      <c r="E125" s="312">
        <v>0</v>
      </c>
      <c r="F125" s="312">
        <v>0</v>
      </c>
      <c r="G125" s="312">
        <v>0</v>
      </c>
      <c r="H125" s="312">
        <v>0</v>
      </c>
      <c r="I125" s="312">
        <v>0</v>
      </c>
      <c r="J125" s="314">
        <v>0</v>
      </c>
      <c r="K125" s="314">
        <v>5.7626046503050059</v>
      </c>
      <c r="L125" s="312">
        <v>0</v>
      </c>
      <c r="M125" s="312">
        <v>0</v>
      </c>
      <c r="N125" s="312">
        <v>0.22098609343883377</v>
      </c>
      <c r="O125" s="314">
        <v>5.1030413922044087</v>
      </c>
      <c r="P125" s="314">
        <v>0</v>
      </c>
      <c r="Q125" s="312">
        <v>0</v>
      </c>
      <c r="R125" s="314">
        <v>0</v>
      </c>
      <c r="S125" s="314">
        <v>0</v>
      </c>
      <c r="T125" s="314">
        <v>0</v>
      </c>
      <c r="U125" s="314">
        <v>5.1030413922044087</v>
      </c>
      <c r="V125" s="309"/>
    </row>
    <row r="126" spans="1:22">
      <c r="A126" s="304"/>
      <c r="B126" s="50" t="s">
        <v>551</v>
      </c>
      <c r="C126" s="301">
        <v>0</v>
      </c>
      <c r="D126" s="302">
        <v>0</v>
      </c>
      <c r="E126" s="302">
        <v>0</v>
      </c>
      <c r="F126" s="302">
        <v>0</v>
      </c>
      <c r="G126" s="302">
        <v>0</v>
      </c>
      <c r="H126" s="302">
        <v>0</v>
      </c>
      <c r="I126" s="302">
        <v>0</v>
      </c>
      <c r="J126" s="303">
        <v>0</v>
      </c>
      <c r="K126" s="303">
        <v>3.4772925696101872E-4</v>
      </c>
      <c r="L126" s="302">
        <v>0</v>
      </c>
      <c r="M126" s="302">
        <v>0</v>
      </c>
      <c r="N126" s="302">
        <v>0</v>
      </c>
      <c r="O126" s="303">
        <v>3.1347235140719146E-4</v>
      </c>
      <c r="P126" s="303">
        <v>0</v>
      </c>
      <c r="Q126" s="302">
        <v>0</v>
      </c>
      <c r="R126" s="303">
        <v>0</v>
      </c>
      <c r="S126" s="303">
        <v>0</v>
      </c>
      <c r="T126" s="303">
        <v>0</v>
      </c>
      <c r="U126" s="303">
        <v>3.1347235140719146E-4</v>
      </c>
      <c r="V126" s="309"/>
    </row>
    <row r="127" spans="1:22">
      <c r="A127" s="304"/>
      <c r="B127" s="305" t="s">
        <v>552</v>
      </c>
      <c r="C127" s="306">
        <v>0</v>
      </c>
      <c r="D127" s="307">
        <v>0</v>
      </c>
      <c r="E127" s="307">
        <v>0</v>
      </c>
      <c r="F127" s="307">
        <v>0</v>
      </c>
      <c r="G127" s="307">
        <v>0</v>
      </c>
      <c r="H127" s="307">
        <v>0</v>
      </c>
      <c r="I127" s="307">
        <v>0</v>
      </c>
      <c r="J127" s="308">
        <v>0</v>
      </c>
      <c r="K127" s="308">
        <v>4.4468469770473212E-6</v>
      </c>
      <c r="L127" s="307">
        <v>0</v>
      </c>
      <c r="M127" s="307">
        <v>0</v>
      </c>
      <c r="N127" s="307">
        <v>0</v>
      </c>
      <c r="O127" s="308">
        <v>3.985917752580134E-6</v>
      </c>
      <c r="P127" s="308">
        <v>0</v>
      </c>
      <c r="Q127" s="307">
        <v>0</v>
      </c>
      <c r="R127" s="308">
        <v>0</v>
      </c>
      <c r="S127" s="308">
        <v>0</v>
      </c>
      <c r="T127" s="308">
        <v>0</v>
      </c>
      <c r="U127" s="308">
        <v>3.985917752580134E-6</v>
      </c>
      <c r="V127" s="309"/>
    </row>
    <row r="128" spans="1:22">
      <c r="A128" s="304"/>
      <c r="B128" s="310" t="s">
        <v>553</v>
      </c>
      <c r="C128" s="311">
        <v>0</v>
      </c>
      <c r="D128" s="312">
        <v>0</v>
      </c>
      <c r="E128" s="312">
        <v>0</v>
      </c>
      <c r="F128" s="312">
        <v>0</v>
      </c>
      <c r="G128" s="312">
        <v>0</v>
      </c>
      <c r="H128" s="312">
        <v>0</v>
      </c>
      <c r="I128" s="312">
        <v>0</v>
      </c>
      <c r="J128" s="314">
        <v>0</v>
      </c>
      <c r="K128" s="314">
        <v>-3.4328240998397139E-2</v>
      </c>
      <c r="L128" s="312">
        <v>0</v>
      </c>
      <c r="M128" s="312">
        <v>0</v>
      </c>
      <c r="N128" s="312">
        <v>0</v>
      </c>
      <c r="O128" s="314">
        <v>-3.0948643365461135E-2</v>
      </c>
      <c r="P128" s="314">
        <v>0</v>
      </c>
      <c r="Q128" s="312">
        <v>0</v>
      </c>
      <c r="R128" s="314">
        <v>0</v>
      </c>
      <c r="S128" s="314">
        <v>0</v>
      </c>
      <c r="T128" s="314">
        <v>0</v>
      </c>
      <c r="U128" s="314">
        <v>-3.0948643365461135E-2</v>
      </c>
      <c r="V128" s="309"/>
    </row>
    <row r="129" spans="1:22">
      <c r="A129" s="304"/>
      <c r="B129" s="50" t="s">
        <v>554</v>
      </c>
      <c r="C129" s="301">
        <v>0</v>
      </c>
      <c r="D129" s="302">
        <v>0</v>
      </c>
      <c r="E129" s="302">
        <v>0</v>
      </c>
      <c r="F129" s="302">
        <v>0</v>
      </c>
      <c r="G129" s="302">
        <v>0</v>
      </c>
      <c r="H129" s="302">
        <v>0</v>
      </c>
      <c r="I129" s="302">
        <v>0</v>
      </c>
      <c r="J129" s="303">
        <v>0</v>
      </c>
      <c r="K129" s="303">
        <v>4.1301564680240572E-4</v>
      </c>
      <c r="L129" s="302">
        <v>0</v>
      </c>
      <c r="M129" s="302">
        <v>0</v>
      </c>
      <c r="N129" s="302">
        <v>0</v>
      </c>
      <c r="O129" s="303">
        <v>3.7232698537536629E-4</v>
      </c>
      <c r="P129" s="303">
        <v>0</v>
      </c>
      <c r="Q129" s="302">
        <v>0</v>
      </c>
      <c r="R129" s="303">
        <v>0</v>
      </c>
      <c r="S129" s="303">
        <v>0</v>
      </c>
      <c r="T129" s="303">
        <v>0</v>
      </c>
      <c r="U129" s="303">
        <v>3.7232698537536629E-4</v>
      </c>
      <c r="V129" s="309"/>
    </row>
    <row r="130" spans="1:22">
      <c r="A130" s="304"/>
      <c r="B130" s="305" t="s">
        <v>555</v>
      </c>
      <c r="C130" s="306">
        <v>0</v>
      </c>
      <c r="D130" s="307">
        <v>0</v>
      </c>
      <c r="E130" s="307">
        <v>0</v>
      </c>
      <c r="F130" s="307">
        <v>0</v>
      </c>
      <c r="G130" s="307">
        <v>0</v>
      </c>
      <c r="H130" s="307">
        <v>0</v>
      </c>
      <c r="I130" s="307">
        <v>0</v>
      </c>
      <c r="J130" s="308">
        <v>0</v>
      </c>
      <c r="K130" s="308">
        <v>5.6905744909402443E-4</v>
      </c>
      <c r="L130" s="307">
        <v>0</v>
      </c>
      <c r="M130" s="307">
        <v>0</v>
      </c>
      <c r="N130" s="307">
        <v>0</v>
      </c>
      <c r="O130" s="308">
        <v>5.1007291240048912E-4</v>
      </c>
      <c r="P130" s="308">
        <v>0</v>
      </c>
      <c r="Q130" s="307">
        <v>0</v>
      </c>
      <c r="R130" s="308">
        <v>0</v>
      </c>
      <c r="S130" s="308">
        <v>0</v>
      </c>
      <c r="T130" s="308">
        <v>0</v>
      </c>
      <c r="U130" s="308">
        <v>5.1007291240048912E-4</v>
      </c>
      <c r="V130" s="309"/>
    </row>
    <row r="131" spans="1:22" ht="15.75" thickBot="1">
      <c r="A131" s="304"/>
      <c r="B131" s="316" t="s">
        <v>556</v>
      </c>
      <c r="C131" s="317">
        <v>0</v>
      </c>
      <c r="D131" s="318">
        <v>0</v>
      </c>
      <c r="E131" s="318">
        <v>0</v>
      </c>
      <c r="F131" s="318">
        <v>0</v>
      </c>
      <c r="G131" s="318">
        <v>0</v>
      </c>
      <c r="H131" s="318">
        <v>0</v>
      </c>
      <c r="I131" s="318">
        <v>0</v>
      </c>
      <c r="J131" s="319">
        <v>0</v>
      </c>
      <c r="K131" s="319">
        <v>1.5604180229161871E-2</v>
      </c>
      <c r="L131" s="318">
        <v>0</v>
      </c>
      <c r="M131" s="318">
        <v>0</v>
      </c>
      <c r="N131" s="318">
        <v>0</v>
      </c>
      <c r="O131" s="319">
        <v>1.3774592702512283E-2</v>
      </c>
      <c r="P131" s="319">
        <v>0</v>
      </c>
      <c r="Q131" s="318">
        <v>0</v>
      </c>
      <c r="R131" s="319">
        <v>0</v>
      </c>
      <c r="S131" s="319">
        <v>0</v>
      </c>
      <c r="T131" s="319">
        <v>0</v>
      </c>
      <c r="U131" s="319">
        <v>1.3774592702512283E-2</v>
      </c>
      <c r="V131" s="309"/>
    </row>
    <row r="132" spans="1:22" ht="15.75" thickTop="1">
      <c r="A132" s="304"/>
      <c r="B132" s="305" t="s">
        <v>557</v>
      </c>
      <c r="C132" s="306">
        <v>0</v>
      </c>
      <c r="D132" s="307">
        <v>0</v>
      </c>
      <c r="E132" s="307">
        <v>0</v>
      </c>
      <c r="F132" s="307">
        <v>0</v>
      </c>
      <c r="G132" s="307">
        <v>0</v>
      </c>
      <c r="H132" s="307">
        <v>0</v>
      </c>
      <c r="I132" s="307">
        <v>0</v>
      </c>
      <c r="J132" s="308">
        <v>0</v>
      </c>
      <c r="K132" s="308">
        <v>0</v>
      </c>
      <c r="L132" s="307">
        <v>0</v>
      </c>
      <c r="M132" s="307">
        <v>0</v>
      </c>
      <c r="N132" s="307">
        <v>0</v>
      </c>
      <c r="O132" s="308">
        <v>0</v>
      </c>
      <c r="P132" s="308">
        <v>0</v>
      </c>
      <c r="Q132" s="307">
        <v>0</v>
      </c>
      <c r="R132" s="308">
        <v>0</v>
      </c>
      <c r="S132" s="308">
        <v>0</v>
      </c>
      <c r="T132" s="308">
        <v>0</v>
      </c>
      <c r="U132" s="308">
        <v>0</v>
      </c>
      <c r="V132" s="309"/>
    </row>
    <row r="133" spans="1:22">
      <c r="A133" s="304"/>
      <c r="B133" s="305" t="s">
        <v>558</v>
      </c>
      <c r="C133" s="306">
        <v>0</v>
      </c>
      <c r="D133" s="307">
        <v>0</v>
      </c>
      <c r="E133" s="307">
        <v>0</v>
      </c>
      <c r="F133" s="307">
        <v>0</v>
      </c>
      <c r="G133" s="307">
        <v>0</v>
      </c>
      <c r="H133" s="307">
        <v>0</v>
      </c>
      <c r="I133" s="307">
        <v>0</v>
      </c>
      <c r="J133" s="308">
        <v>0</v>
      </c>
      <c r="K133" s="308">
        <v>0</v>
      </c>
      <c r="L133" s="307">
        <v>0</v>
      </c>
      <c r="M133" s="307">
        <v>0</v>
      </c>
      <c r="N133" s="307">
        <v>0</v>
      </c>
      <c r="O133" s="308">
        <v>0</v>
      </c>
      <c r="P133" s="308">
        <v>0</v>
      </c>
      <c r="Q133" s="307">
        <v>0</v>
      </c>
      <c r="R133" s="308">
        <v>0</v>
      </c>
      <c r="S133" s="308">
        <v>0</v>
      </c>
      <c r="T133" s="308">
        <v>0</v>
      </c>
      <c r="U133" s="308">
        <v>0</v>
      </c>
      <c r="V133" s="309"/>
    </row>
    <row r="134" spans="1:22">
      <c r="A134" s="304"/>
      <c r="B134" s="310" t="s">
        <v>559</v>
      </c>
      <c r="C134" s="311">
        <v>0</v>
      </c>
      <c r="D134" s="312">
        <v>0</v>
      </c>
      <c r="E134" s="312">
        <v>0</v>
      </c>
      <c r="F134" s="312">
        <v>0</v>
      </c>
      <c r="G134" s="312">
        <v>0</v>
      </c>
      <c r="H134" s="312">
        <v>0</v>
      </c>
      <c r="I134" s="312">
        <v>0</v>
      </c>
      <c r="J134" s="314">
        <v>0</v>
      </c>
      <c r="K134" s="314">
        <v>0</v>
      </c>
      <c r="L134" s="312">
        <v>0</v>
      </c>
      <c r="M134" s="312">
        <v>0</v>
      </c>
      <c r="N134" s="312">
        <v>0</v>
      </c>
      <c r="O134" s="314">
        <v>0</v>
      </c>
      <c r="P134" s="314">
        <v>0</v>
      </c>
      <c r="Q134" s="312">
        <v>0</v>
      </c>
      <c r="R134" s="314">
        <v>0</v>
      </c>
      <c r="S134" s="314">
        <v>0</v>
      </c>
      <c r="T134" s="314">
        <v>0</v>
      </c>
      <c r="U134" s="314">
        <v>0</v>
      </c>
      <c r="V134" s="309"/>
    </row>
    <row r="135" spans="1:22">
      <c r="A135" s="304"/>
      <c r="B135" s="50" t="s">
        <v>560</v>
      </c>
      <c r="C135" s="301">
        <v>0</v>
      </c>
      <c r="D135" s="302">
        <v>0</v>
      </c>
      <c r="E135" s="302">
        <v>0</v>
      </c>
      <c r="F135" s="302">
        <v>0</v>
      </c>
      <c r="G135" s="302">
        <v>0</v>
      </c>
      <c r="H135" s="302">
        <v>0</v>
      </c>
      <c r="I135" s="302">
        <v>0</v>
      </c>
      <c r="J135" s="303">
        <v>0</v>
      </c>
      <c r="K135" s="303">
        <v>0</v>
      </c>
      <c r="L135" s="302">
        <v>0</v>
      </c>
      <c r="M135" s="302">
        <v>0</v>
      </c>
      <c r="N135" s="302">
        <v>0</v>
      </c>
      <c r="O135" s="303">
        <v>0</v>
      </c>
      <c r="P135" s="303">
        <v>0</v>
      </c>
      <c r="Q135" s="302">
        <v>0</v>
      </c>
      <c r="R135" s="303">
        <v>0</v>
      </c>
      <c r="S135" s="303">
        <v>0</v>
      </c>
      <c r="T135" s="303">
        <v>0</v>
      </c>
      <c r="U135" s="303">
        <v>0</v>
      </c>
      <c r="V135" s="309"/>
    </row>
    <row r="136" spans="1:22">
      <c r="A136" s="304"/>
      <c r="B136" s="305" t="s">
        <v>561</v>
      </c>
      <c r="C136" s="306">
        <v>0</v>
      </c>
      <c r="D136" s="307">
        <v>0</v>
      </c>
      <c r="E136" s="307">
        <v>0</v>
      </c>
      <c r="F136" s="307">
        <v>0</v>
      </c>
      <c r="G136" s="307">
        <v>0</v>
      </c>
      <c r="H136" s="307">
        <v>0</v>
      </c>
      <c r="I136" s="307">
        <v>0</v>
      </c>
      <c r="J136" s="308">
        <v>0</v>
      </c>
      <c r="K136" s="308">
        <v>0</v>
      </c>
      <c r="L136" s="307">
        <v>0</v>
      </c>
      <c r="M136" s="307">
        <v>0</v>
      </c>
      <c r="N136" s="307">
        <v>0</v>
      </c>
      <c r="O136" s="308">
        <v>0</v>
      </c>
      <c r="P136" s="308">
        <v>0</v>
      </c>
      <c r="Q136" s="307">
        <v>0</v>
      </c>
      <c r="R136" s="308">
        <v>0</v>
      </c>
      <c r="S136" s="308">
        <v>0</v>
      </c>
      <c r="T136" s="308">
        <v>0</v>
      </c>
      <c r="U136" s="308">
        <v>0</v>
      </c>
      <c r="V136" s="309"/>
    </row>
    <row r="137" spans="1:22">
      <c r="A137" s="304"/>
      <c r="B137" s="310" t="s">
        <v>562</v>
      </c>
      <c r="C137" s="311">
        <v>0</v>
      </c>
      <c r="D137" s="312">
        <v>0</v>
      </c>
      <c r="E137" s="312">
        <v>0</v>
      </c>
      <c r="F137" s="312">
        <v>0</v>
      </c>
      <c r="G137" s="312">
        <v>0</v>
      </c>
      <c r="H137" s="312">
        <v>0</v>
      </c>
      <c r="I137" s="312">
        <v>0</v>
      </c>
      <c r="J137" s="314">
        <v>0</v>
      </c>
      <c r="K137" s="314">
        <v>0</v>
      </c>
      <c r="L137" s="312">
        <v>0</v>
      </c>
      <c r="M137" s="312">
        <v>0</v>
      </c>
      <c r="N137" s="312">
        <v>0</v>
      </c>
      <c r="O137" s="314">
        <v>0</v>
      </c>
      <c r="P137" s="314">
        <v>0</v>
      </c>
      <c r="Q137" s="312">
        <v>0</v>
      </c>
      <c r="R137" s="314">
        <v>0</v>
      </c>
      <c r="S137" s="314">
        <v>0</v>
      </c>
      <c r="T137" s="314">
        <v>0</v>
      </c>
      <c r="U137" s="314">
        <v>0</v>
      </c>
      <c r="V137" s="309"/>
    </row>
    <row r="138" spans="1:22">
      <c r="A138" s="304"/>
      <c r="B138" s="50" t="s">
        <v>563</v>
      </c>
      <c r="C138" s="301">
        <v>0</v>
      </c>
      <c r="D138" s="302">
        <v>0</v>
      </c>
      <c r="E138" s="302">
        <v>0</v>
      </c>
      <c r="F138" s="302">
        <v>0</v>
      </c>
      <c r="G138" s="302">
        <v>0</v>
      </c>
      <c r="H138" s="302">
        <v>0</v>
      </c>
      <c r="I138" s="302">
        <v>0</v>
      </c>
      <c r="J138" s="303">
        <v>0</v>
      </c>
      <c r="K138" s="303">
        <v>0</v>
      </c>
      <c r="L138" s="302">
        <v>0</v>
      </c>
      <c r="M138" s="302">
        <v>0</v>
      </c>
      <c r="N138" s="302">
        <v>0</v>
      </c>
      <c r="O138" s="303">
        <v>0</v>
      </c>
      <c r="P138" s="303">
        <v>0</v>
      </c>
      <c r="Q138" s="302">
        <v>0</v>
      </c>
      <c r="R138" s="303">
        <v>0</v>
      </c>
      <c r="S138" s="303">
        <v>0</v>
      </c>
      <c r="T138" s="303">
        <v>0</v>
      </c>
      <c r="U138" s="303">
        <v>0</v>
      </c>
      <c r="V138" s="309"/>
    </row>
    <row r="139" spans="1:22">
      <c r="A139" s="304"/>
      <c r="B139" s="305" t="s">
        <v>564</v>
      </c>
      <c r="C139" s="306">
        <v>0</v>
      </c>
      <c r="D139" s="307">
        <v>0</v>
      </c>
      <c r="E139" s="307">
        <v>0</v>
      </c>
      <c r="F139" s="307">
        <v>0</v>
      </c>
      <c r="G139" s="307">
        <v>0</v>
      </c>
      <c r="H139" s="307">
        <v>0</v>
      </c>
      <c r="I139" s="307">
        <v>0</v>
      </c>
      <c r="J139" s="308">
        <v>0</v>
      </c>
      <c r="K139" s="308">
        <v>0</v>
      </c>
      <c r="L139" s="307">
        <v>0</v>
      </c>
      <c r="M139" s="307">
        <v>0</v>
      </c>
      <c r="N139" s="307">
        <v>0</v>
      </c>
      <c r="O139" s="308">
        <v>0</v>
      </c>
      <c r="P139" s="308">
        <v>0</v>
      </c>
      <c r="Q139" s="307">
        <v>0</v>
      </c>
      <c r="R139" s="308">
        <v>0</v>
      </c>
      <c r="S139" s="308">
        <v>0</v>
      </c>
      <c r="T139" s="308">
        <v>0</v>
      </c>
      <c r="U139" s="308">
        <v>0</v>
      </c>
      <c r="V139" s="309"/>
    </row>
    <row r="140" spans="1:22">
      <c r="A140" s="304"/>
      <c r="B140" s="310" t="s">
        <v>565</v>
      </c>
      <c r="C140" s="311">
        <v>0</v>
      </c>
      <c r="D140" s="312">
        <v>0</v>
      </c>
      <c r="E140" s="312">
        <v>0</v>
      </c>
      <c r="F140" s="312">
        <v>0</v>
      </c>
      <c r="G140" s="312">
        <v>0</v>
      </c>
      <c r="H140" s="312">
        <v>0</v>
      </c>
      <c r="I140" s="312">
        <v>0</v>
      </c>
      <c r="J140" s="314">
        <v>0</v>
      </c>
      <c r="K140" s="314">
        <v>0</v>
      </c>
      <c r="L140" s="312">
        <v>0</v>
      </c>
      <c r="M140" s="312">
        <v>0</v>
      </c>
      <c r="N140" s="312">
        <v>0</v>
      </c>
      <c r="O140" s="314">
        <v>0</v>
      </c>
      <c r="P140" s="314">
        <v>0</v>
      </c>
      <c r="Q140" s="312">
        <v>0</v>
      </c>
      <c r="R140" s="314">
        <v>0</v>
      </c>
      <c r="S140" s="314">
        <v>0</v>
      </c>
      <c r="T140" s="314">
        <v>0</v>
      </c>
      <c r="U140" s="314">
        <v>0</v>
      </c>
      <c r="V140" s="309"/>
    </row>
    <row r="141" spans="1:22">
      <c r="A141" s="304"/>
      <c r="B141" s="50" t="s">
        <v>566</v>
      </c>
      <c r="C141" s="301">
        <v>0</v>
      </c>
      <c r="D141" s="302">
        <v>0</v>
      </c>
      <c r="E141" s="302">
        <v>0</v>
      </c>
      <c r="F141" s="302">
        <v>0</v>
      </c>
      <c r="G141" s="302">
        <v>0</v>
      </c>
      <c r="H141" s="302">
        <v>0</v>
      </c>
      <c r="I141" s="302">
        <v>0</v>
      </c>
      <c r="J141" s="303">
        <v>0</v>
      </c>
      <c r="K141" s="303">
        <v>0</v>
      </c>
      <c r="L141" s="302">
        <v>0</v>
      </c>
      <c r="M141" s="302">
        <v>0</v>
      </c>
      <c r="N141" s="302">
        <v>0</v>
      </c>
      <c r="O141" s="303">
        <v>0</v>
      </c>
      <c r="P141" s="303">
        <v>0</v>
      </c>
      <c r="Q141" s="302">
        <v>0</v>
      </c>
      <c r="R141" s="303">
        <v>0</v>
      </c>
      <c r="S141" s="303">
        <v>0</v>
      </c>
      <c r="T141" s="303">
        <v>0</v>
      </c>
      <c r="U141" s="303">
        <v>0</v>
      </c>
      <c r="V141" s="309"/>
    </row>
    <row r="142" spans="1:22">
      <c r="A142" s="304"/>
      <c r="B142" s="305" t="s">
        <v>567</v>
      </c>
      <c r="C142" s="306">
        <v>0</v>
      </c>
      <c r="D142" s="307">
        <v>0</v>
      </c>
      <c r="E142" s="307">
        <v>0</v>
      </c>
      <c r="F142" s="307">
        <v>0</v>
      </c>
      <c r="G142" s="307">
        <v>0</v>
      </c>
      <c r="H142" s="307">
        <v>0</v>
      </c>
      <c r="I142" s="307">
        <v>0</v>
      </c>
      <c r="J142" s="308">
        <v>0</v>
      </c>
      <c r="K142" s="308">
        <v>0</v>
      </c>
      <c r="L142" s="307">
        <v>0</v>
      </c>
      <c r="M142" s="307">
        <v>0</v>
      </c>
      <c r="N142" s="307">
        <v>0</v>
      </c>
      <c r="O142" s="308">
        <v>0</v>
      </c>
      <c r="P142" s="308">
        <v>0</v>
      </c>
      <c r="Q142" s="307">
        <v>0</v>
      </c>
      <c r="R142" s="308">
        <v>0</v>
      </c>
      <c r="S142" s="308">
        <v>0</v>
      </c>
      <c r="T142" s="308">
        <v>0</v>
      </c>
      <c r="U142" s="308">
        <v>0</v>
      </c>
      <c r="V142" s="309"/>
    </row>
    <row r="143" spans="1:22">
      <c r="A143" s="304"/>
      <c r="B143" s="310" t="s">
        <v>568</v>
      </c>
      <c r="C143" s="311">
        <v>0</v>
      </c>
      <c r="D143" s="312">
        <v>0</v>
      </c>
      <c r="E143" s="312">
        <v>0</v>
      </c>
      <c r="F143" s="312">
        <v>0</v>
      </c>
      <c r="G143" s="312">
        <v>0</v>
      </c>
      <c r="H143" s="312">
        <v>0</v>
      </c>
      <c r="I143" s="312">
        <v>0</v>
      </c>
      <c r="J143" s="314">
        <v>0</v>
      </c>
      <c r="K143" s="314">
        <v>0</v>
      </c>
      <c r="L143" s="312">
        <v>0</v>
      </c>
      <c r="M143" s="312">
        <v>0</v>
      </c>
      <c r="N143" s="312">
        <v>0</v>
      </c>
      <c r="O143" s="314">
        <v>0</v>
      </c>
      <c r="P143" s="314">
        <v>0</v>
      </c>
      <c r="Q143" s="312">
        <v>0</v>
      </c>
      <c r="R143" s="314">
        <v>0</v>
      </c>
      <c r="S143" s="314">
        <v>0</v>
      </c>
      <c r="T143" s="314">
        <v>0</v>
      </c>
      <c r="U143" s="314">
        <v>0</v>
      </c>
      <c r="V143" s="309"/>
    </row>
    <row r="144" spans="1:22">
      <c r="A144" s="304"/>
      <c r="B144" s="50" t="s">
        <v>569</v>
      </c>
      <c r="C144" s="301">
        <v>0</v>
      </c>
      <c r="D144" s="302">
        <v>0</v>
      </c>
      <c r="E144" s="302">
        <v>0</v>
      </c>
      <c r="F144" s="302">
        <v>0</v>
      </c>
      <c r="G144" s="302">
        <v>0</v>
      </c>
      <c r="H144" s="302">
        <v>0</v>
      </c>
      <c r="I144" s="302">
        <v>0</v>
      </c>
      <c r="J144" s="303">
        <v>0</v>
      </c>
      <c r="K144" s="303">
        <v>0</v>
      </c>
      <c r="L144" s="302">
        <v>0</v>
      </c>
      <c r="M144" s="302">
        <v>0</v>
      </c>
      <c r="N144" s="302">
        <v>0</v>
      </c>
      <c r="O144" s="303">
        <v>0</v>
      </c>
      <c r="P144" s="303">
        <v>0</v>
      </c>
      <c r="Q144" s="302">
        <v>0</v>
      </c>
      <c r="R144" s="303">
        <v>0</v>
      </c>
      <c r="S144" s="303">
        <v>0</v>
      </c>
      <c r="T144" s="303">
        <v>0</v>
      </c>
      <c r="U144" s="303">
        <v>0</v>
      </c>
      <c r="V144" s="309"/>
    </row>
    <row r="145" spans="1:22">
      <c r="A145" s="304"/>
      <c r="B145" s="305" t="s">
        <v>570</v>
      </c>
      <c r="C145" s="306">
        <v>0</v>
      </c>
      <c r="D145" s="307">
        <v>0</v>
      </c>
      <c r="E145" s="307">
        <v>0</v>
      </c>
      <c r="F145" s="307">
        <v>0</v>
      </c>
      <c r="G145" s="307">
        <v>0</v>
      </c>
      <c r="H145" s="307">
        <v>0</v>
      </c>
      <c r="I145" s="307">
        <v>0</v>
      </c>
      <c r="J145" s="308">
        <v>0</v>
      </c>
      <c r="K145" s="308">
        <v>0</v>
      </c>
      <c r="L145" s="307">
        <v>0</v>
      </c>
      <c r="M145" s="307">
        <v>0</v>
      </c>
      <c r="N145" s="307">
        <v>0</v>
      </c>
      <c r="O145" s="308">
        <v>0</v>
      </c>
      <c r="P145" s="308">
        <v>0</v>
      </c>
      <c r="Q145" s="307">
        <v>0</v>
      </c>
      <c r="R145" s="308">
        <v>0</v>
      </c>
      <c r="S145" s="308">
        <v>0</v>
      </c>
      <c r="T145" s="308">
        <v>0</v>
      </c>
      <c r="U145" s="308">
        <v>0</v>
      </c>
      <c r="V145" s="309"/>
    </row>
    <row r="146" spans="1:22">
      <c r="A146" s="304"/>
      <c r="B146" s="310" t="s">
        <v>571</v>
      </c>
      <c r="C146" s="311">
        <v>0</v>
      </c>
      <c r="D146" s="312">
        <v>0</v>
      </c>
      <c r="E146" s="312">
        <v>0</v>
      </c>
      <c r="F146" s="312">
        <v>0</v>
      </c>
      <c r="G146" s="312">
        <v>0</v>
      </c>
      <c r="H146" s="312">
        <v>0</v>
      </c>
      <c r="I146" s="312">
        <v>0</v>
      </c>
      <c r="J146" s="314">
        <v>0</v>
      </c>
      <c r="K146" s="314">
        <v>0</v>
      </c>
      <c r="L146" s="312">
        <v>0</v>
      </c>
      <c r="M146" s="312">
        <v>0</v>
      </c>
      <c r="N146" s="312">
        <v>0</v>
      </c>
      <c r="O146" s="314">
        <v>0</v>
      </c>
      <c r="P146" s="314">
        <v>0</v>
      </c>
      <c r="Q146" s="312">
        <v>0</v>
      </c>
      <c r="R146" s="314">
        <v>0</v>
      </c>
      <c r="S146" s="314">
        <v>0</v>
      </c>
      <c r="T146" s="314">
        <v>0</v>
      </c>
      <c r="U146" s="314">
        <v>0</v>
      </c>
      <c r="V146" s="309"/>
    </row>
    <row r="147" spans="1:22">
      <c r="A147" s="304"/>
      <c r="B147" s="50" t="s">
        <v>572</v>
      </c>
      <c r="C147" s="301">
        <v>0</v>
      </c>
      <c r="D147" s="302">
        <v>0</v>
      </c>
      <c r="E147" s="302">
        <v>0</v>
      </c>
      <c r="F147" s="302">
        <v>0</v>
      </c>
      <c r="G147" s="302">
        <v>0</v>
      </c>
      <c r="H147" s="302">
        <v>0</v>
      </c>
      <c r="I147" s="302">
        <v>0</v>
      </c>
      <c r="J147" s="303">
        <v>0</v>
      </c>
      <c r="K147" s="303">
        <v>0</v>
      </c>
      <c r="L147" s="302">
        <v>0</v>
      </c>
      <c r="M147" s="302">
        <v>0</v>
      </c>
      <c r="N147" s="302">
        <v>0</v>
      </c>
      <c r="O147" s="303">
        <v>0</v>
      </c>
      <c r="P147" s="303">
        <v>0</v>
      </c>
      <c r="Q147" s="302">
        <v>0</v>
      </c>
      <c r="R147" s="303">
        <v>0</v>
      </c>
      <c r="S147" s="303">
        <v>0</v>
      </c>
      <c r="T147" s="303">
        <v>0</v>
      </c>
      <c r="U147" s="303">
        <v>0</v>
      </c>
      <c r="V147" s="309"/>
    </row>
    <row r="148" spans="1:22">
      <c r="A148" s="304"/>
      <c r="B148" s="305" t="s">
        <v>573</v>
      </c>
      <c r="C148" s="306">
        <v>0</v>
      </c>
      <c r="D148" s="307">
        <v>0</v>
      </c>
      <c r="E148" s="307">
        <v>0</v>
      </c>
      <c r="F148" s="307">
        <v>0</v>
      </c>
      <c r="G148" s="307">
        <v>0</v>
      </c>
      <c r="H148" s="307">
        <v>0</v>
      </c>
      <c r="I148" s="307">
        <v>0</v>
      </c>
      <c r="J148" s="308">
        <v>0</v>
      </c>
      <c r="K148" s="308">
        <v>0</v>
      </c>
      <c r="L148" s="307">
        <v>0</v>
      </c>
      <c r="M148" s="307">
        <v>0</v>
      </c>
      <c r="N148" s="307">
        <v>0</v>
      </c>
      <c r="O148" s="308">
        <v>0</v>
      </c>
      <c r="P148" s="308">
        <v>0</v>
      </c>
      <c r="Q148" s="307">
        <v>0</v>
      </c>
      <c r="R148" s="308">
        <v>0</v>
      </c>
      <c r="S148" s="308">
        <v>0</v>
      </c>
      <c r="T148" s="308">
        <v>0</v>
      </c>
      <c r="U148" s="308">
        <v>0</v>
      </c>
      <c r="V148" s="309"/>
    </row>
    <row r="149" spans="1:22" ht="15.75" thickBot="1">
      <c r="A149" s="320"/>
      <c r="B149" s="321" t="s">
        <v>574</v>
      </c>
      <c r="C149" s="322">
        <v>0</v>
      </c>
      <c r="D149" s="323">
        <v>0</v>
      </c>
      <c r="E149" s="323">
        <v>0</v>
      </c>
      <c r="F149" s="323">
        <v>0</v>
      </c>
      <c r="G149" s="323">
        <v>0</v>
      </c>
      <c r="H149" s="323">
        <v>0</v>
      </c>
      <c r="I149" s="323">
        <v>0</v>
      </c>
      <c r="J149" s="324">
        <v>0</v>
      </c>
      <c r="K149" s="324">
        <v>0</v>
      </c>
      <c r="L149" s="323">
        <v>0</v>
      </c>
      <c r="M149" s="323">
        <v>0</v>
      </c>
      <c r="N149" s="323">
        <v>0</v>
      </c>
      <c r="O149" s="324">
        <v>0</v>
      </c>
      <c r="P149" s="324">
        <v>0</v>
      </c>
      <c r="Q149" s="323">
        <v>0</v>
      </c>
      <c r="R149" s="324">
        <v>0</v>
      </c>
      <c r="S149" s="324">
        <v>0</v>
      </c>
      <c r="T149" s="324">
        <v>0</v>
      </c>
      <c r="U149" s="324">
        <v>0</v>
      </c>
      <c r="V149" s="309"/>
    </row>
    <row r="150" spans="1:22">
      <c r="A150" s="300" t="s">
        <v>141</v>
      </c>
      <c r="B150" s="50" t="s">
        <v>539</v>
      </c>
      <c r="C150" s="301">
        <v>0.56986453213159738</v>
      </c>
      <c r="D150" s="302">
        <v>0.42303874243451312</v>
      </c>
      <c r="E150" s="302">
        <v>0.50187404824352988</v>
      </c>
      <c r="F150" s="302">
        <v>0.59381144548903331</v>
      </c>
      <c r="G150" s="302">
        <v>0.52721679071351601</v>
      </c>
      <c r="H150" s="302">
        <v>0.61067902502329097</v>
      </c>
      <c r="I150" s="302">
        <v>0</v>
      </c>
      <c r="J150" s="303">
        <v>0.54539663540196948</v>
      </c>
      <c r="K150" s="303">
        <v>0.36683602170922208</v>
      </c>
      <c r="L150" s="302">
        <v>0</v>
      </c>
      <c r="M150" s="302">
        <v>0</v>
      </c>
      <c r="N150" s="302">
        <v>0</v>
      </c>
      <c r="O150" s="303">
        <v>0.36683602170922208</v>
      </c>
      <c r="P150" s="303">
        <v>0.44266334009841185</v>
      </c>
      <c r="Q150" s="302">
        <v>0</v>
      </c>
      <c r="R150" s="303">
        <v>0.44266334009841185</v>
      </c>
      <c r="S150" s="303">
        <v>0</v>
      </c>
      <c r="T150" s="303">
        <v>0</v>
      </c>
      <c r="U150" s="303">
        <v>0.5183499861545523</v>
      </c>
      <c r="V150" s="309"/>
    </row>
    <row r="151" spans="1:22">
      <c r="A151" s="304"/>
      <c r="B151" s="305" t="s">
        <v>540</v>
      </c>
      <c r="C151" s="306">
        <v>0.54405950847869744</v>
      </c>
      <c r="D151" s="307">
        <v>0.41341367238192206</v>
      </c>
      <c r="E151" s="307">
        <v>0.51330905237200342</v>
      </c>
      <c r="F151" s="307">
        <v>0.56379690914441472</v>
      </c>
      <c r="G151" s="307">
        <v>0.50211857525445047</v>
      </c>
      <c r="H151" s="307">
        <v>0.58229824685925191</v>
      </c>
      <c r="I151" s="307">
        <v>0</v>
      </c>
      <c r="J151" s="308">
        <v>0.53021591877461116</v>
      </c>
      <c r="K151" s="308">
        <v>0.30567286983443265</v>
      </c>
      <c r="L151" s="307">
        <v>0</v>
      </c>
      <c r="M151" s="307">
        <v>0</v>
      </c>
      <c r="N151" s="307">
        <v>0</v>
      </c>
      <c r="O151" s="308">
        <v>0.30567286983443265</v>
      </c>
      <c r="P151" s="308">
        <v>0.40160972336726464</v>
      </c>
      <c r="Q151" s="307">
        <v>0</v>
      </c>
      <c r="R151" s="308">
        <v>0.40160972336726464</v>
      </c>
      <c r="S151" s="308">
        <v>0</v>
      </c>
      <c r="T151" s="308">
        <v>0</v>
      </c>
      <c r="U151" s="308">
        <v>0.49784913500566758</v>
      </c>
      <c r="V151" s="309"/>
    </row>
    <row r="152" spans="1:22">
      <c r="A152" s="304"/>
      <c r="B152" s="310" t="s">
        <v>541</v>
      </c>
      <c r="C152" s="311">
        <v>-2.5805023652899939</v>
      </c>
      <c r="D152" s="312">
        <v>-0.9625070052591056</v>
      </c>
      <c r="E152" s="312">
        <v>1.1435004128473536</v>
      </c>
      <c r="F152" s="312">
        <v>-3.0014536344618592</v>
      </c>
      <c r="G152" s="312">
        <v>-2.5098215459065543</v>
      </c>
      <c r="H152" s="312">
        <v>-2.8380778164039056</v>
      </c>
      <c r="I152" s="312">
        <v>0</v>
      </c>
      <c r="J152" s="314">
        <v>-1.5180716627358315</v>
      </c>
      <c r="K152" s="314">
        <v>-6.1163151874789436</v>
      </c>
      <c r="L152" s="312">
        <v>0</v>
      </c>
      <c r="M152" s="312">
        <v>0</v>
      </c>
      <c r="N152" s="312">
        <v>0</v>
      </c>
      <c r="O152" s="314">
        <v>-6.1163151874789436</v>
      </c>
      <c r="P152" s="314">
        <v>-4.1053616731147216</v>
      </c>
      <c r="Q152" s="312">
        <v>0</v>
      </c>
      <c r="R152" s="314">
        <v>-4.1053616731147216</v>
      </c>
      <c r="S152" s="314">
        <v>0</v>
      </c>
      <c r="T152" s="314">
        <v>0</v>
      </c>
      <c r="U152" s="314">
        <v>-2.0500851148884722</v>
      </c>
      <c r="V152" s="309"/>
    </row>
    <row r="153" spans="1:22">
      <c r="A153" s="304"/>
      <c r="B153" s="50" t="s">
        <v>542</v>
      </c>
      <c r="C153" s="301">
        <v>9.1082969434459031E-3</v>
      </c>
      <c r="D153" s="302">
        <v>7.4485968493016282E-3</v>
      </c>
      <c r="E153" s="302">
        <v>7.0729302687554483E-3</v>
      </c>
      <c r="F153" s="302">
        <v>1.2929213303652876E-2</v>
      </c>
      <c r="G153" s="302">
        <v>4.3327991781081975E-3</v>
      </c>
      <c r="H153" s="302">
        <v>1.8287510380483797E-2</v>
      </c>
      <c r="I153" s="302">
        <v>0</v>
      </c>
      <c r="J153" s="303">
        <v>9.7379434851058034E-3</v>
      </c>
      <c r="K153" s="303">
        <v>0.1108932485474826</v>
      </c>
      <c r="L153" s="302">
        <v>0</v>
      </c>
      <c r="M153" s="302">
        <v>0</v>
      </c>
      <c r="N153" s="302">
        <v>0</v>
      </c>
      <c r="O153" s="303">
        <v>0.1108932485474826</v>
      </c>
      <c r="P153" s="303">
        <v>0</v>
      </c>
      <c r="Q153" s="302">
        <v>0</v>
      </c>
      <c r="R153" s="303">
        <v>0</v>
      </c>
      <c r="S153" s="303">
        <v>0</v>
      </c>
      <c r="T153" s="303">
        <v>0</v>
      </c>
      <c r="U153" s="303">
        <v>1.070585602310921E-2</v>
      </c>
      <c r="V153" s="309"/>
    </row>
    <row r="154" spans="1:22">
      <c r="A154" s="304"/>
      <c r="B154" s="305" t="s">
        <v>543</v>
      </c>
      <c r="C154" s="306">
        <v>7.8440655550423843E-3</v>
      </c>
      <c r="D154" s="307">
        <v>9.96866276376898E-3</v>
      </c>
      <c r="E154" s="307">
        <v>7.9398929800021979E-3</v>
      </c>
      <c r="F154" s="307">
        <v>1.1511228963544229E-2</v>
      </c>
      <c r="G154" s="307">
        <v>3.0974013127784781E-3</v>
      </c>
      <c r="H154" s="307">
        <v>1.8620264681021299E-2</v>
      </c>
      <c r="I154" s="307">
        <v>0</v>
      </c>
      <c r="J154" s="308">
        <v>9.4550243138653237E-3</v>
      </c>
      <c r="K154" s="308">
        <v>7.5577971463184818E-2</v>
      </c>
      <c r="L154" s="307">
        <v>0</v>
      </c>
      <c r="M154" s="307">
        <v>0</v>
      </c>
      <c r="N154" s="307">
        <v>0</v>
      </c>
      <c r="O154" s="308">
        <v>7.5577971463184818E-2</v>
      </c>
      <c r="P154" s="308">
        <v>0</v>
      </c>
      <c r="Q154" s="307">
        <v>0</v>
      </c>
      <c r="R154" s="308">
        <v>0</v>
      </c>
      <c r="S154" s="308">
        <v>0</v>
      </c>
      <c r="T154" s="308">
        <v>0</v>
      </c>
      <c r="U154" s="308">
        <v>9.2957651438646868E-3</v>
      </c>
      <c r="V154" s="309"/>
    </row>
    <row r="155" spans="1:22">
      <c r="A155" s="304"/>
      <c r="B155" s="310" t="s">
        <v>544</v>
      </c>
      <c r="C155" s="311">
        <v>-0.12642313884035189</v>
      </c>
      <c r="D155" s="312">
        <v>0.25200659144673521</v>
      </c>
      <c r="E155" s="312">
        <v>8.6696271124674956E-2</v>
      </c>
      <c r="F155" s="312">
        <v>-0.14179843401086467</v>
      </c>
      <c r="G155" s="312">
        <v>-0.12353978653297194</v>
      </c>
      <c r="H155" s="312">
        <v>3.3275430053750221E-2</v>
      </c>
      <c r="I155" s="312">
        <v>0</v>
      </c>
      <c r="J155" s="314">
        <v>-2.8291917124047966E-2</v>
      </c>
      <c r="K155" s="314">
        <v>-3.5315277084297785</v>
      </c>
      <c r="L155" s="312">
        <v>0</v>
      </c>
      <c r="M155" s="312">
        <v>0</v>
      </c>
      <c r="N155" s="312">
        <v>0</v>
      </c>
      <c r="O155" s="314">
        <v>-3.5315277084297785</v>
      </c>
      <c r="P155" s="314">
        <v>0</v>
      </c>
      <c r="Q155" s="312">
        <v>0</v>
      </c>
      <c r="R155" s="314">
        <v>0</v>
      </c>
      <c r="S155" s="314">
        <v>0</v>
      </c>
      <c r="T155" s="314">
        <v>0</v>
      </c>
      <c r="U155" s="314">
        <v>-0.14100908792445238</v>
      </c>
      <c r="V155" s="309"/>
    </row>
    <row r="156" spans="1:22">
      <c r="A156" s="304"/>
      <c r="B156" s="50" t="s">
        <v>545</v>
      </c>
      <c r="C156" s="301">
        <v>0.42102717092495673</v>
      </c>
      <c r="D156" s="302">
        <v>0.56951266071618534</v>
      </c>
      <c r="E156" s="302">
        <v>0.49089026411592812</v>
      </c>
      <c r="F156" s="302">
        <v>0.39099971484067658</v>
      </c>
      <c r="G156" s="302">
        <v>0.46317399873812809</v>
      </c>
      <c r="H156" s="302">
        <v>0.37103346459622522</v>
      </c>
      <c r="I156" s="302">
        <v>0</v>
      </c>
      <c r="J156" s="303">
        <v>0.44411606388102881</v>
      </c>
      <c r="K156" s="303">
        <v>0.52227072974329536</v>
      </c>
      <c r="L156" s="302">
        <v>0</v>
      </c>
      <c r="M156" s="302">
        <v>0</v>
      </c>
      <c r="N156" s="302">
        <v>0</v>
      </c>
      <c r="O156" s="303">
        <v>0.52227072974329536</v>
      </c>
      <c r="P156" s="303">
        <v>0.5477745651961119</v>
      </c>
      <c r="Q156" s="302">
        <v>0</v>
      </c>
      <c r="R156" s="303">
        <v>0.5477745651961119</v>
      </c>
      <c r="S156" s="303">
        <v>0</v>
      </c>
      <c r="T156" s="303">
        <v>0</v>
      </c>
      <c r="U156" s="303">
        <v>0.46835520019554955</v>
      </c>
      <c r="V156" s="309"/>
    </row>
    <row r="157" spans="1:22">
      <c r="A157" s="304"/>
      <c r="B157" s="305" t="s">
        <v>546</v>
      </c>
      <c r="C157" s="306">
        <v>0.44809642596626015</v>
      </c>
      <c r="D157" s="307">
        <v>0.57661766485430899</v>
      </c>
      <c r="E157" s="307">
        <v>0.47841580230541864</v>
      </c>
      <c r="F157" s="307">
        <v>0.42044586511691856</v>
      </c>
      <c r="G157" s="307">
        <v>0.49078604309196833</v>
      </c>
      <c r="H157" s="307">
        <v>0.3990814884597268</v>
      </c>
      <c r="I157" s="307">
        <v>0</v>
      </c>
      <c r="J157" s="308">
        <v>0.45923122966213603</v>
      </c>
      <c r="K157" s="308">
        <v>0.61874915870238256</v>
      </c>
      <c r="L157" s="307">
        <v>0</v>
      </c>
      <c r="M157" s="307">
        <v>0</v>
      </c>
      <c r="N157" s="307">
        <v>0</v>
      </c>
      <c r="O157" s="308">
        <v>0.61874915870238256</v>
      </c>
      <c r="P157" s="308">
        <v>0.58198336400222239</v>
      </c>
      <c r="Q157" s="307">
        <v>0</v>
      </c>
      <c r="R157" s="308">
        <v>0.58198336400222239</v>
      </c>
      <c r="S157" s="308">
        <v>0</v>
      </c>
      <c r="T157" s="308">
        <v>0</v>
      </c>
      <c r="U157" s="308">
        <v>0.4886521010557569</v>
      </c>
      <c r="V157" s="309"/>
    </row>
    <row r="158" spans="1:22">
      <c r="A158" s="304"/>
      <c r="B158" s="310" t="s">
        <v>547</v>
      </c>
      <c r="C158" s="311">
        <v>2.7069255041303419</v>
      </c>
      <c r="D158" s="312">
        <v>0.71050041381236495</v>
      </c>
      <c r="E158" s="312">
        <v>-1.2474461810509485</v>
      </c>
      <c r="F158" s="312">
        <v>2.9446150276241978</v>
      </c>
      <c r="G158" s="312">
        <v>2.7612044353840237</v>
      </c>
      <c r="H158" s="312">
        <v>2.8048023863501581</v>
      </c>
      <c r="I158" s="312">
        <v>0</v>
      </c>
      <c r="J158" s="314">
        <v>1.511516578110722</v>
      </c>
      <c r="K158" s="314">
        <v>9.6478428959087204</v>
      </c>
      <c r="L158" s="312">
        <v>0</v>
      </c>
      <c r="M158" s="312">
        <v>0</v>
      </c>
      <c r="N158" s="312">
        <v>0</v>
      </c>
      <c r="O158" s="314">
        <v>9.6478428959087204</v>
      </c>
      <c r="P158" s="314">
        <v>3.4208798806110496</v>
      </c>
      <c r="Q158" s="312">
        <v>0</v>
      </c>
      <c r="R158" s="314">
        <v>3.4208798806110496</v>
      </c>
      <c r="S158" s="314">
        <v>0</v>
      </c>
      <c r="T158" s="314">
        <v>0</v>
      </c>
      <c r="U158" s="314">
        <v>2.0296900860207359</v>
      </c>
      <c r="V158" s="309"/>
    </row>
    <row r="159" spans="1:22">
      <c r="A159" s="304"/>
      <c r="B159" s="50" t="s">
        <v>548</v>
      </c>
      <c r="C159" s="301">
        <v>0</v>
      </c>
      <c r="D159" s="302">
        <v>0</v>
      </c>
      <c r="E159" s="302">
        <v>1.2580957761655859E-4</v>
      </c>
      <c r="F159" s="302">
        <v>1.5721087308021337E-3</v>
      </c>
      <c r="G159" s="302">
        <v>2.0491460030485934E-3</v>
      </c>
      <c r="H159" s="302">
        <v>0</v>
      </c>
      <c r="I159" s="302">
        <v>0</v>
      </c>
      <c r="J159" s="303">
        <v>4.4249793617553523E-4</v>
      </c>
      <c r="K159" s="303">
        <v>0</v>
      </c>
      <c r="L159" s="302">
        <v>0</v>
      </c>
      <c r="M159" s="302">
        <v>0</v>
      </c>
      <c r="N159" s="302">
        <v>0</v>
      </c>
      <c r="O159" s="303">
        <v>0</v>
      </c>
      <c r="P159" s="303">
        <v>9.5620947054762886E-3</v>
      </c>
      <c r="Q159" s="302">
        <v>0</v>
      </c>
      <c r="R159" s="303">
        <v>9.5620947054762886E-3</v>
      </c>
      <c r="S159" s="303">
        <v>0</v>
      </c>
      <c r="T159" s="303">
        <v>0</v>
      </c>
      <c r="U159" s="303">
        <v>2.3561112792437181E-3</v>
      </c>
      <c r="V159" s="309"/>
    </row>
    <row r="160" spans="1:22">
      <c r="A160" s="304"/>
      <c r="B160" s="305" t="s">
        <v>549</v>
      </c>
      <c r="C160" s="306">
        <v>0</v>
      </c>
      <c r="D160" s="307">
        <v>0</v>
      </c>
      <c r="E160" s="307">
        <v>2.7378941310352408E-4</v>
      </c>
      <c r="F160" s="307">
        <v>3.5242797504403379E-3</v>
      </c>
      <c r="G160" s="307">
        <v>6.6436157805067452E-4</v>
      </c>
      <c r="H160" s="307">
        <v>0</v>
      </c>
      <c r="I160" s="307">
        <v>0</v>
      </c>
      <c r="J160" s="308">
        <v>7.7758473003643885E-4</v>
      </c>
      <c r="K160" s="308">
        <v>0</v>
      </c>
      <c r="L160" s="307">
        <v>0</v>
      </c>
      <c r="M160" s="307">
        <v>0</v>
      </c>
      <c r="N160" s="307">
        <v>0</v>
      </c>
      <c r="O160" s="308">
        <v>0</v>
      </c>
      <c r="P160" s="308">
        <v>1.6406912630512981E-2</v>
      </c>
      <c r="Q160" s="307">
        <v>0</v>
      </c>
      <c r="R160" s="308">
        <v>1.6406912630512981E-2</v>
      </c>
      <c r="S160" s="308">
        <v>0</v>
      </c>
      <c r="T160" s="308">
        <v>0</v>
      </c>
      <c r="U160" s="308">
        <v>3.9569337583766802E-3</v>
      </c>
      <c r="V160" s="309"/>
    </row>
    <row r="161" spans="1:22">
      <c r="A161" s="304"/>
      <c r="B161" s="310" t="s">
        <v>550</v>
      </c>
      <c r="C161" s="311">
        <v>0</v>
      </c>
      <c r="D161" s="312">
        <v>0</v>
      </c>
      <c r="E161" s="312">
        <v>1.4797983548696549E-2</v>
      </c>
      <c r="F161" s="312">
        <v>0.19521710196382042</v>
      </c>
      <c r="G161" s="312">
        <v>-0.13847844249979188</v>
      </c>
      <c r="H161" s="312">
        <v>0</v>
      </c>
      <c r="I161" s="312">
        <v>0</v>
      </c>
      <c r="J161" s="314">
        <v>3.3508679386090361E-2</v>
      </c>
      <c r="K161" s="314">
        <v>0</v>
      </c>
      <c r="L161" s="312">
        <v>0</v>
      </c>
      <c r="M161" s="312">
        <v>0</v>
      </c>
      <c r="N161" s="312">
        <v>0</v>
      </c>
      <c r="O161" s="314">
        <v>0</v>
      </c>
      <c r="P161" s="314">
        <v>0.68448179250366925</v>
      </c>
      <c r="Q161" s="312">
        <v>0</v>
      </c>
      <c r="R161" s="314">
        <v>0.68448179250366925</v>
      </c>
      <c r="S161" s="314">
        <v>0</v>
      </c>
      <c r="T161" s="314">
        <v>0</v>
      </c>
      <c r="U161" s="314">
        <v>0.1600822479132962</v>
      </c>
      <c r="V161" s="309"/>
    </row>
    <row r="162" spans="1:22">
      <c r="A162" s="304"/>
      <c r="B162" s="50" t="s">
        <v>551</v>
      </c>
      <c r="C162" s="301">
        <v>0</v>
      </c>
      <c r="D162" s="302">
        <v>0</v>
      </c>
      <c r="E162" s="302">
        <v>3.6947794169918695E-5</v>
      </c>
      <c r="F162" s="302">
        <v>6.8751763583512122E-4</v>
      </c>
      <c r="G162" s="302">
        <v>3.227265367199147E-3</v>
      </c>
      <c r="H162" s="302">
        <v>0</v>
      </c>
      <c r="I162" s="302">
        <v>0</v>
      </c>
      <c r="J162" s="303">
        <v>3.0685929572031324E-4</v>
      </c>
      <c r="K162" s="303">
        <v>0</v>
      </c>
      <c r="L162" s="302">
        <v>0</v>
      </c>
      <c r="M162" s="302">
        <v>0</v>
      </c>
      <c r="N162" s="302">
        <v>0</v>
      </c>
      <c r="O162" s="303">
        <v>0</v>
      </c>
      <c r="P162" s="303">
        <v>0</v>
      </c>
      <c r="Q162" s="302">
        <v>0</v>
      </c>
      <c r="R162" s="303">
        <v>0</v>
      </c>
      <c r="S162" s="303">
        <v>0</v>
      </c>
      <c r="T162" s="303">
        <v>0</v>
      </c>
      <c r="U162" s="303">
        <v>2.3284634754535462E-4</v>
      </c>
      <c r="V162" s="309"/>
    </row>
    <row r="163" spans="1:22">
      <c r="A163" s="304"/>
      <c r="B163" s="305" t="s">
        <v>552</v>
      </c>
      <c r="C163" s="306">
        <v>0</v>
      </c>
      <c r="D163" s="307">
        <v>0</v>
      </c>
      <c r="E163" s="307">
        <v>6.1462929472219692E-5</v>
      </c>
      <c r="F163" s="307">
        <v>7.2171702468217067E-4</v>
      </c>
      <c r="G163" s="307">
        <v>3.3336187627520512E-3</v>
      </c>
      <c r="H163" s="307">
        <v>0</v>
      </c>
      <c r="I163" s="307">
        <v>0</v>
      </c>
      <c r="J163" s="308">
        <v>3.2024251935098891E-4</v>
      </c>
      <c r="K163" s="308">
        <v>0</v>
      </c>
      <c r="L163" s="307">
        <v>0</v>
      </c>
      <c r="M163" s="307">
        <v>0</v>
      </c>
      <c r="N163" s="307">
        <v>0</v>
      </c>
      <c r="O163" s="308">
        <v>0</v>
      </c>
      <c r="P163" s="308">
        <v>0</v>
      </c>
      <c r="Q163" s="307">
        <v>0</v>
      </c>
      <c r="R163" s="308">
        <v>0</v>
      </c>
      <c r="S163" s="308">
        <v>0</v>
      </c>
      <c r="T163" s="308">
        <v>0</v>
      </c>
      <c r="U163" s="308">
        <v>2.4606503633415314E-4</v>
      </c>
      <c r="V163" s="309"/>
    </row>
    <row r="164" spans="1:22">
      <c r="A164" s="304"/>
      <c r="B164" s="310" t="s">
        <v>553</v>
      </c>
      <c r="C164" s="311">
        <v>0</v>
      </c>
      <c r="D164" s="312">
        <v>0</v>
      </c>
      <c r="E164" s="312">
        <v>2.4515135302300996E-3</v>
      </c>
      <c r="F164" s="312">
        <v>3.4199388847049451E-3</v>
      </c>
      <c r="G164" s="312">
        <v>1.0635339555290424E-2</v>
      </c>
      <c r="H164" s="312">
        <v>0</v>
      </c>
      <c r="I164" s="312">
        <v>0</v>
      </c>
      <c r="J164" s="314">
        <v>1.3383223630675668E-3</v>
      </c>
      <c r="K164" s="314">
        <v>0</v>
      </c>
      <c r="L164" s="312">
        <v>0</v>
      </c>
      <c r="M164" s="312">
        <v>0</v>
      </c>
      <c r="N164" s="312">
        <v>0</v>
      </c>
      <c r="O164" s="314">
        <v>0</v>
      </c>
      <c r="P164" s="314">
        <v>0</v>
      </c>
      <c r="Q164" s="312">
        <v>0</v>
      </c>
      <c r="R164" s="314">
        <v>0</v>
      </c>
      <c r="S164" s="314">
        <v>0</v>
      </c>
      <c r="T164" s="314">
        <v>0</v>
      </c>
      <c r="U164" s="314">
        <v>1.3218688788798521E-3</v>
      </c>
      <c r="V164" s="309"/>
    </row>
    <row r="165" spans="1:22">
      <c r="A165" s="304"/>
      <c r="B165" s="50" t="s">
        <v>554</v>
      </c>
      <c r="C165" s="301">
        <v>0</v>
      </c>
      <c r="D165" s="302">
        <v>0</v>
      </c>
      <c r="E165" s="302">
        <v>0</v>
      </c>
      <c r="F165" s="302">
        <v>0</v>
      </c>
      <c r="G165" s="302">
        <v>0</v>
      </c>
      <c r="H165" s="302">
        <v>0</v>
      </c>
      <c r="I165" s="302">
        <v>0</v>
      </c>
      <c r="J165" s="303">
        <v>0</v>
      </c>
      <c r="K165" s="303">
        <v>0</v>
      </c>
      <c r="L165" s="302">
        <v>0</v>
      </c>
      <c r="M165" s="302">
        <v>0</v>
      </c>
      <c r="N165" s="302">
        <v>0</v>
      </c>
      <c r="O165" s="303">
        <v>0</v>
      </c>
      <c r="P165" s="303">
        <v>0</v>
      </c>
      <c r="Q165" s="302">
        <v>0</v>
      </c>
      <c r="R165" s="303">
        <v>0</v>
      </c>
      <c r="S165" s="303">
        <v>0</v>
      </c>
      <c r="T165" s="303">
        <v>0</v>
      </c>
      <c r="U165" s="303">
        <v>0</v>
      </c>
      <c r="V165" s="309"/>
    </row>
    <row r="166" spans="1:22">
      <c r="A166" s="304"/>
      <c r="B166" s="305" t="s">
        <v>555</v>
      </c>
      <c r="C166" s="306">
        <v>0</v>
      </c>
      <c r="D166" s="307">
        <v>0</v>
      </c>
      <c r="E166" s="307">
        <v>0</v>
      </c>
      <c r="F166" s="307">
        <v>0</v>
      </c>
      <c r="G166" s="307">
        <v>0</v>
      </c>
      <c r="H166" s="307">
        <v>0</v>
      </c>
      <c r="I166" s="307">
        <v>0</v>
      </c>
      <c r="J166" s="308">
        <v>0</v>
      </c>
      <c r="K166" s="308">
        <v>0</v>
      </c>
      <c r="L166" s="307">
        <v>0</v>
      </c>
      <c r="M166" s="307">
        <v>0</v>
      </c>
      <c r="N166" s="307">
        <v>0</v>
      </c>
      <c r="O166" s="308">
        <v>0</v>
      </c>
      <c r="P166" s="308">
        <v>0</v>
      </c>
      <c r="Q166" s="307">
        <v>0</v>
      </c>
      <c r="R166" s="308">
        <v>0</v>
      </c>
      <c r="S166" s="308">
        <v>0</v>
      </c>
      <c r="T166" s="308">
        <v>0</v>
      </c>
      <c r="U166" s="308">
        <v>0</v>
      </c>
      <c r="V166" s="309"/>
    </row>
    <row r="167" spans="1:22" ht="15.75" thickBot="1">
      <c r="A167" s="304"/>
      <c r="B167" s="316" t="s">
        <v>556</v>
      </c>
      <c r="C167" s="317">
        <v>0</v>
      </c>
      <c r="D167" s="318">
        <v>0</v>
      </c>
      <c r="E167" s="318">
        <v>0</v>
      </c>
      <c r="F167" s="318">
        <v>0</v>
      </c>
      <c r="G167" s="318">
        <v>0</v>
      </c>
      <c r="H167" s="318">
        <v>0</v>
      </c>
      <c r="I167" s="318">
        <v>0</v>
      </c>
      <c r="J167" s="319">
        <v>0</v>
      </c>
      <c r="K167" s="319">
        <v>0</v>
      </c>
      <c r="L167" s="318">
        <v>0</v>
      </c>
      <c r="M167" s="318">
        <v>0</v>
      </c>
      <c r="N167" s="318">
        <v>0</v>
      </c>
      <c r="O167" s="319">
        <v>0</v>
      </c>
      <c r="P167" s="319">
        <v>0</v>
      </c>
      <c r="Q167" s="318">
        <v>0</v>
      </c>
      <c r="R167" s="319">
        <v>0</v>
      </c>
      <c r="S167" s="319">
        <v>0</v>
      </c>
      <c r="T167" s="319">
        <v>0</v>
      </c>
      <c r="U167" s="319">
        <v>0</v>
      </c>
      <c r="V167" s="309"/>
    </row>
    <row r="168" spans="1:22" ht="15.75" thickTop="1">
      <c r="A168" s="304"/>
      <c r="B168" s="305" t="s">
        <v>557</v>
      </c>
      <c r="C168" s="306">
        <v>0.51679182198872686</v>
      </c>
      <c r="D168" s="307">
        <v>0.38817247419851841</v>
      </c>
      <c r="E168" s="307">
        <v>0.20360750107496686</v>
      </c>
      <c r="F168" s="307">
        <v>0.56307083051947626</v>
      </c>
      <c r="G168" s="307">
        <v>0.23658974200334096</v>
      </c>
      <c r="H168" s="307">
        <v>0</v>
      </c>
      <c r="I168" s="307">
        <v>0</v>
      </c>
      <c r="J168" s="308">
        <v>0.43911910047944785</v>
      </c>
      <c r="K168" s="308">
        <v>0</v>
      </c>
      <c r="L168" s="307">
        <v>0</v>
      </c>
      <c r="M168" s="307">
        <v>0</v>
      </c>
      <c r="N168" s="307">
        <v>0</v>
      </c>
      <c r="O168" s="308">
        <v>0</v>
      </c>
      <c r="P168" s="308">
        <v>0</v>
      </c>
      <c r="Q168" s="307">
        <v>0</v>
      </c>
      <c r="R168" s="308">
        <v>0</v>
      </c>
      <c r="S168" s="308">
        <v>0</v>
      </c>
      <c r="T168" s="308">
        <v>0</v>
      </c>
      <c r="U168" s="308">
        <v>0.43911910047944785</v>
      </c>
      <c r="V168" s="309"/>
    </row>
    <row r="169" spans="1:22">
      <c r="A169" s="304"/>
      <c r="B169" s="305" t="s">
        <v>558</v>
      </c>
      <c r="C169" s="306">
        <v>0.57114662884524925</v>
      </c>
      <c r="D169" s="307">
        <v>0.45191130027280035</v>
      </c>
      <c r="E169" s="307">
        <v>0.21351905227262419</v>
      </c>
      <c r="F169" s="307">
        <v>0.5712719100040371</v>
      </c>
      <c r="G169" s="307">
        <v>0.22323102155576383</v>
      </c>
      <c r="H169" s="307">
        <v>0</v>
      </c>
      <c r="I169" s="307">
        <v>0</v>
      </c>
      <c r="J169" s="308">
        <v>0.47744269035975234</v>
      </c>
      <c r="K169" s="308">
        <v>0</v>
      </c>
      <c r="L169" s="307">
        <v>0</v>
      </c>
      <c r="M169" s="307">
        <v>0</v>
      </c>
      <c r="N169" s="307">
        <v>0</v>
      </c>
      <c r="O169" s="308">
        <v>0</v>
      </c>
      <c r="P169" s="308">
        <v>0</v>
      </c>
      <c r="Q169" s="307">
        <v>0</v>
      </c>
      <c r="R169" s="308">
        <v>0</v>
      </c>
      <c r="S169" s="308">
        <v>0</v>
      </c>
      <c r="T169" s="308">
        <v>0</v>
      </c>
      <c r="U169" s="308">
        <v>0.47744269035975234</v>
      </c>
      <c r="V169" s="309"/>
    </row>
    <row r="170" spans="1:22">
      <c r="A170" s="304"/>
      <c r="B170" s="310" t="s">
        <v>559</v>
      </c>
      <c r="C170" s="311">
        <v>5.4354806856522391</v>
      </c>
      <c r="D170" s="312">
        <v>6.373882607428194</v>
      </c>
      <c r="E170" s="312">
        <v>0.99115511976573256</v>
      </c>
      <c r="F170" s="312">
        <v>0.82010794845608359</v>
      </c>
      <c r="G170" s="312">
        <v>-1.3358720447577133</v>
      </c>
      <c r="H170" s="312">
        <v>0</v>
      </c>
      <c r="I170" s="312">
        <v>0</v>
      </c>
      <c r="J170" s="314">
        <v>3.8323589880304487</v>
      </c>
      <c r="K170" s="314">
        <v>0</v>
      </c>
      <c r="L170" s="312">
        <v>0</v>
      </c>
      <c r="M170" s="312">
        <v>0</v>
      </c>
      <c r="N170" s="312">
        <v>0</v>
      </c>
      <c r="O170" s="314">
        <v>0</v>
      </c>
      <c r="P170" s="314">
        <v>0</v>
      </c>
      <c r="Q170" s="312">
        <v>0</v>
      </c>
      <c r="R170" s="314">
        <v>0</v>
      </c>
      <c r="S170" s="314">
        <v>0</v>
      </c>
      <c r="T170" s="314">
        <v>0</v>
      </c>
      <c r="U170" s="314">
        <v>3.8323589880304487</v>
      </c>
      <c r="V170" s="309"/>
    </row>
    <row r="171" spans="1:22">
      <c r="A171" s="304"/>
      <c r="B171" s="50" t="s">
        <v>560</v>
      </c>
      <c r="C171" s="301">
        <v>0.1634403615190522</v>
      </c>
      <c r="D171" s="302">
        <v>7.6302613234145731E-3</v>
      </c>
      <c r="E171" s="302">
        <v>5.4143229463745101E-3</v>
      </c>
      <c r="F171" s="302">
        <v>4.309626997292141E-2</v>
      </c>
      <c r="G171" s="302">
        <v>0.10097135432778569</v>
      </c>
      <c r="H171" s="302">
        <v>0</v>
      </c>
      <c r="I171" s="302">
        <v>0</v>
      </c>
      <c r="J171" s="303">
        <v>7.0112095437710492E-2</v>
      </c>
      <c r="K171" s="303">
        <v>0</v>
      </c>
      <c r="L171" s="302">
        <v>0</v>
      </c>
      <c r="M171" s="302">
        <v>0</v>
      </c>
      <c r="N171" s="302">
        <v>0</v>
      </c>
      <c r="O171" s="303">
        <v>0</v>
      </c>
      <c r="P171" s="303">
        <v>0</v>
      </c>
      <c r="Q171" s="302">
        <v>0</v>
      </c>
      <c r="R171" s="303">
        <v>0</v>
      </c>
      <c r="S171" s="303">
        <v>0</v>
      </c>
      <c r="T171" s="303">
        <v>0</v>
      </c>
      <c r="U171" s="303">
        <v>7.0112095437710492E-2</v>
      </c>
      <c r="V171" s="309"/>
    </row>
    <row r="172" spans="1:22">
      <c r="A172" s="304"/>
      <c r="B172" s="305" t="s">
        <v>561</v>
      </c>
      <c r="C172" s="306">
        <v>0.19758131550951749</v>
      </c>
      <c r="D172" s="307">
        <v>8.5054843054910966E-3</v>
      </c>
      <c r="E172" s="307">
        <v>3.917251161774226E-3</v>
      </c>
      <c r="F172" s="307">
        <v>4.4422552014605668E-2</v>
      </c>
      <c r="G172" s="307">
        <v>6.0977038425492035E-2</v>
      </c>
      <c r="H172" s="307">
        <v>0</v>
      </c>
      <c r="I172" s="307">
        <v>0</v>
      </c>
      <c r="J172" s="308">
        <v>7.9140344803575402E-2</v>
      </c>
      <c r="K172" s="308">
        <v>0</v>
      </c>
      <c r="L172" s="307">
        <v>0</v>
      </c>
      <c r="M172" s="307">
        <v>0</v>
      </c>
      <c r="N172" s="307">
        <v>0</v>
      </c>
      <c r="O172" s="308">
        <v>0</v>
      </c>
      <c r="P172" s="308">
        <v>0</v>
      </c>
      <c r="Q172" s="307">
        <v>0</v>
      </c>
      <c r="R172" s="308">
        <v>0</v>
      </c>
      <c r="S172" s="308">
        <v>0</v>
      </c>
      <c r="T172" s="308">
        <v>0</v>
      </c>
      <c r="U172" s="308">
        <v>7.9140344803575402E-2</v>
      </c>
      <c r="V172" s="309"/>
    </row>
    <row r="173" spans="1:22">
      <c r="A173" s="304"/>
      <c r="B173" s="310" t="s">
        <v>562</v>
      </c>
      <c r="C173" s="311">
        <v>3.4140953990465297</v>
      </c>
      <c r="D173" s="312">
        <v>8.7522298207652352E-2</v>
      </c>
      <c r="E173" s="312">
        <v>-0.1497071784600284</v>
      </c>
      <c r="F173" s="312">
        <v>0.13262820416842583</v>
      </c>
      <c r="G173" s="312">
        <v>-3.9994315902293653</v>
      </c>
      <c r="H173" s="312">
        <v>0</v>
      </c>
      <c r="I173" s="312">
        <v>0</v>
      </c>
      <c r="J173" s="314">
        <v>0.90282493658649099</v>
      </c>
      <c r="K173" s="314">
        <v>0</v>
      </c>
      <c r="L173" s="312">
        <v>0</v>
      </c>
      <c r="M173" s="312">
        <v>0</v>
      </c>
      <c r="N173" s="312">
        <v>0</v>
      </c>
      <c r="O173" s="314">
        <v>0</v>
      </c>
      <c r="P173" s="314">
        <v>0</v>
      </c>
      <c r="Q173" s="312">
        <v>0</v>
      </c>
      <c r="R173" s="314">
        <v>0</v>
      </c>
      <c r="S173" s="314">
        <v>0</v>
      </c>
      <c r="T173" s="314">
        <v>0</v>
      </c>
      <c r="U173" s="314">
        <v>0.90282493658649099</v>
      </c>
      <c r="V173" s="309"/>
    </row>
    <row r="174" spans="1:22">
      <c r="A174" s="304"/>
      <c r="B174" s="50" t="s">
        <v>563</v>
      </c>
      <c r="C174" s="301">
        <v>0.31976781649222091</v>
      </c>
      <c r="D174" s="302">
        <v>0.60419726447806699</v>
      </c>
      <c r="E174" s="302">
        <v>0.79078073308353147</v>
      </c>
      <c r="F174" s="302">
        <v>0.39378372530635525</v>
      </c>
      <c r="G174" s="302">
        <v>0.66052094289426466</v>
      </c>
      <c r="H174" s="302">
        <v>0</v>
      </c>
      <c r="I174" s="302">
        <v>0</v>
      </c>
      <c r="J174" s="303">
        <v>0.49070657898443715</v>
      </c>
      <c r="K174" s="303">
        <v>0</v>
      </c>
      <c r="L174" s="302">
        <v>0</v>
      </c>
      <c r="M174" s="302">
        <v>0</v>
      </c>
      <c r="N174" s="302">
        <v>0</v>
      </c>
      <c r="O174" s="303">
        <v>0</v>
      </c>
      <c r="P174" s="303">
        <v>0</v>
      </c>
      <c r="Q174" s="302">
        <v>0</v>
      </c>
      <c r="R174" s="303">
        <v>0</v>
      </c>
      <c r="S174" s="303">
        <v>0</v>
      </c>
      <c r="T174" s="303">
        <v>0</v>
      </c>
      <c r="U174" s="303">
        <v>0.49070657898443715</v>
      </c>
      <c r="V174" s="309"/>
    </row>
    <row r="175" spans="1:22">
      <c r="A175" s="304"/>
      <c r="B175" s="305" t="s">
        <v>564</v>
      </c>
      <c r="C175" s="306">
        <v>0.23127205564523334</v>
      </c>
      <c r="D175" s="307">
        <v>0.53958321542170862</v>
      </c>
      <c r="E175" s="307">
        <v>0.78227918042858846</v>
      </c>
      <c r="F175" s="307">
        <v>0.3843055379813573</v>
      </c>
      <c r="G175" s="307">
        <v>0.70419400187441428</v>
      </c>
      <c r="H175" s="307">
        <v>0</v>
      </c>
      <c r="I175" s="307">
        <v>0</v>
      </c>
      <c r="J175" s="308">
        <v>0.44324477283944819</v>
      </c>
      <c r="K175" s="308">
        <v>0</v>
      </c>
      <c r="L175" s="307">
        <v>0</v>
      </c>
      <c r="M175" s="307">
        <v>0</v>
      </c>
      <c r="N175" s="307">
        <v>0</v>
      </c>
      <c r="O175" s="308">
        <v>0</v>
      </c>
      <c r="P175" s="308">
        <v>0</v>
      </c>
      <c r="Q175" s="307">
        <v>0</v>
      </c>
      <c r="R175" s="308">
        <v>0</v>
      </c>
      <c r="S175" s="308">
        <v>0</v>
      </c>
      <c r="T175" s="308">
        <v>0</v>
      </c>
      <c r="U175" s="308">
        <v>0.44324477283944819</v>
      </c>
      <c r="V175" s="309"/>
    </row>
    <row r="176" spans="1:22">
      <c r="A176" s="304"/>
      <c r="B176" s="310" t="s">
        <v>565</v>
      </c>
      <c r="C176" s="311">
        <v>-8.8495760846987572</v>
      </c>
      <c r="D176" s="312">
        <v>-6.4614049056358365</v>
      </c>
      <c r="E176" s="312">
        <v>-0.8501552654943012</v>
      </c>
      <c r="F176" s="312">
        <v>-0.94781873249979443</v>
      </c>
      <c r="G176" s="312">
        <v>4.3673058980149619</v>
      </c>
      <c r="H176" s="312">
        <v>0</v>
      </c>
      <c r="I176" s="312">
        <v>0</v>
      </c>
      <c r="J176" s="314">
        <v>-4.7461806144988961</v>
      </c>
      <c r="K176" s="314">
        <v>0</v>
      </c>
      <c r="L176" s="312">
        <v>0</v>
      </c>
      <c r="M176" s="312">
        <v>0</v>
      </c>
      <c r="N176" s="312">
        <v>0</v>
      </c>
      <c r="O176" s="314">
        <v>0</v>
      </c>
      <c r="P176" s="314">
        <v>0</v>
      </c>
      <c r="Q176" s="312">
        <v>0</v>
      </c>
      <c r="R176" s="314">
        <v>0</v>
      </c>
      <c r="S176" s="314">
        <v>0</v>
      </c>
      <c r="T176" s="314">
        <v>0</v>
      </c>
      <c r="U176" s="314">
        <v>-4.7461806144988961</v>
      </c>
      <c r="V176" s="309"/>
    </row>
    <row r="177" spans="1:22">
      <c r="A177" s="304"/>
      <c r="B177" s="50" t="s">
        <v>566</v>
      </c>
      <c r="C177" s="301">
        <v>0</v>
      </c>
      <c r="D177" s="302">
        <v>0</v>
      </c>
      <c r="E177" s="302">
        <v>1.9744289512710935E-4</v>
      </c>
      <c r="F177" s="302">
        <v>4.9174201247057742E-5</v>
      </c>
      <c r="G177" s="302">
        <v>0</v>
      </c>
      <c r="H177" s="302">
        <v>0</v>
      </c>
      <c r="I177" s="302">
        <v>0</v>
      </c>
      <c r="J177" s="303">
        <v>4.1027537409592405E-5</v>
      </c>
      <c r="K177" s="303">
        <v>0</v>
      </c>
      <c r="L177" s="302">
        <v>0</v>
      </c>
      <c r="M177" s="302">
        <v>0</v>
      </c>
      <c r="N177" s="302">
        <v>0</v>
      </c>
      <c r="O177" s="303">
        <v>0</v>
      </c>
      <c r="P177" s="303">
        <v>0</v>
      </c>
      <c r="Q177" s="302">
        <v>0</v>
      </c>
      <c r="R177" s="303">
        <v>0</v>
      </c>
      <c r="S177" s="303">
        <v>0</v>
      </c>
      <c r="T177" s="303">
        <v>0</v>
      </c>
      <c r="U177" s="303">
        <v>4.1027537409592405E-5</v>
      </c>
      <c r="V177" s="309"/>
    </row>
    <row r="178" spans="1:22">
      <c r="A178" s="304"/>
      <c r="B178" s="305" t="s">
        <v>567</v>
      </c>
      <c r="C178" s="306">
        <v>0</v>
      </c>
      <c r="D178" s="307">
        <v>0</v>
      </c>
      <c r="E178" s="307">
        <v>1.731837355731763E-4</v>
      </c>
      <c r="F178" s="307">
        <v>0</v>
      </c>
      <c r="G178" s="307">
        <v>0</v>
      </c>
      <c r="H178" s="307">
        <v>0</v>
      </c>
      <c r="I178" s="307">
        <v>0</v>
      </c>
      <c r="J178" s="308">
        <v>2.7086381585811036E-5</v>
      </c>
      <c r="K178" s="308">
        <v>0</v>
      </c>
      <c r="L178" s="307">
        <v>0</v>
      </c>
      <c r="M178" s="307">
        <v>0</v>
      </c>
      <c r="N178" s="307">
        <v>0</v>
      </c>
      <c r="O178" s="308">
        <v>0</v>
      </c>
      <c r="P178" s="308">
        <v>0</v>
      </c>
      <c r="Q178" s="307">
        <v>0</v>
      </c>
      <c r="R178" s="308">
        <v>0</v>
      </c>
      <c r="S178" s="308">
        <v>0</v>
      </c>
      <c r="T178" s="308">
        <v>0</v>
      </c>
      <c r="U178" s="308">
        <v>2.7086381585811036E-5</v>
      </c>
      <c r="V178" s="309"/>
    </row>
    <row r="179" spans="1:22">
      <c r="A179" s="304"/>
      <c r="B179" s="310" t="s">
        <v>568</v>
      </c>
      <c r="C179" s="311">
        <v>0</v>
      </c>
      <c r="D179" s="312">
        <v>0</v>
      </c>
      <c r="E179" s="312">
        <v>-2.4259159553933051E-3</v>
      </c>
      <c r="F179" s="312">
        <v>-4.917420124705774E-3</v>
      </c>
      <c r="G179" s="312">
        <v>0</v>
      </c>
      <c r="H179" s="312">
        <v>0</v>
      </c>
      <c r="I179" s="312">
        <v>0</v>
      </c>
      <c r="J179" s="314">
        <v>-1.3941155823781368E-3</v>
      </c>
      <c r="K179" s="314">
        <v>0</v>
      </c>
      <c r="L179" s="312">
        <v>0</v>
      </c>
      <c r="M179" s="312">
        <v>0</v>
      </c>
      <c r="N179" s="312">
        <v>0</v>
      </c>
      <c r="O179" s="314">
        <v>0</v>
      </c>
      <c r="P179" s="314">
        <v>0</v>
      </c>
      <c r="Q179" s="312">
        <v>0</v>
      </c>
      <c r="R179" s="314">
        <v>0</v>
      </c>
      <c r="S179" s="314">
        <v>0</v>
      </c>
      <c r="T179" s="314">
        <v>0</v>
      </c>
      <c r="U179" s="314">
        <v>-1.3941155823781368E-3</v>
      </c>
      <c r="V179" s="309"/>
    </row>
    <row r="180" spans="1:22">
      <c r="A180" s="304"/>
      <c r="B180" s="50" t="s">
        <v>569</v>
      </c>
      <c r="C180" s="301">
        <v>0</v>
      </c>
      <c r="D180" s="302">
        <v>0</v>
      </c>
      <c r="E180" s="302">
        <v>0</v>
      </c>
      <c r="F180" s="302">
        <v>0</v>
      </c>
      <c r="G180" s="302">
        <v>1.9179607746086741E-3</v>
      </c>
      <c r="H180" s="302">
        <v>0</v>
      </c>
      <c r="I180" s="302">
        <v>0</v>
      </c>
      <c r="J180" s="303">
        <v>2.1197560994956076E-5</v>
      </c>
      <c r="K180" s="303">
        <v>0</v>
      </c>
      <c r="L180" s="302">
        <v>0</v>
      </c>
      <c r="M180" s="302">
        <v>0</v>
      </c>
      <c r="N180" s="302">
        <v>0</v>
      </c>
      <c r="O180" s="303">
        <v>0</v>
      </c>
      <c r="P180" s="303">
        <v>0</v>
      </c>
      <c r="Q180" s="302">
        <v>0</v>
      </c>
      <c r="R180" s="303">
        <v>0</v>
      </c>
      <c r="S180" s="303">
        <v>0</v>
      </c>
      <c r="T180" s="303">
        <v>0</v>
      </c>
      <c r="U180" s="303">
        <v>2.1197560994956076E-5</v>
      </c>
      <c r="V180" s="309"/>
    </row>
    <row r="181" spans="1:22">
      <c r="A181" s="304"/>
      <c r="B181" s="305" t="s">
        <v>570</v>
      </c>
      <c r="C181" s="306">
        <v>0</v>
      </c>
      <c r="D181" s="307">
        <v>0</v>
      </c>
      <c r="E181" s="307">
        <v>1.1133240143989906E-4</v>
      </c>
      <c r="F181" s="307">
        <v>0</v>
      </c>
      <c r="G181" s="307">
        <v>1.1597938144329897E-2</v>
      </c>
      <c r="H181" s="307">
        <v>0</v>
      </c>
      <c r="I181" s="307">
        <v>0</v>
      </c>
      <c r="J181" s="308">
        <v>1.4510561563827341E-4</v>
      </c>
      <c r="K181" s="308">
        <v>0</v>
      </c>
      <c r="L181" s="307">
        <v>0</v>
      </c>
      <c r="M181" s="307">
        <v>0</v>
      </c>
      <c r="N181" s="307">
        <v>0</v>
      </c>
      <c r="O181" s="308">
        <v>0</v>
      </c>
      <c r="P181" s="308">
        <v>0</v>
      </c>
      <c r="Q181" s="307">
        <v>0</v>
      </c>
      <c r="R181" s="308">
        <v>0</v>
      </c>
      <c r="S181" s="308">
        <v>0</v>
      </c>
      <c r="T181" s="308">
        <v>0</v>
      </c>
      <c r="U181" s="308">
        <v>1.4510561563827341E-4</v>
      </c>
      <c r="V181" s="309"/>
    </row>
    <row r="182" spans="1:22">
      <c r="A182" s="304"/>
      <c r="B182" s="310" t="s">
        <v>571</v>
      </c>
      <c r="C182" s="311">
        <v>0</v>
      </c>
      <c r="D182" s="312">
        <v>0</v>
      </c>
      <c r="E182" s="312">
        <v>0</v>
      </c>
      <c r="F182" s="312">
        <v>0</v>
      </c>
      <c r="G182" s="312">
        <v>0.96799773697212232</v>
      </c>
      <c r="H182" s="312">
        <v>0</v>
      </c>
      <c r="I182" s="312">
        <v>0</v>
      </c>
      <c r="J182" s="314">
        <v>1.2390805464331732E-2</v>
      </c>
      <c r="K182" s="314">
        <v>0</v>
      </c>
      <c r="L182" s="312">
        <v>0</v>
      </c>
      <c r="M182" s="312">
        <v>0</v>
      </c>
      <c r="N182" s="312">
        <v>0</v>
      </c>
      <c r="O182" s="314">
        <v>0</v>
      </c>
      <c r="P182" s="314">
        <v>0</v>
      </c>
      <c r="Q182" s="312">
        <v>0</v>
      </c>
      <c r="R182" s="314">
        <v>0</v>
      </c>
      <c r="S182" s="314">
        <v>0</v>
      </c>
      <c r="T182" s="314">
        <v>0</v>
      </c>
      <c r="U182" s="314">
        <v>1.2390805464331732E-2</v>
      </c>
      <c r="V182" s="309"/>
    </row>
    <row r="183" spans="1:22">
      <c r="A183" s="304"/>
      <c r="B183" s="50" t="s">
        <v>572</v>
      </c>
      <c r="C183" s="301">
        <v>0</v>
      </c>
      <c r="D183" s="302">
        <v>0</v>
      </c>
      <c r="E183" s="302">
        <v>0</v>
      </c>
      <c r="F183" s="302">
        <v>0</v>
      </c>
      <c r="G183" s="302">
        <v>0</v>
      </c>
      <c r="H183" s="302">
        <v>0</v>
      </c>
      <c r="I183" s="302">
        <v>0</v>
      </c>
      <c r="J183" s="303">
        <v>0</v>
      </c>
      <c r="K183" s="303">
        <v>0</v>
      </c>
      <c r="L183" s="302">
        <v>0</v>
      </c>
      <c r="M183" s="302">
        <v>0</v>
      </c>
      <c r="N183" s="302">
        <v>0</v>
      </c>
      <c r="O183" s="303">
        <v>0</v>
      </c>
      <c r="P183" s="303">
        <v>0</v>
      </c>
      <c r="Q183" s="302">
        <v>0</v>
      </c>
      <c r="R183" s="303">
        <v>0</v>
      </c>
      <c r="S183" s="303">
        <v>0</v>
      </c>
      <c r="T183" s="303">
        <v>0</v>
      </c>
      <c r="U183" s="303">
        <v>0</v>
      </c>
      <c r="V183" s="309"/>
    </row>
    <row r="184" spans="1:22">
      <c r="A184" s="304"/>
      <c r="B184" s="305" t="s">
        <v>573</v>
      </c>
      <c r="C184" s="306">
        <v>0</v>
      </c>
      <c r="D184" s="307">
        <v>0</v>
      </c>
      <c r="E184" s="307">
        <v>0</v>
      </c>
      <c r="F184" s="307">
        <v>0</v>
      </c>
      <c r="G184" s="307">
        <v>0</v>
      </c>
      <c r="H184" s="307">
        <v>0</v>
      </c>
      <c r="I184" s="307">
        <v>0</v>
      </c>
      <c r="J184" s="308">
        <v>0</v>
      </c>
      <c r="K184" s="308">
        <v>0</v>
      </c>
      <c r="L184" s="307">
        <v>0</v>
      </c>
      <c r="M184" s="307">
        <v>0</v>
      </c>
      <c r="N184" s="307">
        <v>0</v>
      </c>
      <c r="O184" s="308">
        <v>0</v>
      </c>
      <c r="P184" s="308">
        <v>0</v>
      </c>
      <c r="Q184" s="307">
        <v>0</v>
      </c>
      <c r="R184" s="308">
        <v>0</v>
      </c>
      <c r="S184" s="308">
        <v>0</v>
      </c>
      <c r="T184" s="308">
        <v>0</v>
      </c>
      <c r="U184" s="308">
        <v>0</v>
      </c>
      <c r="V184" s="309"/>
    </row>
    <row r="185" spans="1:22" ht="15.75" thickBot="1">
      <c r="A185" s="320"/>
      <c r="B185" s="321" t="s">
        <v>574</v>
      </c>
      <c r="C185" s="322">
        <v>0</v>
      </c>
      <c r="D185" s="323">
        <v>0</v>
      </c>
      <c r="E185" s="323">
        <v>0</v>
      </c>
      <c r="F185" s="323">
        <v>0</v>
      </c>
      <c r="G185" s="323">
        <v>0</v>
      </c>
      <c r="H185" s="323">
        <v>0</v>
      </c>
      <c r="I185" s="323">
        <v>0</v>
      </c>
      <c r="J185" s="324">
        <v>0</v>
      </c>
      <c r="K185" s="324">
        <v>0</v>
      </c>
      <c r="L185" s="323">
        <v>0</v>
      </c>
      <c r="M185" s="323">
        <v>0</v>
      </c>
      <c r="N185" s="323">
        <v>0</v>
      </c>
      <c r="O185" s="324">
        <v>0</v>
      </c>
      <c r="P185" s="324">
        <v>0</v>
      </c>
      <c r="Q185" s="323">
        <v>0</v>
      </c>
      <c r="R185" s="324">
        <v>0</v>
      </c>
      <c r="S185" s="324">
        <v>0</v>
      </c>
      <c r="T185" s="324">
        <v>0</v>
      </c>
      <c r="U185" s="324">
        <v>0</v>
      </c>
      <c r="V185" s="309"/>
    </row>
    <row r="186" spans="1:22">
      <c r="A186" s="300" t="s">
        <v>188</v>
      </c>
      <c r="B186" s="50" t="s">
        <v>539</v>
      </c>
      <c r="C186" s="301">
        <v>0.58820146570879728</v>
      </c>
      <c r="D186" s="302">
        <v>0</v>
      </c>
      <c r="E186" s="302">
        <v>0.57196989849492474</v>
      </c>
      <c r="F186" s="302">
        <v>0.63636188271604943</v>
      </c>
      <c r="G186" s="302">
        <v>0</v>
      </c>
      <c r="H186" s="302">
        <v>0</v>
      </c>
      <c r="I186" s="302">
        <v>0</v>
      </c>
      <c r="J186" s="303">
        <v>0.57984760477373687</v>
      </c>
      <c r="K186" s="303">
        <v>0</v>
      </c>
      <c r="L186" s="302">
        <v>0.46604006305273499</v>
      </c>
      <c r="M186" s="302">
        <v>0.40014015926748597</v>
      </c>
      <c r="N186" s="302">
        <v>0.39884264273557174</v>
      </c>
      <c r="O186" s="303">
        <v>0.42263224903713148</v>
      </c>
      <c r="P186" s="303">
        <v>0.50211612220605739</v>
      </c>
      <c r="Q186" s="302">
        <v>0</v>
      </c>
      <c r="R186" s="303">
        <v>0.50211612220605739</v>
      </c>
      <c r="S186" s="303">
        <v>0</v>
      </c>
      <c r="T186" s="303">
        <v>0</v>
      </c>
      <c r="U186" s="303">
        <v>0.5295501643466356</v>
      </c>
      <c r="V186" s="309"/>
    </row>
    <row r="187" spans="1:22">
      <c r="A187" s="304"/>
      <c r="B187" s="305" t="s">
        <v>540</v>
      </c>
      <c r="C187" s="306">
        <v>0.51822310662494397</v>
      </c>
      <c r="D187" s="307">
        <v>0</v>
      </c>
      <c r="E187" s="307">
        <v>0.50341043258606211</v>
      </c>
      <c r="F187" s="307">
        <v>0.33444566582914576</v>
      </c>
      <c r="G187" s="307">
        <v>0</v>
      </c>
      <c r="H187" s="307">
        <v>0</v>
      </c>
      <c r="I187" s="307">
        <v>0</v>
      </c>
      <c r="J187" s="308">
        <v>0.505829084905696</v>
      </c>
      <c r="K187" s="308">
        <v>0</v>
      </c>
      <c r="L187" s="307">
        <v>0.37921779545207041</v>
      </c>
      <c r="M187" s="307">
        <v>0.45042910656379292</v>
      </c>
      <c r="N187" s="307">
        <v>0.43087631511419039</v>
      </c>
      <c r="O187" s="308">
        <v>0.41933174073111845</v>
      </c>
      <c r="P187" s="308">
        <v>0.45050500381352993</v>
      </c>
      <c r="Q187" s="307">
        <v>0</v>
      </c>
      <c r="R187" s="308">
        <v>0.45050500381352993</v>
      </c>
      <c r="S187" s="308">
        <v>0</v>
      </c>
      <c r="T187" s="308">
        <v>0</v>
      </c>
      <c r="U187" s="308">
        <v>0.48297016039367952</v>
      </c>
      <c r="V187" s="309"/>
    </row>
    <row r="188" spans="1:22">
      <c r="A188" s="304"/>
      <c r="B188" s="310" t="s">
        <v>541</v>
      </c>
      <c r="C188" s="311">
        <v>-6.9978359083853299</v>
      </c>
      <c r="D188" s="312">
        <v>0</v>
      </c>
      <c r="E188" s="312">
        <v>-6.8559465908862638</v>
      </c>
      <c r="F188" s="312">
        <v>-30.191621688690368</v>
      </c>
      <c r="G188" s="312">
        <v>0</v>
      </c>
      <c r="H188" s="312">
        <v>0</v>
      </c>
      <c r="I188" s="312">
        <v>0</v>
      </c>
      <c r="J188" s="314">
        <v>-7.4018519868040862</v>
      </c>
      <c r="K188" s="314">
        <v>0</v>
      </c>
      <c r="L188" s="312">
        <v>-8.6822267600664578</v>
      </c>
      <c r="M188" s="312">
        <v>5.0288947296306947</v>
      </c>
      <c r="N188" s="312">
        <v>3.2033672378618649</v>
      </c>
      <c r="O188" s="314">
        <v>-0.3300508306013028</v>
      </c>
      <c r="P188" s="314">
        <v>-5.1611118392527464</v>
      </c>
      <c r="Q188" s="312">
        <v>0</v>
      </c>
      <c r="R188" s="314">
        <v>-5.1611118392527464</v>
      </c>
      <c r="S188" s="314">
        <v>0</v>
      </c>
      <c r="T188" s="314">
        <v>0</v>
      </c>
      <c r="U188" s="314">
        <v>-4.6580003952956082</v>
      </c>
      <c r="V188" s="309"/>
    </row>
    <row r="189" spans="1:22">
      <c r="A189" s="304"/>
      <c r="B189" s="50" t="s">
        <v>542</v>
      </c>
      <c r="C189" s="301">
        <v>1.9635118398840599E-2</v>
      </c>
      <c r="D189" s="302">
        <v>0</v>
      </c>
      <c r="E189" s="302">
        <v>6.6142807140357016E-2</v>
      </c>
      <c r="F189" s="302">
        <v>1.1574074074074073E-3</v>
      </c>
      <c r="G189" s="302">
        <v>0</v>
      </c>
      <c r="H189" s="302">
        <v>0</v>
      </c>
      <c r="I189" s="302">
        <v>0</v>
      </c>
      <c r="J189" s="303">
        <v>4.6072665519449531E-2</v>
      </c>
      <c r="K189" s="303">
        <v>0</v>
      </c>
      <c r="L189" s="302">
        <v>6.7259662626924344E-2</v>
      </c>
      <c r="M189" s="302">
        <v>7.0057809635585902E-2</v>
      </c>
      <c r="N189" s="302">
        <v>4.9299087111248648E-2</v>
      </c>
      <c r="O189" s="303">
        <v>6.3131147220777006E-2</v>
      </c>
      <c r="P189" s="303">
        <v>6.2075122338315039E-2</v>
      </c>
      <c r="Q189" s="302">
        <v>0</v>
      </c>
      <c r="R189" s="303">
        <v>6.2075122338315039E-2</v>
      </c>
      <c r="S189" s="303">
        <v>0</v>
      </c>
      <c r="T189" s="303">
        <v>0</v>
      </c>
      <c r="U189" s="303">
        <v>5.1834982126970429E-2</v>
      </c>
      <c r="V189" s="309"/>
    </row>
    <row r="190" spans="1:22">
      <c r="A190" s="304"/>
      <c r="B190" s="305" t="s">
        <v>543</v>
      </c>
      <c r="C190" s="306">
        <v>1.7842137550972012E-2</v>
      </c>
      <c r="D190" s="307">
        <v>0</v>
      </c>
      <c r="E190" s="307">
        <v>6.5984776193577885E-2</v>
      </c>
      <c r="F190" s="307">
        <v>6.4777010050251255E-4</v>
      </c>
      <c r="G190" s="307">
        <v>0</v>
      </c>
      <c r="H190" s="307">
        <v>0</v>
      </c>
      <c r="I190" s="307">
        <v>0</v>
      </c>
      <c r="J190" s="308">
        <v>4.4976705919212191E-2</v>
      </c>
      <c r="K190" s="308">
        <v>0</v>
      </c>
      <c r="L190" s="307">
        <v>0.20228204470643615</v>
      </c>
      <c r="M190" s="307">
        <v>0.11124273174549927</v>
      </c>
      <c r="N190" s="307">
        <v>9.4495765973826015E-2</v>
      </c>
      <c r="O190" s="308">
        <v>0.13945365717653171</v>
      </c>
      <c r="P190" s="308">
        <v>9.1563239112179409E-2</v>
      </c>
      <c r="Q190" s="307">
        <v>0</v>
      </c>
      <c r="R190" s="308">
        <v>9.1563239112179409E-2</v>
      </c>
      <c r="S190" s="308">
        <v>0</v>
      </c>
      <c r="T190" s="308">
        <v>0</v>
      </c>
      <c r="U190" s="308">
        <v>6.9399986605829259E-2</v>
      </c>
      <c r="V190" s="309"/>
    </row>
    <row r="191" spans="1:22">
      <c r="A191" s="304"/>
      <c r="B191" s="310" t="s">
        <v>544</v>
      </c>
      <c r="C191" s="311">
        <v>-0.17929808478685874</v>
      </c>
      <c r="D191" s="312">
        <v>0</v>
      </c>
      <c r="E191" s="312">
        <v>-1.5803094677913077E-2</v>
      </c>
      <c r="F191" s="312">
        <v>-5.0963730690489477E-2</v>
      </c>
      <c r="G191" s="312">
        <v>0</v>
      </c>
      <c r="H191" s="312">
        <v>0</v>
      </c>
      <c r="I191" s="312">
        <v>0</v>
      </c>
      <c r="J191" s="314">
        <v>-0.10959596002373395</v>
      </c>
      <c r="K191" s="314">
        <v>0</v>
      </c>
      <c r="L191" s="312">
        <v>13.502238207951182</v>
      </c>
      <c r="M191" s="312">
        <v>4.1184922109913371</v>
      </c>
      <c r="N191" s="312">
        <v>4.5196678862577366</v>
      </c>
      <c r="O191" s="314">
        <v>7.6322509955754709</v>
      </c>
      <c r="P191" s="314">
        <v>2.9488116773864368</v>
      </c>
      <c r="Q191" s="312">
        <v>0</v>
      </c>
      <c r="R191" s="314">
        <v>2.9488116773864368</v>
      </c>
      <c r="S191" s="314">
        <v>0</v>
      </c>
      <c r="T191" s="314">
        <v>0</v>
      </c>
      <c r="U191" s="314">
        <v>1.756500447885883</v>
      </c>
      <c r="V191" s="309"/>
    </row>
    <row r="192" spans="1:22">
      <c r="A192" s="304"/>
      <c r="B192" s="50" t="s">
        <v>545</v>
      </c>
      <c r="C192" s="301">
        <v>0.39097812276063904</v>
      </c>
      <c r="D192" s="302">
        <v>0</v>
      </c>
      <c r="E192" s="302">
        <v>0.35111305565278261</v>
      </c>
      <c r="F192" s="302">
        <v>0.36248070987654318</v>
      </c>
      <c r="G192" s="302">
        <v>0</v>
      </c>
      <c r="H192" s="302">
        <v>0</v>
      </c>
      <c r="I192" s="302">
        <v>0</v>
      </c>
      <c r="J192" s="303">
        <v>0.36738861670969403</v>
      </c>
      <c r="K192" s="303">
        <v>0</v>
      </c>
      <c r="L192" s="302">
        <v>0.46670027432034067</v>
      </c>
      <c r="M192" s="302">
        <v>0.52980203109692814</v>
      </c>
      <c r="N192" s="302">
        <v>0.55185827015317968</v>
      </c>
      <c r="O192" s="303">
        <v>0.51423660374209157</v>
      </c>
      <c r="P192" s="303">
        <v>0.43580875545562758</v>
      </c>
      <c r="Q192" s="302">
        <v>0</v>
      </c>
      <c r="R192" s="303">
        <v>0.43580875545562758</v>
      </c>
      <c r="S192" s="303">
        <v>0</v>
      </c>
      <c r="T192" s="303">
        <v>0</v>
      </c>
      <c r="U192" s="303">
        <v>0.41420066804110528</v>
      </c>
      <c r="V192" s="309"/>
    </row>
    <row r="193" spans="1:22">
      <c r="A193" s="304"/>
      <c r="B193" s="305" t="s">
        <v>546</v>
      </c>
      <c r="C193" s="306">
        <v>0.46366565452961406</v>
      </c>
      <c r="D193" s="307">
        <v>0</v>
      </c>
      <c r="E193" s="307">
        <v>0.42260619097540281</v>
      </c>
      <c r="F193" s="307">
        <v>0.66490656407035176</v>
      </c>
      <c r="G193" s="307">
        <v>0</v>
      </c>
      <c r="H193" s="307">
        <v>0</v>
      </c>
      <c r="I193" s="307">
        <v>0</v>
      </c>
      <c r="J193" s="308">
        <v>0.44451523407264865</v>
      </c>
      <c r="K193" s="308">
        <v>0</v>
      </c>
      <c r="L193" s="307">
        <v>0.41850015984149347</v>
      </c>
      <c r="M193" s="307">
        <v>0.43832816169070782</v>
      </c>
      <c r="N193" s="307">
        <v>0.47462791891198358</v>
      </c>
      <c r="O193" s="308">
        <v>0.44121460209234981</v>
      </c>
      <c r="P193" s="308">
        <v>0.45793175707429062</v>
      </c>
      <c r="Q193" s="307">
        <v>0</v>
      </c>
      <c r="R193" s="308">
        <v>0.45793175707429062</v>
      </c>
      <c r="S193" s="308">
        <v>0</v>
      </c>
      <c r="T193" s="308">
        <v>0</v>
      </c>
      <c r="U193" s="308">
        <v>0.44425373407964924</v>
      </c>
      <c r="V193" s="309"/>
    </row>
    <row r="194" spans="1:22">
      <c r="A194" s="304"/>
      <c r="B194" s="310" t="s">
        <v>547</v>
      </c>
      <c r="C194" s="311">
        <v>7.2687531768975022</v>
      </c>
      <c r="D194" s="312">
        <v>0</v>
      </c>
      <c r="E194" s="312">
        <v>7.1493135322620196</v>
      </c>
      <c r="F194" s="312">
        <v>30.242585419380859</v>
      </c>
      <c r="G194" s="312">
        <v>0</v>
      </c>
      <c r="H194" s="312">
        <v>0</v>
      </c>
      <c r="I194" s="312">
        <v>0</v>
      </c>
      <c r="J194" s="314">
        <v>7.7126617362954617</v>
      </c>
      <c r="K194" s="314">
        <v>0</v>
      </c>
      <c r="L194" s="312">
        <v>-4.8200114478847205</v>
      </c>
      <c r="M194" s="312">
        <v>-9.1473869406220327</v>
      </c>
      <c r="N194" s="312">
        <v>-7.7230351241196091</v>
      </c>
      <c r="O194" s="314">
        <v>-7.3022001649741766</v>
      </c>
      <c r="P194" s="314">
        <v>2.2123001618663043</v>
      </c>
      <c r="Q194" s="312">
        <v>0</v>
      </c>
      <c r="R194" s="314">
        <v>2.2123001618663043</v>
      </c>
      <c r="S194" s="314">
        <v>0</v>
      </c>
      <c r="T194" s="314">
        <v>0</v>
      </c>
      <c r="U194" s="314">
        <v>3.0053066038543963</v>
      </c>
      <c r="V194" s="309"/>
    </row>
    <row r="195" spans="1:22">
      <c r="A195" s="304"/>
      <c r="B195" s="50" t="s">
        <v>548</v>
      </c>
      <c r="C195" s="301">
        <v>5.9615928894455716E-4</v>
      </c>
      <c r="D195" s="302">
        <v>0</v>
      </c>
      <c r="E195" s="302">
        <v>1.0704935246762338E-2</v>
      </c>
      <c r="F195" s="302">
        <v>0</v>
      </c>
      <c r="G195" s="302">
        <v>0</v>
      </c>
      <c r="H195" s="302">
        <v>0</v>
      </c>
      <c r="I195" s="302">
        <v>0</v>
      </c>
      <c r="J195" s="303">
        <v>6.4141335428579277E-3</v>
      </c>
      <c r="K195" s="303">
        <v>0</v>
      </c>
      <c r="L195" s="302">
        <v>0</v>
      </c>
      <c r="M195" s="302">
        <v>0</v>
      </c>
      <c r="N195" s="302">
        <v>0</v>
      </c>
      <c r="O195" s="303">
        <v>0</v>
      </c>
      <c r="P195" s="303">
        <v>0</v>
      </c>
      <c r="Q195" s="302">
        <v>0</v>
      </c>
      <c r="R195" s="303">
        <v>0</v>
      </c>
      <c r="S195" s="303">
        <v>0</v>
      </c>
      <c r="T195" s="303">
        <v>0</v>
      </c>
      <c r="U195" s="303">
        <v>4.2314597284151866E-3</v>
      </c>
      <c r="V195" s="309"/>
    </row>
    <row r="196" spans="1:22">
      <c r="A196" s="304"/>
      <c r="B196" s="305" t="s">
        <v>549</v>
      </c>
      <c r="C196" s="306">
        <v>0</v>
      </c>
      <c r="D196" s="307">
        <v>0</v>
      </c>
      <c r="E196" s="307">
        <v>7.9589013099178232E-3</v>
      </c>
      <c r="F196" s="307">
        <v>0</v>
      </c>
      <c r="G196" s="307">
        <v>0</v>
      </c>
      <c r="H196" s="307">
        <v>0</v>
      </c>
      <c r="I196" s="307">
        <v>0</v>
      </c>
      <c r="J196" s="308">
        <v>4.5466820266627248E-3</v>
      </c>
      <c r="K196" s="308">
        <v>0</v>
      </c>
      <c r="L196" s="307">
        <v>0</v>
      </c>
      <c r="M196" s="307">
        <v>0</v>
      </c>
      <c r="N196" s="307">
        <v>0</v>
      </c>
      <c r="O196" s="308">
        <v>0</v>
      </c>
      <c r="P196" s="308">
        <v>0</v>
      </c>
      <c r="Q196" s="307">
        <v>0</v>
      </c>
      <c r="R196" s="308">
        <v>0</v>
      </c>
      <c r="S196" s="308">
        <v>0</v>
      </c>
      <c r="T196" s="308">
        <v>0</v>
      </c>
      <c r="U196" s="308">
        <v>3.2806627265986109E-3</v>
      </c>
      <c r="V196" s="309"/>
    </row>
    <row r="197" spans="1:22">
      <c r="A197" s="304"/>
      <c r="B197" s="310" t="s">
        <v>550</v>
      </c>
      <c r="C197" s="311">
        <v>-5.9615928894455716E-2</v>
      </c>
      <c r="D197" s="312">
        <v>0</v>
      </c>
      <c r="E197" s="312">
        <v>-0.27460339368445152</v>
      </c>
      <c r="F197" s="312">
        <v>0</v>
      </c>
      <c r="G197" s="312">
        <v>0</v>
      </c>
      <c r="H197" s="312">
        <v>0</v>
      </c>
      <c r="I197" s="312">
        <v>0</v>
      </c>
      <c r="J197" s="314">
        <v>-0.18674515161952029</v>
      </c>
      <c r="K197" s="314">
        <v>0</v>
      </c>
      <c r="L197" s="312">
        <v>0</v>
      </c>
      <c r="M197" s="312">
        <v>0</v>
      </c>
      <c r="N197" s="312">
        <v>0</v>
      </c>
      <c r="O197" s="314">
        <v>0</v>
      </c>
      <c r="P197" s="314">
        <v>0</v>
      </c>
      <c r="Q197" s="312">
        <v>0</v>
      </c>
      <c r="R197" s="314">
        <v>0</v>
      </c>
      <c r="S197" s="314">
        <v>0</v>
      </c>
      <c r="T197" s="314">
        <v>0</v>
      </c>
      <c r="U197" s="314">
        <v>-9.5079700181657567E-2</v>
      </c>
      <c r="V197" s="309"/>
    </row>
    <row r="198" spans="1:22">
      <c r="A198" s="304"/>
      <c r="B198" s="50" t="s">
        <v>551</v>
      </c>
      <c r="C198" s="301">
        <v>5.8913384277854393E-4</v>
      </c>
      <c r="D198" s="302">
        <v>0</v>
      </c>
      <c r="E198" s="302">
        <v>6.9303465173258661E-5</v>
      </c>
      <c r="F198" s="302">
        <v>0</v>
      </c>
      <c r="G198" s="302">
        <v>0</v>
      </c>
      <c r="H198" s="302">
        <v>0</v>
      </c>
      <c r="I198" s="302">
        <v>0</v>
      </c>
      <c r="J198" s="303">
        <v>2.7697945426164789E-4</v>
      </c>
      <c r="K198" s="303">
        <v>0</v>
      </c>
      <c r="L198" s="302">
        <v>0</v>
      </c>
      <c r="M198" s="302">
        <v>0</v>
      </c>
      <c r="N198" s="302">
        <v>0</v>
      </c>
      <c r="O198" s="303">
        <v>0</v>
      </c>
      <c r="P198" s="303">
        <v>0</v>
      </c>
      <c r="Q198" s="302">
        <v>0</v>
      </c>
      <c r="R198" s="303">
        <v>0</v>
      </c>
      <c r="S198" s="303">
        <v>0</v>
      </c>
      <c r="T198" s="303">
        <v>0</v>
      </c>
      <c r="U198" s="303">
        <v>1.8272575687352502E-4</v>
      </c>
      <c r="V198" s="309"/>
    </row>
    <row r="199" spans="1:22">
      <c r="A199" s="304"/>
      <c r="B199" s="305" t="s">
        <v>552</v>
      </c>
      <c r="C199" s="306">
        <v>2.6910129447001993E-4</v>
      </c>
      <c r="D199" s="307">
        <v>0</v>
      </c>
      <c r="E199" s="307">
        <v>3.9698935039309298E-5</v>
      </c>
      <c r="F199" s="307">
        <v>0</v>
      </c>
      <c r="G199" s="307">
        <v>0</v>
      </c>
      <c r="H199" s="307">
        <v>0</v>
      </c>
      <c r="I199" s="307">
        <v>0</v>
      </c>
      <c r="J199" s="308">
        <v>1.3229307578041364E-4</v>
      </c>
      <c r="K199" s="308">
        <v>0</v>
      </c>
      <c r="L199" s="307">
        <v>0</v>
      </c>
      <c r="M199" s="307">
        <v>0</v>
      </c>
      <c r="N199" s="307">
        <v>0</v>
      </c>
      <c r="O199" s="308">
        <v>0</v>
      </c>
      <c r="P199" s="308">
        <v>0</v>
      </c>
      <c r="Q199" s="307">
        <v>0</v>
      </c>
      <c r="R199" s="308">
        <v>0</v>
      </c>
      <c r="S199" s="308">
        <v>0</v>
      </c>
      <c r="T199" s="308">
        <v>0</v>
      </c>
      <c r="U199" s="308">
        <v>9.5456194243355113E-5</v>
      </c>
      <c r="V199" s="309"/>
    </row>
    <row r="200" spans="1:22">
      <c r="A200" s="304"/>
      <c r="B200" s="310" t="s">
        <v>553</v>
      </c>
      <c r="C200" s="311">
        <v>-3.2003254830852403E-2</v>
      </c>
      <c r="D200" s="312">
        <v>0</v>
      </c>
      <c r="E200" s="312">
        <v>-2.9604530133949362E-3</v>
      </c>
      <c r="F200" s="312">
        <v>0</v>
      </c>
      <c r="G200" s="312">
        <v>0</v>
      </c>
      <c r="H200" s="312">
        <v>0</v>
      </c>
      <c r="I200" s="312">
        <v>0</v>
      </c>
      <c r="J200" s="314">
        <v>-1.4468637848123425E-2</v>
      </c>
      <c r="K200" s="314">
        <v>0</v>
      </c>
      <c r="L200" s="312">
        <v>0</v>
      </c>
      <c r="M200" s="312">
        <v>0</v>
      </c>
      <c r="N200" s="312">
        <v>0</v>
      </c>
      <c r="O200" s="314">
        <v>0</v>
      </c>
      <c r="P200" s="314">
        <v>0</v>
      </c>
      <c r="Q200" s="312">
        <v>0</v>
      </c>
      <c r="R200" s="314">
        <v>0</v>
      </c>
      <c r="S200" s="314">
        <v>0</v>
      </c>
      <c r="T200" s="314">
        <v>0</v>
      </c>
      <c r="U200" s="314">
        <v>-8.7269562630169911E-3</v>
      </c>
      <c r="V200" s="309"/>
    </row>
    <row r="201" spans="1:22">
      <c r="A201" s="304"/>
      <c r="B201" s="50" t="s">
        <v>554</v>
      </c>
      <c r="C201" s="301">
        <v>0</v>
      </c>
      <c r="D201" s="302">
        <v>0</v>
      </c>
      <c r="E201" s="302">
        <v>0</v>
      </c>
      <c r="F201" s="302">
        <v>0</v>
      </c>
      <c r="G201" s="302">
        <v>0</v>
      </c>
      <c r="H201" s="302">
        <v>0</v>
      </c>
      <c r="I201" s="302">
        <v>0</v>
      </c>
      <c r="J201" s="303">
        <v>0</v>
      </c>
      <c r="K201" s="303">
        <v>0</v>
      </c>
      <c r="L201" s="302">
        <v>0</v>
      </c>
      <c r="M201" s="302">
        <v>0</v>
      </c>
      <c r="N201" s="302">
        <v>0</v>
      </c>
      <c r="O201" s="303">
        <v>0</v>
      </c>
      <c r="P201" s="303">
        <v>0</v>
      </c>
      <c r="Q201" s="302">
        <v>0</v>
      </c>
      <c r="R201" s="303">
        <v>0</v>
      </c>
      <c r="S201" s="303">
        <v>0</v>
      </c>
      <c r="T201" s="303">
        <v>0</v>
      </c>
      <c r="U201" s="303">
        <v>0</v>
      </c>
      <c r="V201" s="309"/>
    </row>
    <row r="202" spans="1:22">
      <c r="A202" s="304"/>
      <c r="B202" s="305" t="s">
        <v>555</v>
      </c>
      <c r="C202" s="306">
        <v>0</v>
      </c>
      <c r="D202" s="307">
        <v>0</v>
      </c>
      <c r="E202" s="307">
        <v>0</v>
      </c>
      <c r="F202" s="307">
        <v>0</v>
      </c>
      <c r="G202" s="307">
        <v>0</v>
      </c>
      <c r="H202" s="307">
        <v>0</v>
      </c>
      <c r="I202" s="307">
        <v>0</v>
      </c>
      <c r="J202" s="308">
        <v>0</v>
      </c>
      <c r="K202" s="308">
        <v>0</v>
      </c>
      <c r="L202" s="307">
        <v>0</v>
      </c>
      <c r="M202" s="307">
        <v>0</v>
      </c>
      <c r="N202" s="307">
        <v>0</v>
      </c>
      <c r="O202" s="308">
        <v>0</v>
      </c>
      <c r="P202" s="308">
        <v>0</v>
      </c>
      <c r="Q202" s="307">
        <v>0</v>
      </c>
      <c r="R202" s="308">
        <v>0</v>
      </c>
      <c r="S202" s="308">
        <v>0</v>
      </c>
      <c r="T202" s="308">
        <v>0</v>
      </c>
      <c r="U202" s="308">
        <v>0</v>
      </c>
      <c r="V202" s="309"/>
    </row>
    <row r="203" spans="1:22" ht="15.75" thickBot="1">
      <c r="A203" s="304"/>
      <c r="B203" s="316" t="s">
        <v>556</v>
      </c>
      <c r="C203" s="317">
        <v>0</v>
      </c>
      <c r="D203" s="318">
        <v>0</v>
      </c>
      <c r="E203" s="318">
        <v>0</v>
      </c>
      <c r="F203" s="318">
        <v>0</v>
      </c>
      <c r="G203" s="318">
        <v>0</v>
      </c>
      <c r="H203" s="318">
        <v>0</v>
      </c>
      <c r="I203" s="318">
        <v>0</v>
      </c>
      <c r="J203" s="319">
        <v>0</v>
      </c>
      <c r="K203" s="319">
        <v>0</v>
      </c>
      <c r="L203" s="318">
        <v>0</v>
      </c>
      <c r="M203" s="318">
        <v>0</v>
      </c>
      <c r="N203" s="318">
        <v>0</v>
      </c>
      <c r="O203" s="319">
        <v>0</v>
      </c>
      <c r="P203" s="319">
        <v>0</v>
      </c>
      <c r="Q203" s="318">
        <v>0</v>
      </c>
      <c r="R203" s="319">
        <v>0</v>
      </c>
      <c r="S203" s="319">
        <v>0</v>
      </c>
      <c r="T203" s="319">
        <v>0</v>
      </c>
      <c r="U203" s="319">
        <v>0</v>
      </c>
      <c r="V203" s="309"/>
    </row>
    <row r="204" spans="1:22" ht="15.75" thickTop="1">
      <c r="A204" s="304"/>
      <c r="B204" s="305" t="s">
        <v>557</v>
      </c>
      <c r="C204" s="306">
        <v>0.46428697837397798</v>
      </c>
      <c r="D204" s="307">
        <v>0</v>
      </c>
      <c r="E204" s="307">
        <v>0.24143307222545909</v>
      </c>
      <c r="F204" s="307">
        <v>0.57210031347962387</v>
      </c>
      <c r="G204" s="307">
        <v>0</v>
      </c>
      <c r="H204" s="307">
        <v>0</v>
      </c>
      <c r="I204" s="307">
        <v>0</v>
      </c>
      <c r="J204" s="308">
        <v>0.34908743371562462</v>
      </c>
      <c r="K204" s="308">
        <v>0</v>
      </c>
      <c r="L204" s="307">
        <v>0</v>
      </c>
      <c r="M204" s="307">
        <v>0</v>
      </c>
      <c r="N204" s="307">
        <v>0</v>
      </c>
      <c r="O204" s="308">
        <v>0</v>
      </c>
      <c r="P204" s="308">
        <v>0</v>
      </c>
      <c r="Q204" s="307">
        <v>0</v>
      </c>
      <c r="R204" s="308">
        <v>0</v>
      </c>
      <c r="S204" s="308">
        <v>0</v>
      </c>
      <c r="T204" s="308">
        <v>0</v>
      </c>
      <c r="U204" s="308">
        <v>0.34908743371562462</v>
      </c>
      <c r="V204" s="309"/>
    </row>
    <row r="205" spans="1:22">
      <c r="A205" s="304"/>
      <c r="B205" s="305" t="s">
        <v>558</v>
      </c>
      <c r="C205" s="306">
        <v>0.40872975137043954</v>
      </c>
      <c r="D205" s="307">
        <v>0</v>
      </c>
      <c r="E205" s="307">
        <v>0.20419333674297022</v>
      </c>
      <c r="F205" s="307">
        <v>0.32321699544764793</v>
      </c>
      <c r="G205" s="307">
        <v>0</v>
      </c>
      <c r="H205" s="307">
        <v>0</v>
      </c>
      <c r="I205" s="307">
        <v>0</v>
      </c>
      <c r="J205" s="308">
        <v>0.30687622638802792</v>
      </c>
      <c r="K205" s="308">
        <v>0</v>
      </c>
      <c r="L205" s="307">
        <v>0</v>
      </c>
      <c r="M205" s="307">
        <v>0</v>
      </c>
      <c r="N205" s="307">
        <v>0</v>
      </c>
      <c r="O205" s="308">
        <v>0</v>
      </c>
      <c r="P205" s="308">
        <v>0</v>
      </c>
      <c r="Q205" s="307">
        <v>0</v>
      </c>
      <c r="R205" s="308">
        <v>0</v>
      </c>
      <c r="S205" s="308">
        <v>0</v>
      </c>
      <c r="T205" s="308">
        <v>0</v>
      </c>
      <c r="U205" s="308">
        <v>0.30687622638802792</v>
      </c>
      <c r="V205" s="309"/>
    </row>
    <row r="206" spans="1:22">
      <c r="A206" s="304"/>
      <c r="B206" s="310" t="s">
        <v>559</v>
      </c>
      <c r="C206" s="311">
        <v>-5.5557227003538436</v>
      </c>
      <c r="D206" s="312">
        <v>0</v>
      </c>
      <c r="E206" s="312">
        <v>-3.723973548248888</v>
      </c>
      <c r="F206" s="312">
        <v>-24.888331803197595</v>
      </c>
      <c r="G206" s="312">
        <v>0</v>
      </c>
      <c r="H206" s="312">
        <v>0</v>
      </c>
      <c r="I206" s="312">
        <v>0</v>
      </c>
      <c r="J206" s="314">
        <v>-4.2211207327596698</v>
      </c>
      <c r="K206" s="314">
        <v>0</v>
      </c>
      <c r="L206" s="312">
        <v>0</v>
      </c>
      <c r="M206" s="312">
        <v>0</v>
      </c>
      <c r="N206" s="312">
        <v>0</v>
      </c>
      <c r="O206" s="314">
        <v>0</v>
      </c>
      <c r="P206" s="314">
        <v>0</v>
      </c>
      <c r="Q206" s="312">
        <v>0</v>
      </c>
      <c r="R206" s="314">
        <v>0</v>
      </c>
      <c r="S206" s="314">
        <v>0</v>
      </c>
      <c r="T206" s="314">
        <v>0</v>
      </c>
      <c r="U206" s="314">
        <v>-4.2211207327596698</v>
      </c>
      <c r="V206" s="309"/>
    </row>
    <row r="207" spans="1:22">
      <c r="A207" s="304"/>
      <c r="B207" s="50" t="s">
        <v>560</v>
      </c>
      <c r="C207" s="301">
        <v>1.7178116778159253E-2</v>
      </c>
      <c r="D207" s="302">
        <v>0</v>
      </c>
      <c r="E207" s="302">
        <v>3.6323126389158626E-2</v>
      </c>
      <c r="F207" s="302">
        <v>0</v>
      </c>
      <c r="G207" s="302">
        <v>0</v>
      </c>
      <c r="H207" s="302">
        <v>0</v>
      </c>
      <c r="I207" s="302">
        <v>0</v>
      </c>
      <c r="J207" s="303">
        <v>2.7032253724817542E-2</v>
      </c>
      <c r="K207" s="303">
        <v>0</v>
      </c>
      <c r="L207" s="302">
        <v>0</v>
      </c>
      <c r="M207" s="302">
        <v>0</v>
      </c>
      <c r="N207" s="302">
        <v>0</v>
      </c>
      <c r="O207" s="303">
        <v>0</v>
      </c>
      <c r="P207" s="303">
        <v>0</v>
      </c>
      <c r="Q207" s="302">
        <v>0</v>
      </c>
      <c r="R207" s="303">
        <v>0</v>
      </c>
      <c r="S207" s="303">
        <v>0</v>
      </c>
      <c r="T207" s="303">
        <v>0</v>
      </c>
      <c r="U207" s="303">
        <v>2.7032253724817542E-2</v>
      </c>
      <c r="V207" s="309"/>
    </row>
    <row r="208" spans="1:22">
      <c r="A208" s="304"/>
      <c r="B208" s="305" t="s">
        <v>561</v>
      </c>
      <c r="C208" s="306">
        <v>1.451536740098959E-2</v>
      </c>
      <c r="D208" s="307">
        <v>0</v>
      </c>
      <c r="E208" s="307">
        <v>5.0968905144935399E-2</v>
      </c>
      <c r="F208" s="307">
        <v>0</v>
      </c>
      <c r="G208" s="307">
        <v>0</v>
      </c>
      <c r="H208" s="307">
        <v>0</v>
      </c>
      <c r="I208" s="307">
        <v>0</v>
      </c>
      <c r="J208" s="308">
        <v>3.2517534466947079E-2</v>
      </c>
      <c r="K208" s="308">
        <v>0</v>
      </c>
      <c r="L208" s="307">
        <v>0</v>
      </c>
      <c r="M208" s="307">
        <v>0</v>
      </c>
      <c r="N208" s="307">
        <v>0</v>
      </c>
      <c r="O208" s="308">
        <v>0</v>
      </c>
      <c r="P208" s="308">
        <v>0</v>
      </c>
      <c r="Q208" s="307">
        <v>0</v>
      </c>
      <c r="R208" s="308">
        <v>0</v>
      </c>
      <c r="S208" s="308">
        <v>0</v>
      </c>
      <c r="T208" s="308">
        <v>0</v>
      </c>
      <c r="U208" s="308">
        <v>3.2517534466947079E-2</v>
      </c>
      <c r="V208" s="309"/>
    </row>
    <row r="209" spans="1:22">
      <c r="A209" s="304"/>
      <c r="B209" s="310" t="s">
        <v>562</v>
      </c>
      <c r="C209" s="311">
        <v>-0.26627493771696625</v>
      </c>
      <c r="D209" s="312">
        <v>0</v>
      </c>
      <c r="E209" s="312">
        <v>1.4645778755776773</v>
      </c>
      <c r="F209" s="312">
        <v>0</v>
      </c>
      <c r="G209" s="312">
        <v>0</v>
      </c>
      <c r="H209" s="312">
        <v>0</v>
      </c>
      <c r="I209" s="312">
        <v>0</v>
      </c>
      <c r="J209" s="314">
        <v>0.54852807421295369</v>
      </c>
      <c r="K209" s="314">
        <v>0</v>
      </c>
      <c r="L209" s="312">
        <v>0</v>
      </c>
      <c r="M209" s="312">
        <v>0</v>
      </c>
      <c r="N209" s="312">
        <v>0</v>
      </c>
      <c r="O209" s="314">
        <v>0</v>
      </c>
      <c r="P209" s="314">
        <v>0</v>
      </c>
      <c r="Q209" s="312">
        <v>0</v>
      </c>
      <c r="R209" s="314">
        <v>0</v>
      </c>
      <c r="S209" s="314">
        <v>0</v>
      </c>
      <c r="T209" s="314">
        <v>0</v>
      </c>
      <c r="U209" s="314">
        <v>0.54852807421295369</v>
      </c>
      <c r="V209" s="309"/>
    </row>
    <row r="210" spans="1:22">
      <c r="A210" s="304"/>
      <c r="B210" s="50" t="s">
        <v>563</v>
      </c>
      <c r="C210" s="301">
        <v>0.51567385174435754</v>
      </c>
      <c r="D210" s="302">
        <v>0</v>
      </c>
      <c r="E210" s="302">
        <v>0.72141839839451027</v>
      </c>
      <c r="F210" s="302">
        <v>0.42789968652037619</v>
      </c>
      <c r="G210" s="302">
        <v>0</v>
      </c>
      <c r="H210" s="302">
        <v>0</v>
      </c>
      <c r="I210" s="302">
        <v>0</v>
      </c>
      <c r="J210" s="303">
        <v>0.62209217592125476</v>
      </c>
      <c r="K210" s="303">
        <v>0</v>
      </c>
      <c r="L210" s="302">
        <v>0</v>
      </c>
      <c r="M210" s="302">
        <v>0</v>
      </c>
      <c r="N210" s="302">
        <v>0</v>
      </c>
      <c r="O210" s="303">
        <v>0</v>
      </c>
      <c r="P210" s="303">
        <v>0</v>
      </c>
      <c r="Q210" s="302">
        <v>0</v>
      </c>
      <c r="R210" s="303">
        <v>0</v>
      </c>
      <c r="S210" s="303">
        <v>0</v>
      </c>
      <c r="T210" s="303">
        <v>0</v>
      </c>
      <c r="U210" s="303">
        <v>0.62209217592125476</v>
      </c>
      <c r="V210" s="309"/>
    </row>
    <row r="211" spans="1:22">
      <c r="A211" s="304"/>
      <c r="B211" s="305" t="s">
        <v>564</v>
      </c>
      <c r="C211" s="306">
        <v>0.57593877676719973</v>
      </c>
      <c r="D211" s="307">
        <v>0</v>
      </c>
      <c r="E211" s="307">
        <v>0.74338091326607048</v>
      </c>
      <c r="F211" s="307">
        <v>0.67678300455235207</v>
      </c>
      <c r="G211" s="307">
        <v>0</v>
      </c>
      <c r="H211" s="307">
        <v>0</v>
      </c>
      <c r="I211" s="307">
        <v>0</v>
      </c>
      <c r="J211" s="308">
        <v>0.65947655325405896</v>
      </c>
      <c r="K211" s="308">
        <v>0</v>
      </c>
      <c r="L211" s="307">
        <v>0</v>
      </c>
      <c r="M211" s="307">
        <v>0</v>
      </c>
      <c r="N211" s="307">
        <v>0</v>
      </c>
      <c r="O211" s="308">
        <v>0</v>
      </c>
      <c r="P211" s="308">
        <v>0</v>
      </c>
      <c r="Q211" s="307">
        <v>0</v>
      </c>
      <c r="R211" s="308">
        <v>0</v>
      </c>
      <c r="S211" s="308">
        <v>0</v>
      </c>
      <c r="T211" s="308">
        <v>0</v>
      </c>
      <c r="U211" s="308">
        <v>0.65947655325405896</v>
      </c>
      <c r="V211" s="309"/>
    </row>
    <row r="212" spans="1:22">
      <c r="A212" s="304"/>
      <c r="B212" s="310" t="s">
        <v>565</v>
      </c>
      <c r="C212" s="311">
        <v>6.0264925022842197</v>
      </c>
      <c r="D212" s="312">
        <v>0</v>
      </c>
      <c r="E212" s="312">
        <v>2.1962514871560201</v>
      </c>
      <c r="F212" s="312">
        <v>24.888331803197588</v>
      </c>
      <c r="G212" s="312">
        <v>0</v>
      </c>
      <c r="H212" s="312">
        <v>0</v>
      </c>
      <c r="I212" s="312">
        <v>0</v>
      </c>
      <c r="J212" s="314">
        <v>3.7384377332804197</v>
      </c>
      <c r="K212" s="314">
        <v>0</v>
      </c>
      <c r="L212" s="312">
        <v>0</v>
      </c>
      <c r="M212" s="312">
        <v>0</v>
      </c>
      <c r="N212" s="312">
        <v>0</v>
      </c>
      <c r="O212" s="314">
        <v>0</v>
      </c>
      <c r="P212" s="314">
        <v>0</v>
      </c>
      <c r="Q212" s="312">
        <v>0</v>
      </c>
      <c r="R212" s="314">
        <v>0</v>
      </c>
      <c r="S212" s="314">
        <v>0</v>
      </c>
      <c r="T212" s="314">
        <v>0</v>
      </c>
      <c r="U212" s="314">
        <v>3.7384377332804197</v>
      </c>
      <c r="V212" s="309"/>
    </row>
    <row r="213" spans="1:22">
      <c r="A213" s="304"/>
      <c r="B213" s="50" t="s">
        <v>566</v>
      </c>
      <c r="C213" s="301">
        <v>0</v>
      </c>
      <c r="D213" s="302">
        <v>0</v>
      </c>
      <c r="E213" s="302">
        <v>8.0921861850197447E-4</v>
      </c>
      <c r="F213" s="302">
        <v>0</v>
      </c>
      <c r="G213" s="302">
        <v>0</v>
      </c>
      <c r="H213" s="302">
        <v>0</v>
      </c>
      <c r="I213" s="302">
        <v>0</v>
      </c>
      <c r="J213" s="303">
        <v>4.2040830054148589E-4</v>
      </c>
      <c r="K213" s="303">
        <v>0</v>
      </c>
      <c r="L213" s="302">
        <v>0</v>
      </c>
      <c r="M213" s="302">
        <v>0</v>
      </c>
      <c r="N213" s="302">
        <v>0</v>
      </c>
      <c r="O213" s="303">
        <v>0</v>
      </c>
      <c r="P213" s="303">
        <v>0</v>
      </c>
      <c r="Q213" s="302">
        <v>0</v>
      </c>
      <c r="R213" s="303">
        <v>0</v>
      </c>
      <c r="S213" s="303">
        <v>0</v>
      </c>
      <c r="T213" s="303">
        <v>0</v>
      </c>
      <c r="U213" s="303">
        <v>4.2040830054148589E-4</v>
      </c>
      <c r="V213" s="309"/>
    </row>
    <row r="214" spans="1:22">
      <c r="A214" s="304"/>
      <c r="B214" s="305" t="s">
        <v>567</v>
      </c>
      <c r="C214" s="306">
        <v>0</v>
      </c>
      <c r="D214" s="307">
        <v>0</v>
      </c>
      <c r="E214" s="307">
        <v>1.4568448460238984E-3</v>
      </c>
      <c r="F214" s="307">
        <v>0</v>
      </c>
      <c r="G214" s="307">
        <v>0</v>
      </c>
      <c r="H214" s="307">
        <v>0</v>
      </c>
      <c r="I214" s="307">
        <v>0</v>
      </c>
      <c r="J214" s="308">
        <v>7.2238417517560087E-4</v>
      </c>
      <c r="K214" s="308">
        <v>0</v>
      </c>
      <c r="L214" s="307">
        <v>0</v>
      </c>
      <c r="M214" s="307">
        <v>0</v>
      </c>
      <c r="N214" s="307">
        <v>0</v>
      </c>
      <c r="O214" s="308">
        <v>0</v>
      </c>
      <c r="P214" s="308">
        <v>0</v>
      </c>
      <c r="Q214" s="307">
        <v>0</v>
      </c>
      <c r="R214" s="308">
        <v>0</v>
      </c>
      <c r="S214" s="308">
        <v>0</v>
      </c>
      <c r="T214" s="308">
        <v>0</v>
      </c>
      <c r="U214" s="308">
        <v>7.2238417517560087E-4</v>
      </c>
      <c r="V214" s="309"/>
    </row>
    <row r="215" spans="1:22">
      <c r="A215" s="304"/>
      <c r="B215" s="310" t="s">
        <v>568</v>
      </c>
      <c r="C215" s="311">
        <v>0</v>
      </c>
      <c r="D215" s="312">
        <v>0</v>
      </c>
      <c r="E215" s="312">
        <v>6.4762622752192398E-2</v>
      </c>
      <c r="F215" s="312">
        <v>0</v>
      </c>
      <c r="G215" s="312">
        <v>0</v>
      </c>
      <c r="H215" s="312">
        <v>0</v>
      </c>
      <c r="I215" s="312">
        <v>0</v>
      </c>
      <c r="J215" s="314">
        <v>3.0197587463411498E-2</v>
      </c>
      <c r="K215" s="314">
        <v>0</v>
      </c>
      <c r="L215" s="312">
        <v>0</v>
      </c>
      <c r="M215" s="312">
        <v>0</v>
      </c>
      <c r="N215" s="312">
        <v>0</v>
      </c>
      <c r="O215" s="314">
        <v>0</v>
      </c>
      <c r="P215" s="314">
        <v>0</v>
      </c>
      <c r="Q215" s="312">
        <v>0</v>
      </c>
      <c r="R215" s="314">
        <v>0</v>
      </c>
      <c r="S215" s="314">
        <v>0</v>
      </c>
      <c r="T215" s="314">
        <v>0</v>
      </c>
      <c r="U215" s="314">
        <v>3.0197587463411498E-2</v>
      </c>
      <c r="V215" s="309"/>
    </row>
    <row r="216" spans="1:22">
      <c r="A216" s="304"/>
      <c r="B216" s="50" t="s">
        <v>569</v>
      </c>
      <c r="C216" s="301">
        <v>2.8610531035052323E-3</v>
      </c>
      <c r="D216" s="302">
        <v>0</v>
      </c>
      <c r="E216" s="302">
        <v>1.6184372370039489E-5</v>
      </c>
      <c r="F216" s="302">
        <v>0</v>
      </c>
      <c r="G216" s="302">
        <v>0</v>
      </c>
      <c r="H216" s="302">
        <v>0</v>
      </c>
      <c r="I216" s="302">
        <v>0</v>
      </c>
      <c r="J216" s="303">
        <v>1.3677283377616341E-3</v>
      </c>
      <c r="K216" s="303">
        <v>0</v>
      </c>
      <c r="L216" s="302">
        <v>0</v>
      </c>
      <c r="M216" s="302">
        <v>0</v>
      </c>
      <c r="N216" s="302">
        <v>0</v>
      </c>
      <c r="O216" s="303">
        <v>0</v>
      </c>
      <c r="P216" s="303">
        <v>0</v>
      </c>
      <c r="Q216" s="302">
        <v>0</v>
      </c>
      <c r="R216" s="303">
        <v>0</v>
      </c>
      <c r="S216" s="303">
        <v>0</v>
      </c>
      <c r="T216" s="303">
        <v>0</v>
      </c>
      <c r="U216" s="303">
        <v>1.3677283377616341E-3</v>
      </c>
      <c r="V216" s="309"/>
    </row>
    <row r="217" spans="1:22">
      <c r="A217" s="304"/>
      <c r="B217" s="305" t="s">
        <v>570</v>
      </c>
      <c r="C217" s="306">
        <v>8.1610446137105551E-4</v>
      </c>
      <c r="D217" s="307">
        <v>0</v>
      </c>
      <c r="E217" s="307">
        <v>0</v>
      </c>
      <c r="F217" s="307">
        <v>0</v>
      </c>
      <c r="G217" s="307">
        <v>0</v>
      </c>
      <c r="H217" s="307">
        <v>0</v>
      </c>
      <c r="I217" s="307">
        <v>0</v>
      </c>
      <c r="J217" s="308">
        <v>4.0730171579049832E-4</v>
      </c>
      <c r="K217" s="308">
        <v>0</v>
      </c>
      <c r="L217" s="307">
        <v>0</v>
      </c>
      <c r="M217" s="307">
        <v>0</v>
      </c>
      <c r="N217" s="307">
        <v>0</v>
      </c>
      <c r="O217" s="308">
        <v>0</v>
      </c>
      <c r="P217" s="308">
        <v>0</v>
      </c>
      <c r="Q217" s="307">
        <v>0</v>
      </c>
      <c r="R217" s="308">
        <v>0</v>
      </c>
      <c r="S217" s="308">
        <v>0</v>
      </c>
      <c r="T217" s="308">
        <v>0</v>
      </c>
      <c r="U217" s="308">
        <v>4.0730171579049832E-4</v>
      </c>
      <c r="V217" s="309"/>
    </row>
    <row r="218" spans="1:22">
      <c r="A218" s="304"/>
      <c r="B218" s="310" t="s">
        <v>571</v>
      </c>
      <c r="C218" s="311">
        <v>-0.2044948642134177</v>
      </c>
      <c r="D218" s="312">
        <v>0</v>
      </c>
      <c r="E218" s="312">
        <v>-1.6184372370039489E-3</v>
      </c>
      <c r="F218" s="312">
        <v>0</v>
      </c>
      <c r="G218" s="312">
        <v>0</v>
      </c>
      <c r="H218" s="312">
        <v>0</v>
      </c>
      <c r="I218" s="312">
        <v>0</v>
      </c>
      <c r="J218" s="314">
        <v>-9.6042662197113576E-2</v>
      </c>
      <c r="K218" s="314">
        <v>0</v>
      </c>
      <c r="L218" s="312">
        <v>0</v>
      </c>
      <c r="M218" s="312">
        <v>0</v>
      </c>
      <c r="N218" s="312">
        <v>0</v>
      </c>
      <c r="O218" s="314">
        <v>0</v>
      </c>
      <c r="P218" s="314">
        <v>0</v>
      </c>
      <c r="Q218" s="312">
        <v>0</v>
      </c>
      <c r="R218" s="314">
        <v>0</v>
      </c>
      <c r="S218" s="314">
        <v>0</v>
      </c>
      <c r="T218" s="314">
        <v>0</v>
      </c>
      <c r="U218" s="314">
        <v>-9.6042662197113576E-2</v>
      </c>
      <c r="V218" s="309"/>
    </row>
    <row r="219" spans="1:22">
      <c r="A219" s="304"/>
      <c r="B219" s="50" t="s">
        <v>572</v>
      </c>
      <c r="C219" s="301">
        <v>0</v>
      </c>
      <c r="D219" s="302">
        <v>0</v>
      </c>
      <c r="E219" s="302">
        <v>0</v>
      </c>
      <c r="F219" s="302">
        <v>0</v>
      </c>
      <c r="G219" s="302">
        <v>0</v>
      </c>
      <c r="H219" s="302">
        <v>0</v>
      </c>
      <c r="I219" s="302">
        <v>0</v>
      </c>
      <c r="J219" s="303">
        <v>0</v>
      </c>
      <c r="K219" s="303">
        <v>0</v>
      </c>
      <c r="L219" s="302">
        <v>0</v>
      </c>
      <c r="M219" s="302">
        <v>0</v>
      </c>
      <c r="N219" s="302">
        <v>0</v>
      </c>
      <c r="O219" s="303">
        <v>0</v>
      </c>
      <c r="P219" s="303">
        <v>0</v>
      </c>
      <c r="Q219" s="302">
        <v>0</v>
      </c>
      <c r="R219" s="303">
        <v>0</v>
      </c>
      <c r="S219" s="303">
        <v>0</v>
      </c>
      <c r="T219" s="303">
        <v>0</v>
      </c>
      <c r="U219" s="303">
        <v>0</v>
      </c>
      <c r="V219" s="309"/>
    </row>
    <row r="220" spans="1:22">
      <c r="A220" s="304"/>
      <c r="B220" s="305" t="s">
        <v>573</v>
      </c>
      <c r="C220" s="306">
        <v>0</v>
      </c>
      <c r="D220" s="307">
        <v>0</v>
      </c>
      <c r="E220" s="307">
        <v>0</v>
      </c>
      <c r="F220" s="307">
        <v>0</v>
      </c>
      <c r="G220" s="307">
        <v>0</v>
      </c>
      <c r="H220" s="307">
        <v>0</v>
      </c>
      <c r="I220" s="307">
        <v>0</v>
      </c>
      <c r="J220" s="308">
        <v>0</v>
      </c>
      <c r="K220" s="308">
        <v>0</v>
      </c>
      <c r="L220" s="307">
        <v>0</v>
      </c>
      <c r="M220" s="307">
        <v>0</v>
      </c>
      <c r="N220" s="307">
        <v>0</v>
      </c>
      <c r="O220" s="308">
        <v>0</v>
      </c>
      <c r="P220" s="308">
        <v>0</v>
      </c>
      <c r="Q220" s="307">
        <v>0</v>
      </c>
      <c r="R220" s="308">
        <v>0</v>
      </c>
      <c r="S220" s="308">
        <v>0</v>
      </c>
      <c r="T220" s="308">
        <v>0</v>
      </c>
      <c r="U220" s="308">
        <v>0</v>
      </c>
      <c r="V220" s="309"/>
    </row>
    <row r="221" spans="1:22" ht="15.75" thickBot="1">
      <c r="A221" s="320"/>
      <c r="B221" s="321" t="s">
        <v>574</v>
      </c>
      <c r="C221" s="322">
        <v>0</v>
      </c>
      <c r="D221" s="323">
        <v>0</v>
      </c>
      <c r="E221" s="323">
        <v>0</v>
      </c>
      <c r="F221" s="323">
        <v>0</v>
      </c>
      <c r="G221" s="323">
        <v>0</v>
      </c>
      <c r="H221" s="323">
        <v>0</v>
      </c>
      <c r="I221" s="323">
        <v>0</v>
      </c>
      <c r="J221" s="324">
        <v>0</v>
      </c>
      <c r="K221" s="324">
        <v>0</v>
      </c>
      <c r="L221" s="323">
        <v>0</v>
      </c>
      <c r="M221" s="323">
        <v>0</v>
      </c>
      <c r="N221" s="323">
        <v>0</v>
      </c>
      <c r="O221" s="324">
        <v>0</v>
      </c>
      <c r="P221" s="324">
        <v>0</v>
      </c>
      <c r="Q221" s="323">
        <v>0</v>
      </c>
      <c r="R221" s="324">
        <v>0</v>
      </c>
      <c r="S221" s="324">
        <v>0</v>
      </c>
      <c r="T221" s="324">
        <v>0</v>
      </c>
      <c r="U221" s="324">
        <v>0</v>
      </c>
      <c r="V221" s="309"/>
    </row>
    <row r="222" spans="1:22">
      <c r="A222" s="300" t="s">
        <v>213</v>
      </c>
      <c r="B222" s="50" t="s">
        <v>539</v>
      </c>
      <c r="C222" s="301">
        <v>0.67226786158825036</v>
      </c>
      <c r="D222" s="302">
        <v>0.72036381856758958</v>
      </c>
      <c r="E222" s="302">
        <v>0.60041296219418105</v>
      </c>
      <c r="F222" s="302">
        <v>0.51047624244143153</v>
      </c>
      <c r="G222" s="302">
        <v>0</v>
      </c>
      <c r="H222" s="302">
        <v>0.51570881226053644</v>
      </c>
      <c r="I222" s="302">
        <v>0</v>
      </c>
      <c r="J222" s="303">
        <v>0.6212528603013564</v>
      </c>
      <c r="K222" s="303">
        <v>0</v>
      </c>
      <c r="L222" s="302">
        <v>0.44143373388796769</v>
      </c>
      <c r="M222" s="302">
        <v>0.51917058056546783</v>
      </c>
      <c r="N222" s="302">
        <v>0.54242141180507319</v>
      </c>
      <c r="O222" s="303">
        <v>0.48840557955289998</v>
      </c>
      <c r="P222" s="303">
        <v>0.6912755254024</v>
      </c>
      <c r="Q222" s="302">
        <v>0.91390728476821192</v>
      </c>
      <c r="R222" s="303">
        <v>0.71198370513246223</v>
      </c>
      <c r="S222" s="303">
        <v>0</v>
      </c>
      <c r="T222" s="303">
        <v>0</v>
      </c>
      <c r="U222" s="303">
        <v>0.59549793404053686</v>
      </c>
      <c r="V222" s="309"/>
    </row>
    <row r="223" spans="1:22">
      <c r="A223" s="304"/>
      <c r="B223" s="305" t="s">
        <v>540</v>
      </c>
      <c r="C223" s="306">
        <v>0.64123047573625858</v>
      </c>
      <c r="D223" s="307">
        <v>0.63855174153387195</v>
      </c>
      <c r="E223" s="307">
        <v>0.70011005205405297</v>
      </c>
      <c r="F223" s="307">
        <v>0.4664758441023954</v>
      </c>
      <c r="G223" s="307">
        <v>0</v>
      </c>
      <c r="H223" s="307">
        <v>0.45972644376899752</v>
      </c>
      <c r="I223" s="307">
        <v>0</v>
      </c>
      <c r="J223" s="308">
        <v>0.61042943926711535</v>
      </c>
      <c r="K223" s="308">
        <v>0</v>
      </c>
      <c r="L223" s="307">
        <v>0.32863909586249246</v>
      </c>
      <c r="M223" s="307">
        <v>0.46892973782585878</v>
      </c>
      <c r="N223" s="307">
        <v>0.51642704597823863</v>
      </c>
      <c r="O223" s="308">
        <v>0.41268883614188379</v>
      </c>
      <c r="P223" s="308">
        <v>0.6389618250443776</v>
      </c>
      <c r="Q223" s="307">
        <v>0.95591397849462378</v>
      </c>
      <c r="R223" s="308">
        <v>0.66783726944115096</v>
      </c>
      <c r="S223" s="308">
        <v>0</v>
      </c>
      <c r="T223" s="308">
        <v>0</v>
      </c>
      <c r="U223" s="308">
        <v>0.56958451178612568</v>
      </c>
      <c r="V223" s="309"/>
    </row>
    <row r="224" spans="1:22">
      <c r="A224" s="304"/>
      <c r="B224" s="310" t="s">
        <v>541</v>
      </c>
      <c r="C224" s="311">
        <v>-3.1037385851991783</v>
      </c>
      <c r="D224" s="312">
        <v>-8.1812077033717614</v>
      </c>
      <c r="E224" s="312">
        <v>9.9697089859871912</v>
      </c>
      <c r="F224" s="312">
        <v>-4.4000398339036124</v>
      </c>
      <c r="G224" s="312">
        <v>0</v>
      </c>
      <c r="H224" s="312">
        <v>-5.5982368491538921</v>
      </c>
      <c r="I224" s="312">
        <v>0</v>
      </c>
      <c r="J224" s="314">
        <v>-1.0823421034241054</v>
      </c>
      <c r="K224" s="314">
        <v>0</v>
      </c>
      <c r="L224" s="312">
        <v>-11.279463802547523</v>
      </c>
      <c r="M224" s="312">
        <v>-5.0240842739609048</v>
      </c>
      <c r="N224" s="312">
        <v>-2.5994365826834565</v>
      </c>
      <c r="O224" s="314">
        <v>-7.5716743411016196</v>
      </c>
      <c r="P224" s="314">
        <v>-5.2313700358022412</v>
      </c>
      <c r="Q224" s="312">
        <v>4.2006693726411859</v>
      </c>
      <c r="R224" s="314">
        <v>-4.414643569131127</v>
      </c>
      <c r="S224" s="314">
        <v>0</v>
      </c>
      <c r="T224" s="314">
        <v>0</v>
      </c>
      <c r="U224" s="314">
        <v>-2.5913422254411178</v>
      </c>
      <c r="V224" s="309"/>
    </row>
    <row r="225" spans="1:22">
      <c r="A225" s="304"/>
      <c r="B225" s="50" t="s">
        <v>542</v>
      </c>
      <c r="C225" s="301">
        <v>0</v>
      </c>
      <c r="D225" s="302">
        <v>0</v>
      </c>
      <c r="E225" s="302">
        <v>0</v>
      </c>
      <c r="F225" s="302">
        <v>0</v>
      </c>
      <c r="G225" s="302">
        <v>0</v>
      </c>
      <c r="H225" s="302">
        <v>0</v>
      </c>
      <c r="I225" s="302">
        <v>0</v>
      </c>
      <c r="J225" s="303">
        <v>0</v>
      </c>
      <c r="K225" s="303">
        <v>0</v>
      </c>
      <c r="L225" s="302">
        <v>0</v>
      </c>
      <c r="M225" s="302">
        <v>0</v>
      </c>
      <c r="N225" s="302">
        <v>0</v>
      </c>
      <c r="O225" s="303">
        <v>0</v>
      </c>
      <c r="P225" s="303">
        <v>0</v>
      </c>
      <c r="Q225" s="302">
        <v>0</v>
      </c>
      <c r="R225" s="303">
        <v>0</v>
      </c>
      <c r="S225" s="303">
        <v>0</v>
      </c>
      <c r="T225" s="303">
        <v>0</v>
      </c>
      <c r="U225" s="303">
        <v>0</v>
      </c>
      <c r="V225" s="309"/>
    </row>
    <row r="226" spans="1:22">
      <c r="A226" s="304"/>
      <c r="B226" s="305" t="s">
        <v>543</v>
      </c>
      <c r="C226" s="306">
        <v>0</v>
      </c>
      <c r="D226" s="307">
        <v>0</v>
      </c>
      <c r="E226" s="307">
        <v>0</v>
      </c>
      <c r="F226" s="307">
        <v>0</v>
      </c>
      <c r="G226" s="307">
        <v>0</v>
      </c>
      <c r="H226" s="307">
        <v>0</v>
      </c>
      <c r="I226" s="307">
        <v>0</v>
      </c>
      <c r="J226" s="308">
        <v>0</v>
      </c>
      <c r="K226" s="308">
        <v>0</v>
      </c>
      <c r="L226" s="307">
        <v>0</v>
      </c>
      <c r="M226" s="307">
        <v>0</v>
      </c>
      <c r="N226" s="307">
        <v>0</v>
      </c>
      <c r="O226" s="308">
        <v>0</v>
      </c>
      <c r="P226" s="308">
        <v>0</v>
      </c>
      <c r="Q226" s="307">
        <v>0</v>
      </c>
      <c r="R226" s="308">
        <v>0</v>
      </c>
      <c r="S226" s="308">
        <v>0</v>
      </c>
      <c r="T226" s="308">
        <v>0</v>
      </c>
      <c r="U226" s="308">
        <v>0</v>
      </c>
      <c r="V226" s="309"/>
    </row>
    <row r="227" spans="1:22">
      <c r="A227" s="304"/>
      <c r="B227" s="310" t="s">
        <v>544</v>
      </c>
      <c r="C227" s="311">
        <v>0</v>
      </c>
      <c r="D227" s="312">
        <v>0</v>
      </c>
      <c r="E227" s="312">
        <v>0</v>
      </c>
      <c r="F227" s="312">
        <v>0</v>
      </c>
      <c r="G227" s="312">
        <v>0</v>
      </c>
      <c r="H227" s="312">
        <v>0</v>
      </c>
      <c r="I227" s="312">
        <v>0</v>
      </c>
      <c r="J227" s="314">
        <v>0</v>
      </c>
      <c r="K227" s="314">
        <v>0</v>
      </c>
      <c r="L227" s="312">
        <v>0</v>
      </c>
      <c r="M227" s="312">
        <v>0</v>
      </c>
      <c r="N227" s="312">
        <v>0</v>
      </c>
      <c r="O227" s="314">
        <v>0</v>
      </c>
      <c r="P227" s="314">
        <v>0</v>
      </c>
      <c r="Q227" s="312">
        <v>0</v>
      </c>
      <c r="R227" s="314">
        <v>0</v>
      </c>
      <c r="S227" s="314">
        <v>0</v>
      </c>
      <c r="T227" s="314">
        <v>0</v>
      </c>
      <c r="U227" s="314">
        <v>0</v>
      </c>
      <c r="V227" s="309"/>
    </row>
    <row r="228" spans="1:22">
      <c r="A228" s="304"/>
      <c r="B228" s="50" t="s">
        <v>545</v>
      </c>
      <c r="C228" s="301">
        <v>0.3277321384117497</v>
      </c>
      <c r="D228" s="302">
        <v>0.27963618143241037</v>
      </c>
      <c r="E228" s="302">
        <v>0.39958703780581906</v>
      </c>
      <c r="F228" s="302">
        <v>0.48952375755856847</v>
      </c>
      <c r="G228" s="302">
        <v>1</v>
      </c>
      <c r="H228" s="302">
        <v>0.48429118773946361</v>
      </c>
      <c r="I228" s="302">
        <v>0</v>
      </c>
      <c r="J228" s="303">
        <v>0.37874713969864365</v>
      </c>
      <c r="K228" s="303">
        <v>0</v>
      </c>
      <c r="L228" s="302">
        <v>0.55856626611203231</v>
      </c>
      <c r="M228" s="302">
        <v>0.48082941943453211</v>
      </c>
      <c r="N228" s="302">
        <v>0.45757858819492686</v>
      </c>
      <c r="O228" s="303">
        <v>0.51159442044710002</v>
      </c>
      <c r="P228" s="303">
        <v>0.30872447459760005</v>
      </c>
      <c r="Q228" s="302">
        <v>8.6092715231788103E-2</v>
      </c>
      <c r="R228" s="303">
        <v>0.28801629486753771</v>
      </c>
      <c r="S228" s="303">
        <v>0</v>
      </c>
      <c r="T228" s="303">
        <v>0</v>
      </c>
      <c r="U228" s="303">
        <v>0.4045020659594632</v>
      </c>
      <c r="V228" s="309"/>
    </row>
    <row r="229" spans="1:22">
      <c r="A229" s="304"/>
      <c r="B229" s="305" t="s">
        <v>546</v>
      </c>
      <c r="C229" s="306">
        <v>0.35876952426374142</v>
      </c>
      <c r="D229" s="307">
        <v>0.3614482584661281</v>
      </c>
      <c r="E229" s="307">
        <v>0.29988994794594692</v>
      </c>
      <c r="F229" s="307">
        <v>0.5335241558976046</v>
      </c>
      <c r="G229" s="307">
        <v>1</v>
      </c>
      <c r="H229" s="307">
        <v>0.54027355623100248</v>
      </c>
      <c r="I229" s="307">
        <v>0</v>
      </c>
      <c r="J229" s="308">
        <v>0.38957056073288432</v>
      </c>
      <c r="K229" s="308">
        <v>0</v>
      </c>
      <c r="L229" s="307">
        <v>0.67136090413750749</v>
      </c>
      <c r="M229" s="307">
        <v>0.53107026217414122</v>
      </c>
      <c r="N229" s="307">
        <v>0.48357295402176137</v>
      </c>
      <c r="O229" s="308">
        <v>0.58731116385811599</v>
      </c>
      <c r="P229" s="308">
        <v>0.36103817495562235</v>
      </c>
      <c r="Q229" s="307">
        <v>4.4086021505376348E-2</v>
      </c>
      <c r="R229" s="308">
        <v>0.3321627305588491</v>
      </c>
      <c r="S229" s="308">
        <v>0</v>
      </c>
      <c r="T229" s="308">
        <v>0</v>
      </c>
      <c r="U229" s="308">
        <v>0.43041548821387393</v>
      </c>
      <c r="V229" s="309"/>
    </row>
    <row r="230" spans="1:22">
      <c r="A230" s="304"/>
      <c r="B230" s="310" t="s">
        <v>547</v>
      </c>
      <c r="C230" s="311">
        <v>3.1037385851991726</v>
      </c>
      <c r="D230" s="312">
        <v>8.1812077033717738</v>
      </c>
      <c r="E230" s="312">
        <v>-9.9697089859872143</v>
      </c>
      <c r="F230" s="312">
        <v>4.4000398339036124</v>
      </c>
      <c r="G230" s="312">
        <v>0</v>
      </c>
      <c r="H230" s="312">
        <v>5.5982368491538868</v>
      </c>
      <c r="I230" s="312">
        <v>0</v>
      </c>
      <c r="J230" s="314">
        <v>1.0823421034240666</v>
      </c>
      <c r="K230" s="314">
        <v>0</v>
      </c>
      <c r="L230" s="312">
        <v>11.279463802547518</v>
      </c>
      <c r="M230" s="312">
        <v>5.0240842739609102</v>
      </c>
      <c r="N230" s="312">
        <v>2.5994365826834507</v>
      </c>
      <c r="O230" s="314">
        <v>7.5716743411015974</v>
      </c>
      <c r="P230" s="314">
        <v>5.2313700358022297</v>
      </c>
      <c r="Q230" s="312">
        <v>-4.2006693726411752</v>
      </c>
      <c r="R230" s="314">
        <v>4.4146435691311385</v>
      </c>
      <c r="S230" s="314">
        <v>0</v>
      </c>
      <c r="T230" s="314">
        <v>0</v>
      </c>
      <c r="U230" s="314">
        <v>2.5913422254410734</v>
      </c>
      <c r="V230" s="309"/>
    </row>
    <row r="231" spans="1:22">
      <c r="A231" s="304"/>
      <c r="B231" s="50" t="s">
        <v>548</v>
      </c>
      <c r="C231" s="301">
        <v>0</v>
      </c>
      <c r="D231" s="302">
        <v>0</v>
      </c>
      <c r="E231" s="302">
        <v>0</v>
      </c>
      <c r="F231" s="302">
        <v>0</v>
      </c>
      <c r="G231" s="302">
        <v>0</v>
      </c>
      <c r="H231" s="302">
        <v>0</v>
      </c>
      <c r="I231" s="302">
        <v>0</v>
      </c>
      <c r="J231" s="303">
        <v>0</v>
      </c>
      <c r="K231" s="303">
        <v>0</v>
      </c>
      <c r="L231" s="302">
        <v>0</v>
      </c>
      <c r="M231" s="302">
        <v>0</v>
      </c>
      <c r="N231" s="302">
        <v>0</v>
      </c>
      <c r="O231" s="303">
        <v>0</v>
      </c>
      <c r="P231" s="303">
        <v>0</v>
      </c>
      <c r="Q231" s="302">
        <v>0</v>
      </c>
      <c r="R231" s="303">
        <v>0</v>
      </c>
      <c r="S231" s="303">
        <v>0</v>
      </c>
      <c r="T231" s="303">
        <v>0</v>
      </c>
      <c r="U231" s="303">
        <v>0</v>
      </c>
      <c r="V231" s="309"/>
    </row>
    <row r="232" spans="1:22">
      <c r="A232" s="304"/>
      <c r="B232" s="305" t="s">
        <v>549</v>
      </c>
      <c r="C232" s="306">
        <v>0</v>
      </c>
      <c r="D232" s="307">
        <v>0</v>
      </c>
      <c r="E232" s="307">
        <v>0</v>
      </c>
      <c r="F232" s="307">
        <v>0</v>
      </c>
      <c r="G232" s="307">
        <v>0</v>
      </c>
      <c r="H232" s="307">
        <v>0</v>
      </c>
      <c r="I232" s="307">
        <v>0</v>
      </c>
      <c r="J232" s="308">
        <v>0</v>
      </c>
      <c r="K232" s="308">
        <v>0</v>
      </c>
      <c r="L232" s="307">
        <v>0</v>
      </c>
      <c r="M232" s="307">
        <v>0</v>
      </c>
      <c r="N232" s="307">
        <v>0</v>
      </c>
      <c r="O232" s="308">
        <v>0</v>
      </c>
      <c r="P232" s="308">
        <v>0</v>
      </c>
      <c r="Q232" s="307">
        <v>0</v>
      </c>
      <c r="R232" s="308">
        <v>0</v>
      </c>
      <c r="S232" s="308">
        <v>0</v>
      </c>
      <c r="T232" s="308">
        <v>0</v>
      </c>
      <c r="U232" s="308">
        <v>0</v>
      </c>
      <c r="V232" s="309"/>
    </row>
    <row r="233" spans="1:22">
      <c r="A233" s="304"/>
      <c r="B233" s="310" t="s">
        <v>550</v>
      </c>
      <c r="C233" s="311">
        <v>0</v>
      </c>
      <c r="D233" s="312">
        <v>0</v>
      </c>
      <c r="E233" s="312">
        <v>0</v>
      </c>
      <c r="F233" s="312">
        <v>0</v>
      </c>
      <c r="G233" s="312">
        <v>0</v>
      </c>
      <c r="H233" s="312">
        <v>0</v>
      </c>
      <c r="I233" s="312">
        <v>0</v>
      </c>
      <c r="J233" s="314">
        <v>0</v>
      </c>
      <c r="K233" s="314">
        <v>0</v>
      </c>
      <c r="L233" s="312">
        <v>0</v>
      </c>
      <c r="M233" s="312">
        <v>0</v>
      </c>
      <c r="N233" s="312">
        <v>0</v>
      </c>
      <c r="O233" s="314">
        <v>0</v>
      </c>
      <c r="P233" s="314">
        <v>0</v>
      </c>
      <c r="Q233" s="312">
        <v>0</v>
      </c>
      <c r="R233" s="314">
        <v>0</v>
      </c>
      <c r="S233" s="314">
        <v>0</v>
      </c>
      <c r="T233" s="314">
        <v>0</v>
      </c>
      <c r="U233" s="314">
        <v>0</v>
      </c>
      <c r="V233" s="309"/>
    </row>
    <row r="234" spans="1:22">
      <c r="A234" s="304"/>
      <c r="B234" s="50" t="s">
        <v>551</v>
      </c>
      <c r="C234" s="301">
        <v>0</v>
      </c>
      <c r="D234" s="302">
        <v>0</v>
      </c>
      <c r="E234" s="302">
        <v>0</v>
      </c>
      <c r="F234" s="302">
        <v>0</v>
      </c>
      <c r="G234" s="302">
        <v>0</v>
      </c>
      <c r="H234" s="302">
        <v>0</v>
      </c>
      <c r="I234" s="302">
        <v>0</v>
      </c>
      <c r="J234" s="303">
        <v>0</v>
      </c>
      <c r="K234" s="303">
        <v>0</v>
      </c>
      <c r="L234" s="302">
        <v>0</v>
      </c>
      <c r="M234" s="302">
        <v>0</v>
      </c>
      <c r="N234" s="302">
        <v>0</v>
      </c>
      <c r="O234" s="303">
        <v>0</v>
      </c>
      <c r="P234" s="303">
        <v>0</v>
      </c>
      <c r="Q234" s="302">
        <v>0</v>
      </c>
      <c r="R234" s="303">
        <v>0</v>
      </c>
      <c r="S234" s="303">
        <v>0</v>
      </c>
      <c r="T234" s="303">
        <v>0</v>
      </c>
      <c r="U234" s="303">
        <v>0</v>
      </c>
      <c r="V234" s="309"/>
    </row>
    <row r="235" spans="1:22">
      <c r="A235" s="304"/>
      <c r="B235" s="305" t="s">
        <v>552</v>
      </c>
      <c r="C235" s="306">
        <v>0</v>
      </c>
      <c r="D235" s="307">
        <v>0</v>
      </c>
      <c r="E235" s="307">
        <v>0</v>
      </c>
      <c r="F235" s="307">
        <v>0</v>
      </c>
      <c r="G235" s="307">
        <v>0</v>
      </c>
      <c r="H235" s="307">
        <v>0</v>
      </c>
      <c r="I235" s="307">
        <v>0</v>
      </c>
      <c r="J235" s="308">
        <v>0</v>
      </c>
      <c r="K235" s="308">
        <v>0</v>
      </c>
      <c r="L235" s="307">
        <v>0</v>
      </c>
      <c r="M235" s="307">
        <v>0</v>
      </c>
      <c r="N235" s="307">
        <v>0</v>
      </c>
      <c r="O235" s="308">
        <v>0</v>
      </c>
      <c r="P235" s="308">
        <v>0</v>
      </c>
      <c r="Q235" s="307">
        <v>0</v>
      </c>
      <c r="R235" s="308">
        <v>0</v>
      </c>
      <c r="S235" s="308">
        <v>0</v>
      </c>
      <c r="T235" s="308">
        <v>0</v>
      </c>
      <c r="U235" s="308">
        <v>0</v>
      </c>
      <c r="V235" s="309"/>
    </row>
    <row r="236" spans="1:22">
      <c r="A236" s="304"/>
      <c r="B236" s="310" t="s">
        <v>553</v>
      </c>
      <c r="C236" s="311">
        <v>0</v>
      </c>
      <c r="D236" s="312">
        <v>0</v>
      </c>
      <c r="E236" s="312">
        <v>0</v>
      </c>
      <c r="F236" s="312">
        <v>0</v>
      </c>
      <c r="G236" s="312">
        <v>0</v>
      </c>
      <c r="H236" s="312">
        <v>0</v>
      </c>
      <c r="I236" s="312">
        <v>0</v>
      </c>
      <c r="J236" s="314">
        <v>0</v>
      </c>
      <c r="K236" s="314">
        <v>0</v>
      </c>
      <c r="L236" s="312">
        <v>0</v>
      </c>
      <c r="M236" s="312">
        <v>0</v>
      </c>
      <c r="N236" s="312">
        <v>0</v>
      </c>
      <c r="O236" s="314">
        <v>0</v>
      </c>
      <c r="P236" s="314">
        <v>0</v>
      </c>
      <c r="Q236" s="312">
        <v>0</v>
      </c>
      <c r="R236" s="314">
        <v>0</v>
      </c>
      <c r="S236" s="314">
        <v>0</v>
      </c>
      <c r="T236" s="314">
        <v>0</v>
      </c>
      <c r="U236" s="314">
        <v>0</v>
      </c>
      <c r="V236" s="309"/>
    </row>
    <row r="237" spans="1:22">
      <c r="A237" s="304"/>
      <c r="B237" s="50" t="s">
        <v>554</v>
      </c>
      <c r="C237" s="301">
        <v>0</v>
      </c>
      <c r="D237" s="302">
        <v>0</v>
      </c>
      <c r="E237" s="302">
        <v>0</v>
      </c>
      <c r="F237" s="302">
        <v>0</v>
      </c>
      <c r="G237" s="302">
        <v>0</v>
      </c>
      <c r="H237" s="302">
        <v>0</v>
      </c>
      <c r="I237" s="302">
        <v>0</v>
      </c>
      <c r="J237" s="303">
        <v>0</v>
      </c>
      <c r="K237" s="303">
        <v>0</v>
      </c>
      <c r="L237" s="302">
        <v>0</v>
      </c>
      <c r="M237" s="302">
        <v>0</v>
      </c>
      <c r="N237" s="302">
        <v>0</v>
      </c>
      <c r="O237" s="303">
        <v>0</v>
      </c>
      <c r="P237" s="303">
        <v>0</v>
      </c>
      <c r="Q237" s="302">
        <v>0</v>
      </c>
      <c r="R237" s="303">
        <v>0</v>
      </c>
      <c r="S237" s="303">
        <v>0</v>
      </c>
      <c r="T237" s="303">
        <v>0</v>
      </c>
      <c r="U237" s="303">
        <v>0</v>
      </c>
      <c r="V237" s="309"/>
    </row>
    <row r="238" spans="1:22">
      <c r="A238" s="304"/>
      <c r="B238" s="305" t="s">
        <v>555</v>
      </c>
      <c r="C238" s="306">
        <v>0</v>
      </c>
      <c r="D238" s="307">
        <v>0</v>
      </c>
      <c r="E238" s="307">
        <v>0</v>
      </c>
      <c r="F238" s="307">
        <v>0</v>
      </c>
      <c r="G238" s="307">
        <v>0</v>
      </c>
      <c r="H238" s="307">
        <v>0</v>
      </c>
      <c r="I238" s="307">
        <v>0</v>
      </c>
      <c r="J238" s="308">
        <v>0</v>
      </c>
      <c r="K238" s="308">
        <v>0</v>
      </c>
      <c r="L238" s="307">
        <v>0</v>
      </c>
      <c r="M238" s="307">
        <v>0</v>
      </c>
      <c r="N238" s="307">
        <v>0</v>
      </c>
      <c r="O238" s="308">
        <v>0</v>
      </c>
      <c r="P238" s="308">
        <v>0</v>
      </c>
      <c r="Q238" s="307">
        <v>0</v>
      </c>
      <c r="R238" s="308">
        <v>0</v>
      </c>
      <c r="S238" s="308">
        <v>0</v>
      </c>
      <c r="T238" s="308">
        <v>0</v>
      </c>
      <c r="U238" s="308">
        <v>0</v>
      </c>
      <c r="V238" s="309"/>
    </row>
    <row r="239" spans="1:22" ht="15.75" thickBot="1">
      <c r="A239" s="304"/>
      <c r="B239" s="316" t="s">
        <v>556</v>
      </c>
      <c r="C239" s="317">
        <v>0</v>
      </c>
      <c r="D239" s="318">
        <v>0</v>
      </c>
      <c r="E239" s="318">
        <v>0</v>
      </c>
      <c r="F239" s="318">
        <v>0</v>
      </c>
      <c r="G239" s="318">
        <v>0</v>
      </c>
      <c r="H239" s="318">
        <v>0</v>
      </c>
      <c r="I239" s="318">
        <v>0</v>
      </c>
      <c r="J239" s="319">
        <v>0</v>
      </c>
      <c r="K239" s="319">
        <v>0</v>
      </c>
      <c r="L239" s="318">
        <v>0</v>
      </c>
      <c r="M239" s="318">
        <v>0</v>
      </c>
      <c r="N239" s="318">
        <v>0</v>
      </c>
      <c r="O239" s="319">
        <v>0</v>
      </c>
      <c r="P239" s="319">
        <v>0</v>
      </c>
      <c r="Q239" s="318">
        <v>0</v>
      </c>
      <c r="R239" s="319">
        <v>0</v>
      </c>
      <c r="S239" s="319">
        <v>0</v>
      </c>
      <c r="T239" s="319">
        <v>0</v>
      </c>
      <c r="U239" s="319">
        <v>0</v>
      </c>
      <c r="V239" s="309"/>
    </row>
    <row r="240" spans="1:22" ht="15.75" thickTop="1">
      <c r="A240" s="304"/>
      <c r="B240" s="305" t="s">
        <v>557</v>
      </c>
      <c r="C240" s="306">
        <v>0.81099033816425159</v>
      </c>
      <c r="D240" s="307">
        <v>0.70729974668528939</v>
      </c>
      <c r="E240" s="307">
        <v>0.40222567864178949</v>
      </c>
      <c r="F240" s="307">
        <v>0.2274495590021984</v>
      </c>
      <c r="G240" s="307">
        <v>0</v>
      </c>
      <c r="H240" s="307">
        <v>0</v>
      </c>
      <c r="I240" s="307">
        <v>0.92946058091286299</v>
      </c>
      <c r="J240" s="308">
        <v>0.53120721797986548</v>
      </c>
      <c r="K240" s="308">
        <v>0</v>
      </c>
      <c r="L240" s="307">
        <v>0</v>
      </c>
      <c r="M240" s="307">
        <v>0</v>
      </c>
      <c r="N240" s="307">
        <v>0</v>
      </c>
      <c r="O240" s="308">
        <v>0</v>
      </c>
      <c r="P240" s="308">
        <v>0</v>
      </c>
      <c r="Q240" s="307">
        <v>0</v>
      </c>
      <c r="R240" s="308">
        <v>0</v>
      </c>
      <c r="S240" s="308">
        <v>0</v>
      </c>
      <c r="T240" s="308">
        <v>0</v>
      </c>
      <c r="U240" s="308">
        <v>0.53120721797986548</v>
      </c>
      <c r="V240" s="309"/>
    </row>
    <row r="241" spans="1:22">
      <c r="A241" s="304"/>
      <c r="B241" s="305" t="s">
        <v>558</v>
      </c>
      <c r="C241" s="306">
        <v>0.79388426553125568</v>
      </c>
      <c r="D241" s="307">
        <v>0.64072555978934032</v>
      </c>
      <c r="E241" s="307">
        <v>0.54401217040926586</v>
      </c>
      <c r="F241" s="307">
        <v>0.17780355013686477</v>
      </c>
      <c r="G241" s="307">
        <v>0</v>
      </c>
      <c r="H241" s="307">
        <v>0</v>
      </c>
      <c r="I241" s="307">
        <v>0</v>
      </c>
      <c r="J241" s="308">
        <v>0.51373514971968992</v>
      </c>
      <c r="K241" s="308">
        <v>0</v>
      </c>
      <c r="L241" s="307">
        <v>0</v>
      </c>
      <c r="M241" s="307">
        <v>0</v>
      </c>
      <c r="N241" s="307">
        <v>0</v>
      </c>
      <c r="O241" s="308">
        <v>0</v>
      </c>
      <c r="P241" s="308">
        <v>0</v>
      </c>
      <c r="Q241" s="307">
        <v>0</v>
      </c>
      <c r="R241" s="308">
        <v>0</v>
      </c>
      <c r="S241" s="308">
        <v>0</v>
      </c>
      <c r="T241" s="308">
        <v>0</v>
      </c>
      <c r="U241" s="308">
        <v>0.51373514971968992</v>
      </c>
      <c r="V241" s="309"/>
    </row>
    <row r="242" spans="1:22">
      <c r="A242" s="304"/>
      <c r="B242" s="310" t="s">
        <v>559</v>
      </c>
      <c r="C242" s="311">
        <v>-1.7106072632995906</v>
      </c>
      <c r="D242" s="312">
        <v>-6.6574186895949072</v>
      </c>
      <c r="E242" s="312">
        <v>14.178649176747637</v>
      </c>
      <c r="F242" s="312">
        <v>-4.9646008865333631</v>
      </c>
      <c r="G242" s="312">
        <v>0</v>
      </c>
      <c r="H242" s="312">
        <v>0</v>
      </c>
      <c r="I242" s="312">
        <v>-92.946058091286304</v>
      </c>
      <c r="J242" s="314">
        <v>-1.7472068260175555</v>
      </c>
      <c r="K242" s="314">
        <v>0</v>
      </c>
      <c r="L242" s="312">
        <v>0</v>
      </c>
      <c r="M242" s="312">
        <v>0</v>
      </c>
      <c r="N242" s="312">
        <v>0</v>
      </c>
      <c r="O242" s="314">
        <v>0</v>
      </c>
      <c r="P242" s="314">
        <v>0</v>
      </c>
      <c r="Q242" s="312">
        <v>0</v>
      </c>
      <c r="R242" s="314">
        <v>0</v>
      </c>
      <c r="S242" s="314">
        <v>0</v>
      </c>
      <c r="T242" s="314">
        <v>0</v>
      </c>
      <c r="U242" s="314">
        <v>-1.7472068260175555</v>
      </c>
      <c r="V242" s="309"/>
    </row>
    <row r="243" spans="1:22">
      <c r="A243" s="304"/>
      <c r="B243" s="50" t="s">
        <v>560</v>
      </c>
      <c r="C243" s="301">
        <v>0</v>
      </c>
      <c r="D243" s="302">
        <v>0</v>
      </c>
      <c r="E243" s="302">
        <v>0</v>
      </c>
      <c r="F243" s="302">
        <v>0</v>
      </c>
      <c r="G243" s="302">
        <v>0</v>
      </c>
      <c r="H243" s="302">
        <v>0</v>
      </c>
      <c r="I243" s="302">
        <v>0</v>
      </c>
      <c r="J243" s="303">
        <v>0</v>
      </c>
      <c r="K243" s="303">
        <v>0</v>
      </c>
      <c r="L243" s="302">
        <v>0</v>
      </c>
      <c r="M243" s="302">
        <v>0</v>
      </c>
      <c r="N243" s="302">
        <v>0</v>
      </c>
      <c r="O243" s="303">
        <v>0</v>
      </c>
      <c r="P243" s="303">
        <v>0</v>
      </c>
      <c r="Q243" s="302">
        <v>0</v>
      </c>
      <c r="R243" s="303">
        <v>0</v>
      </c>
      <c r="S243" s="303">
        <v>0</v>
      </c>
      <c r="T243" s="303">
        <v>0</v>
      </c>
      <c r="U243" s="303">
        <v>0</v>
      </c>
      <c r="V243" s="309"/>
    </row>
    <row r="244" spans="1:22">
      <c r="A244" s="304"/>
      <c r="B244" s="305" t="s">
        <v>561</v>
      </c>
      <c r="C244" s="306">
        <v>0</v>
      </c>
      <c r="D244" s="307">
        <v>0</v>
      </c>
      <c r="E244" s="307">
        <v>0</v>
      </c>
      <c r="F244" s="307">
        <v>0</v>
      </c>
      <c r="G244" s="307">
        <v>0</v>
      </c>
      <c r="H244" s="307">
        <v>0</v>
      </c>
      <c r="I244" s="307">
        <v>0</v>
      </c>
      <c r="J244" s="308">
        <v>0</v>
      </c>
      <c r="K244" s="308">
        <v>0</v>
      </c>
      <c r="L244" s="307">
        <v>0</v>
      </c>
      <c r="M244" s="307">
        <v>0</v>
      </c>
      <c r="N244" s="307">
        <v>0</v>
      </c>
      <c r="O244" s="308">
        <v>0</v>
      </c>
      <c r="P244" s="308">
        <v>0</v>
      </c>
      <c r="Q244" s="307">
        <v>0</v>
      </c>
      <c r="R244" s="308">
        <v>0</v>
      </c>
      <c r="S244" s="308">
        <v>0</v>
      </c>
      <c r="T244" s="308">
        <v>0</v>
      </c>
      <c r="U244" s="308">
        <v>0</v>
      </c>
      <c r="V244" s="309"/>
    </row>
    <row r="245" spans="1:22">
      <c r="A245" s="304"/>
      <c r="B245" s="310" t="s">
        <v>562</v>
      </c>
      <c r="C245" s="311">
        <v>0</v>
      </c>
      <c r="D245" s="312">
        <v>0</v>
      </c>
      <c r="E245" s="312">
        <v>0</v>
      </c>
      <c r="F245" s="312">
        <v>0</v>
      </c>
      <c r="G245" s="312">
        <v>0</v>
      </c>
      <c r="H245" s="312">
        <v>0</v>
      </c>
      <c r="I245" s="312">
        <v>0</v>
      </c>
      <c r="J245" s="314">
        <v>0</v>
      </c>
      <c r="K245" s="314">
        <v>0</v>
      </c>
      <c r="L245" s="312">
        <v>0</v>
      </c>
      <c r="M245" s="312">
        <v>0</v>
      </c>
      <c r="N245" s="312">
        <v>0</v>
      </c>
      <c r="O245" s="314">
        <v>0</v>
      </c>
      <c r="P245" s="314">
        <v>0</v>
      </c>
      <c r="Q245" s="312">
        <v>0</v>
      </c>
      <c r="R245" s="314">
        <v>0</v>
      </c>
      <c r="S245" s="314">
        <v>0</v>
      </c>
      <c r="T245" s="314">
        <v>0</v>
      </c>
      <c r="U245" s="314">
        <v>0</v>
      </c>
      <c r="V245" s="309"/>
    </row>
    <row r="246" spans="1:22">
      <c r="A246" s="304"/>
      <c r="B246" s="50" t="s">
        <v>563</v>
      </c>
      <c r="C246" s="301">
        <v>0.18900966183574833</v>
      </c>
      <c r="D246" s="302">
        <v>0.29270025331471067</v>
      </c>
      <c r="E246" s="302">
        <v>0.59777432135821063</v>
      </c>
      <c r="F246" s="302">
        <v>0.77255044099780157</v>
      </c>
      <c r="G246" s="302">
        <v>1</v>
      </c>
      <c r="H246" s="302">
        <v>0</v>
      </c>
      <c r="I246" s="302">
        <v>7.053941908713697E-2</v>
      </c>
      <c r="J246" s="303">
        <v>0.46879278202013464</v>
      </c>
      <c r="K246" s="303">
        <v>0</v>
      </c>
      <c r="L246" s="302">
        <v>0</v>
      </c>
      <c r="M246" s="302">
        <v>0</v>
      </c>
      <c r="N246" s="302">
        <v>0</v>
      </c>
      <c r="O246" s="303">
        <v>0</v>
      </c>
      <c r="P246" s="303">
        <v>0</v>
      </c>
      <c r="Q246" s="302">
        <v>0</v>
      </c>
      <c r="R246" s="303">
        <v>0</v>
      </c>
      <c r="S246" s="303">
        <v>0</v>
      </c>
      <c r="T246" s="303">
        <v>0</v>
      </c>
      <c r="U246" s="303">
        <v>0.46879278202013464</v>
      </c>
      <c r="V246" s="309"/>
    </row>
    <row r="247" spans="1:22">
      <c r="A247" s="304"/>
      <c r="B247" s="305" t="s">
        <v>564</v>
      </c>
      <c r="C247" s="306">
        <v>0.20611573446874426</v>
      </c>
      <c r="D247" s="307">
        <v>0.35927444021065963</v>
      </c>
      <c r="E247" s="307">
        <v>0.45598782959073419</v>
      </c>
      <c r="F247" s="307">
        <v>0.82219644986313523</v>
      </c>
      <c r="G247" s="307">
        <v>1</v>
      </c>
      <c r="H247" s="307">
        <v>0</v>
      </c>
      <c r="I247" s="307">
        <v>0</v>
      </c>
      <c r="J247" s="308">
        <v>0.48626485028031013</v>
      </c>
      <c r="K247" s="308">
        <v>0</v>
      </c>
      <c r="L247" s="307">
        <v>0</v>
      </c>
      <c r="M247" s="307">
        <v>0</v>
      </c>
      <c r="N247" s="307">
        <v>0</v>
      </c>
      <c r="O247" s="308">
        <v>0</v>
      </c>
      <c r="P247" s="308">
        <v>0</v>
      </c>
      <c r="Q247" s="307">
        <v>0</v>
      </c>
      <c r="R247" s="308">
        <v>0</v>
      </c>
      <c r="S247" s="308">
        <v>0</v>
      </c>
      <c r="T247" s="308">
        <v>0</v>
      </c>
      <c r="U247" s="308">
        <v>0.48626485028031013</v>
      </c>
      <c r="V247" s="309"/>
    </row>
    <row r="248" spans="1:22">
      <c r="A248" s="304"/>
      <c r="B248" s="310" t="s">
        <v>565</v>
      </c>
      <c r="C248" s="311">
        <v>1.7106072632995932</v>
      </c>
      <c r="D248" s="312">
        <v>6.6574186895948966</v>
      </c>
      <c r="E248" s="312">
        <v>-14.178649176747642</v>
      </c>
      <c r="F248" s="312">
        <v>4.9646008865333657</v>
      </c>
      <c r="G248" s="312">
        <v>0</v>
      </c>
      <c r="H248" s="312">
        <v>0</v>
      </c>
      <c r="I248" s="312">
        <v>-7.0539419087136972</v>
      </c>
      <c r="J248" s="314">
        <v>1.74720682601755</v>
      </c>
      <c r="K248" s="314">
        <v>0</v>
      </c>
      <c r="L248" s="312">
        <v>0</v>
      </c>
      <c r="M248" s="312">
        <v>0</v>
      </c>
      <c r="N248" s="312">
        <v>0</v>
      </c>
      <c r="O248" s="314">
        <v>0</v>
      </c>
      <c r="P248" s="314">
        <v>0</v>
      </c>
      <c r="Q248" s="312">
        <v>0</v>
      </c>
      <c r="R248" s="314">
        <v>0</v>
      </c>
      <c r="S248" s="314">
        <v>0</v>
      </c>
      <c r="T248" s="314">
        <v>0</v>
      </c>
      <c r="U248" s="314">
        <v>1.74720682601755</v>
      </c>
      <c r="V248" s="309"/>
    </row>
    <row r="249" spans="1:22">
      <c r="A249" s="304"/>
      <c r="B249" s="50" t="s">
        <v>566</v>
      </c>
      <c r="C249" s="301">
        <v>0</v>
      </c>
      <c r="D249" s="302">
        <v>0</v>
      </c>
      <c r="E249" s="302">
        <v>0</v>
      </c>
      <c r="F249" s="302">
        <v>0</v>
      </c>
      <c r="G249" s="302">
        <v>0</v>
      </c>
      <c r="H249" s="302">
        <v>0</v>
      </c>
      <c r="I249" s="302">
        <v>0</v>
      </c>
      <c r="J249" s="303">
        <v>0</v>
      </c>
      <c r="K249" s="303">
        <v>0</v>
      </c>
      <c r="L249" s="302">
        <v>0</v>
      </c>
      <c r="M249" s="302">
        <v>0</v>
      </c>
      <c r="N249" s="302">
        <v>0</v>
      </c>
      <c r="O249" s="303">
        <v>0</v>
      </c>
      <c r="P249" s="303">
        <v>0</v>
      </c>
      <c r="Q249" s="302">
        <v>0</v>
      </c>
      <c r="R249" s="303">
        <v>0</v>
      </c>
      <c r="S249" s="303">
        <v>0</v>
      </c>
      <c r="T249" s="303">
        <v>0</v>
      </c>
      <c r="U249" s="303">
        <v>0</v>
      </c>
      <c r="V249" s="309"/>
    </row>
    <row r="250" spans="1:22">
      <c r="A250" s="304"/>
      <c r="B250" s="305" t="s">
        <v>567</v>
      </c>
      <c r="C250" s="306">
        <v>0</v>
      </c>
      <c r="D250" s="307">
        <v>0</v>
      </c>
      <c r="E250" s="307">
        <v>0</v>
      </c>
      <c r="F250" s="307">
        <v>0</v>
      </c>
      <c r="G250" s="307">
        <v>0</v>
      </c>
      <c r="H250" s="307">
        <v>0</v>
      </c>
      <c r="I250" s="307">
        <v>0</v>
      </c>
      <c r="J250" s="308">
        <v>0</v>
      </c>
      <c r="K250" s="308">
        <v>0</v>
      </c>
      <c r="L250" s="307">
        <v>0</v>
      </c>
      <c r="M250" s="307">
        <v>0</v>
      </c>
      <c r="N250" s="307">
        <v>0</v>
      </c>
      <c r="O250" s="308">
        <v>0</v>
      </c>
      <c r="P250" s="308">
        <v>0</v>
      </c>
      <c r="Q250" s="307">
        <v>0</v>
      </c>
      <c r="R250" s="308">
        <v>0</v>
      </c>
      <c r="S250" s="308">
        <v>0</v>
      </c>
      <c r="T250" s="308">
        <v>0</v>
      </c>
      <c r="U250" s="308">
        <v>0</v>
      </c>
      <c r="V250" s="309"/>
    </row>
    <row r="251" spans="1:22">
      <c r="A251" s="304"/>
      <c r="B251" s="310" t="s">
        <v>568</v>
      </c>
      <c r="C251" s="311">
        <v>0</v>
      </c>
      <c r="D251" s="312">
        <v>0</v>
      </c>
      <c r="E251" s="312">
        <v>0</v>
      </c>
      <c r="F251" s="312">
        <v>0</v>
      </c>
      <c r="G251" s="312">
        <v>0</v>
      </c>
      <c r="H251" s="312">
        <v>0</v>
      </c>
      <c r="I251" s="312">
        <v>0</v>
      </c>
      <c r="J251" s="314">
        <v>0</v>
      </c>
      <c r="K251" s="314">
        <v>0</v>
      </c>
      <c r="L251" s="312">
        <v>0</v>
      </c>
      <c r="M251" s="312">
        <v>0</v>
      </c>
      <c r="N251" s="312">
        <v>0</v>
      </c>
      <c r="O251" s="314">
        <v>0</v>
      </c>
      <c r="P251" s="314">
        <v>0</v>
      </c>
      <c r="Q251" s="312">
        <v>0</v>
      </c>
      <c r="R251" s="314">
        <v>0</v>
      </c>
      <c r="S251" s="314">
        <v>0</v>
      </c>
      <c r="T251" s="314">
        <v>0</v>
      </c>
      <c r="U251" s="314">
        <v>0</v>
      </c>
      <c r="V251" s="309"/>
    </row>
    <row r="252" spans="1:22">
      <c r="A252" s="304"/>
      <c r="B252" s="50" t="s">
        <v>569</v>
      </c>
      <c r="C252" s="301">
        <v>0</v>
      </c>
      <c r="D252" s="302">
        <v>0</v>
      </c>
      <c r="E252" s="302">
        <v>0</v>
      </c>
      <c r="F252" s="302">
        <v>0</v>
      </c>
      <c r="G252" s="302">
        <v>0</v>
      </c>
      <c r="H252" s="302">
        <v>0</v>
      </c>
      <c r="I252" s="302">
        <v>0</v>
      </c>
      <c r="J252" s="303">
        <v>0</v>
      </c>
      <c r="K252" s="303">
        <v>0</v>
      </c>
      <c r="L252" s="302">
        <v>0</v>
      </c>
      <c r="M252" s="302">
        <v>0</v>
      </c>
      <c r="N252" s="302">
        <v>0</v>
      </c>
      <c r="O252" s="303">
        <v>0</v>
      </c>
      <c r="P252" s="303">
        <v>0</v>
      </c>
      <c r="Q252" s="302">
        <v>0</v>
      </c>
      <c r="R252" s="303">
        <v>0</v>
      </c>
      <c r="S252" s="303">
        <v>0</v>
      </c>
      <c r="T252" s="303">
        <v>0</v>
      </c>
      <c r="U252" s="303">
        <v>0</v>
      </c>
      <c r="V252" s="309"/>
    </row>
    <row r="253" spans="1:22">
      <c r="A253" s="304"/>
      <c r="B253" s="305" t="s">
        <v>570</v>
      </c>
      <c r="C253" s="306">
        <v>0</v>
      </c>
      <c r="D253" s="307">
        <v>0</v>
      </c>
      <c r="E253" s="307">
        <v>0</v>
      </c>
      <c r="F253" s="307">
        <v>0</v>
      </c>
      <c r="G253" s="307">
        <v>0</v>
      </c>
      <c r="H253" s="307">
        <v>0</v>
      </c>
      <c r="I253" s="307">
        <v>0</v>
      </c>
      <c r="J253" s="308">
        <v>0</v>
      </c>
      <c r="K253" s="308">
        <v>0</v>
      </c>
      <c r="L253" s="307">
        <v>0</v>
      </c>
      <c r="M253" s="307">
        <v>0</v>
      </c>
      <c r="N253" s="307">
        <v>0</v>
      </c>
      <c r="O253" s="308">
        <v>0</v>
      </c>
      <c r="P253" s="308">
        <v>0</v>
      </c>
      <c r="Q253" s="307">
        <v>0</v>
      </c>
      <c r="R253" s="308">
        <v>0</v>
      </c>
      <c r="S253" s="308">
        <v>0</v>
      </c>
      <c r="T253" s="308">
        <v>0</v>
      </c>
      <c r="U253" s="308">
        <v>0</v>
      </c>
      <c r="V253" s="309"/>
    </row>
    <row r="254" spans="1:22">
      <c r="A254" s="304"/>
      <c r="B254" s="310" t="s">
        <v>571</v>
      </c>
      <c r="C254" s="311">
        <v>0</v>
      </c>
      <c r="D254" s="312">
        <v>0</v>
      </c>
      <c r="E254" s="312">
        <v>0</v>
      </c>
      <c r="F254" s="312">
        <v>0</v>
      </c>
      <c r="G254" s="312">
        <v>0</v>
      </c>
      <c r="H254" s="312">
        <v>0</v>
      </c>
      <c r="I254" s="312">
        <v>0</v>
      </c>
      <c r="J254" s="314">
        <v>0</v>
      </c>
      <c r="K254" s="314">
        <v>0</v>
      </c>
      <c r="L254" s="312">
        <v>0</v>
      </c>
      <c r="M254" s="312">
        <v>0</v>
      </c>
      <c r="N254" s="312">
        <v>0</v>
      </c>
      <c r="O254" s="314">
        <v>0</v>
      </c>
      <c r="P254" s="314">
        <v>0</v>
      </c>
      <c r="Q254" s="312">
        <v>0</v>
      </c>
      <c r="R254" s="314">
        <v>0</v>
      </c>
      <c r="S254" s="314">
        <v>0</v>
      </c>
      <c r="T254" s="314">
        <v>0</v>
      </c>
      <c r="U254" s="314">
        <v>0</v>
      </c>
      <c r="V254" s="309"/>
    </row>
    <row r="255" spans="1:22">
      <c r="A255" s="304"/>
      <c r="B255" s="50" t="s">
        <v>572</v>
      </c>
      <c r="C255" s="301">
        <v>0</v>
      </c>
      <c r="D255" s="302">
        <v>0</v>
      </c>
      <c r="E255" s="302">
        <v>0</v>
      </c>
      <c r="F255" s="302">
        <v>0</v>
      </c>
      <c r="G255" s="302">
        <v>0</v>
      </c>
      <c r="H255" s="302">
        <v>0</v>
      </c>
      <c r="I255" s="302">
        <v>0</v>
      </c>
      <c r="J255" s="303">
        <v>0</v>
      </c>
      <c r="K255" s="303">
        <v>0</v>
      </c>
      <c r="L255" s="302">
        <v>0</v>
      </c>
      <c r="M255" s="302">
        <v>0</v>
      </c>
      <c r="N255" s="302">
        <v>0</v>
      </c>
      <c r="O255" s="303">
        <v>0</v>
      </c>
      <c r="P255" s="303">
        <v>0</v>
      </c>
      <c r="Q255" s="302">
        <v>0</v>
      </c>
      <c r="R255" s="303">
        <v>0</v>
      </c>
      <c r="S255" s="303">
        <v>0</v>
      </c>
      <c r="T255" s="303">
        <v>0</v>
      </c>
      <c r="U255" s="303">
        <v>0</v>
      </c>
      <c r="V255" s="309"/>
    </row>
    <row r="256" spans="1:22">
      <c r="A256" s="304"/>
      <c r="B256" s="305" t="s">
        <v>573</v>
      </c>
      <c r="C256" s="306">
        <v>0</v>
      </c>
      <c r="D256" s="307">
        <v>0</v>
      </c>
      <c r="E256" s="307">
        <v>0</v>
      </c>
      <c r="F256" s="307">
        <v>0</v>
      </c>
      <c r="G256" s="307">
        <v>0</v>
      </c>
      <c r="H256" s="307">
        <v>0</v>
      </c>
      <c r="I256" s="307">
        <v>0</v>
      </c>
      <c r="J256" s="308">
        <v>0</v>
      </c>
      <c r="K256" s="308">
        <v>0</v>
      </c>
      <c r="L256" s="307">
        <v>0</v>
      </c>
      <c r="M256" s="307">
        <v>0</v>
      </c>
      <c r="N256" s="307">
        <v>0</v>
      </c>
      <c r="O256" s="308">
        <v>0</v>
      </c>
      <c r="P256" s="308">
        <v>0</v>
      </c>
      <c r="Q256" s="307">
        <v>0</v>
      </c>
      <c r="R256" s="308">
        <v>0</v>
      </c>
      <c r="S256" s="308">
        <v>0</v>
      </c>
      <c r="T256" s="308">
        <v>0</v>
      </c>
      <c r="U256" s="308">
        <v>0</v>
      </c>
      <c r="V256" s="309"/>
    </row>
    <row r="257" spans="1:22" ht="15.75" thickBot="1">
      <c r="A257" s="320"/>
      <c r="B257" s="321" t="s">
        <v>574</v>
      </c>
      <c r="C257" s="322">
        <v>0</v>
      </c>
      <c r="D257" s="323">
        <v>0</v>
      </c>
      <c r="E257" s="323">
        <v>0</v>
      </c>
      <c r="F257" s="323">
        <v>0</v>
      </c>
      <c r="G257" s="323">
        <v>0</v>
      </c>
      <c r="H257" s="323">
        <v>0</v>
      </c>
      <c r="I257" s="323">
        <v>0</v>
      </c>
      <c r="J257" s="324">
        <v>0</v>
      </c>
      <c r="K257" s="324">
        <v>0</v>
      </c>
      <c r="L257" s="323">
        <v>0</v>
      </c>
      <c r="M257" s="323">
        <v>0</v>
      </c>
      <c r="N257" s="323">
        <v>0</v>
      </c>
      <c r="O257" s="324">
        <v>0</v>
      </c>
      <c r="P257" s="324">
        <v>0</v>
      </c>
      <c r="Q257" s="323">
        <v>0</v>
      </c>
      <c r="R257" s="324">
        <v>0</v>
      </c>
      <c r="S257" s="324">
        <v>0</v>
      </c>
      <c r="T257" s="324">
        <v>0</v>
      </c>
      <c r="U257" s="324">
        <v>0</v>
      </c>
      <c r="V257" s="309"/>
    </row>
    <row r="258" spans="1:22">
      <c r="A258" s="300" t="s">
        <v>243</v>
      </c>
      <c r="B258" s="50" t="s">
        <v>539</v>
      </c>
      <c r="C258" s="301">
        <v>0.49269347236723793</v>
      </c>
      <c r="D258" s="302">
        <v>0.53748487599067929</v>
      </c>
      <c r="E258" s="302">
        <v>0.53339994315196515</v>
      </c>
      <c r="F258" s="302">
        <v>0.50369008141004346</v>
      </c>
      <c r="G258" s="302">
        <v>0.7481888894822093</v>
      </c>
      <c r="H258" s="302">
        <v>0.77434472059726578</v>
      </c>
      <c r="I258" s="302">
        <v>1.2505414935570683E-2</v>
      </c>
      <c r="J258" s="303">
        <v>0.39285853364097473</v>
      </c>
      <c r="K258" s="303">
        <v>0</v>
      </c>
      <c r="L258" s="302">
        <v>0.26209077259220964</v>
      </c>
      <c r="M258" s="302">
        <v>0.36684244767173518</v>
      </c>
      <c r="N258" s="302">
        <v>0.42648512394498916</v>
      </c>
      <c r="O258" s="303">
        <v>0.29694643881183658</v>
      </c>
      <c r="P258" s="303">
        <v>0</v>
      </c>
      <c r="Q258" s="302">
        <v>0</v>
      </c>
      <c r="R258" s="303">
        <v>0</v>
      </c>
      <c r="S258" s="303">
        <v>0</v>
      </c>
      <c r="T258" s="303">
        <v>0</v>
      </c>
      <c r="U258" s="303">
        <v>0.35302231370435549</v>
      </c>
      <c r="V258" s="309"/>
    </row>
    <row r="259" spans="1:22">
      <c r="A259" s="304"/>
      <c r="B259" s="305" t="s">
        <v>540</v>
      </c>
      <c r="C259" s="306">
        <v>0.48131057754322254</v>
      </c>
      <c r="D259" s="307">
        <v>0.4143492084356849</v>
      </c>
      <c r="E259" s="307">
        <v>0.42180188614661024</v>
      </c>
      <c r="F259" s="307">
        <v>0.44269207809326161</v>
      </c>
      <c r="G259" s="307">
        <v>0.70309513070000218</v>
      </c>
      <c r="H259" s="307">
        <v>0.71993303337867531</v>
      </c>
      <c r="I259" s="307">
        <v>5.6772570219153475E-5</v>
      </c>
      <c r="J259" s="308">
        <v>0.33763968987849585</v>
      </c>
      <c r="K259" s="308">
        <v>0</v>
      </c>
      <c r="L259" s="307">
        <v>0.1610881496473601</v>
      </c>
      <c r="M259" s="307">
        <v>0.12404662087079503</v>
      </c>
      <c r="N259" s="307">
        <v>0.27591917853593906</v>
      </c>
      <c r="O259" s="308">
        <v>0.16128375739596149</v>
      </c>
      <c r="P259" s="308">
        <v>0</v>
      </c>
      <c r="Q259" s="307">
        <v>0</v>
      </c>
      <c r="R259" s="308">
        <v>0</v>
      </c>
      <c r="S259" s="308">
        <v>0</v>
      </c>
      <c r="T259" s="308">
        <v>0</v>
      </c>
      <c r="U259" s="308">
        <v>0.26850984227456959</v>
      </c>
      <c r="V259" s="309"/>
    </row>
    <row r="260" spans="1:22" s="327" customFormat="1">
      <c r="A260" s="304"/>
      <c r="B260" s="310" t="s">
        <v>541</v>
      </c>
      <c r="C260" s="311">
        <v>-1.1382894824015388</v>
      </c>
      <c r="D260" s="312">
        <v>-12.313566755499439</v>
      </c>
      <c r="E260" s="312">
        <v>-11.159805700535491</v>
      </c>
      <c r="F260" s="312">
        <v>-6.0998003316781846</v>
      </c>
      <c r="G260" s="312">
        <v>-4.5093758782207116</v>
      </c>
      <c r="H260" s="312">
        <v>-5.4411687218590465</v>
      </c>
      <c r="I260" s="312">
        <v>-1.244864236535153</v>
      </c>
      <c r="J260" s="314">
        <v>-5.521884376247888</v>
      </c>
      <c r="K260" s="314">
        <v>0</v>
      </c>
      <c r="L260" s="312">
        <v>-10.100262294484954</v>
      </c>
      <c r="M260" s="312">
        <v>-24.279582680094013</v>
      </c>
      <c r="N260" s="312">
        <v>-15.05659454090501</v>
      </c>
      <c r="O260" s="314">
        <v>-13.566268141587509</v>
      </c>
      <c r="P260" s="314">
        <v>0</v>
      </c>
      <c r="Q260" s="312">
        <v>0</v>
      </c>
      <c r="R260" s="314">
        <v>0</v>
      </c>
      <c r="S260" s="314">
        <v>0</v>
      </c>
      <c r="T260" s="314">
        <v>0</v>
      </c>
      <c r="U260" s="314">
        <v>-8.4512471429785911</v>
      </c>
      <c r="V260" s="309"/>
    </row>
    <row r="261" spans="1:22">
      <c r="A261" s="304"/>
      <c r="B261" s="50" t="s">
        <v>542</v>
      </c>
      <c r="C261" s="301">
        <v>9.2192252725226097E-3</v>
      </c>
      <c r="D261" s="302">
        <v>7.4690694490478294E-3</v>
      </c>
      <c r="E261" s="302">
        <v>1.2766690496903505E-2</v>
      </c>
      <c r="F261" s="302">
        <v>6.913451492641178E-3</v>
      </c>
      <c r="G261" s="302">
        <v>3.7379185133764085E-4</v>
      </c>
      <c r="H261" s="302">
        <v>0</v>
      </c>
      <c r="I261" s="302">
        <v>4.1366740960704966E-2</v>
      </c>
      <c r="J261" s="303">
        <v>1.7141758423629975E-2</v>
      </c>
      <c r="K261" s="303">
        <v>0</v>
      </c>
      <c r="L261" s="302">
        <v>9.2850259167755245E-2</v>
      </c>
      <c r="M261" s="302">
        <v>5.4853950668148278E-2</v>
      </c>
      <c r="N261" s="302">
        <v>5.4529923372343858E-2</v>
      </c>
      <c r="O261" s="303">
        <v>8.1743093279360038E-2</v>
      </c>
      <c r="P261" s="303">
        <v>0</v>
      </c>
      <c r="Q261" s="302">
        <v>0</v>
      </c>
      <c r="R261" s="303">
        <v>0</v>
      </c>
      <c r="S261" s="303">
        <v>0</v>
      </c>
      <c r="T261" s="303">
        <v>0</v>
      </c>
      <c r="U261" s="303">
        <v>4.3973337778627289E-2</v>
      </c>
      <c r="V261" s="309"/>
    </row>
    <row r="262" spans="1:22">
      <c r="A262" s="304"/>
      <c r="B262" s="305" t="s">
        <v>543</v>
      </c>
      <c r="C262" s="306">
        <v>6.9505132974472849E-3</v>
      </c>
      <c r="D262" s="307">
        <v>4.8738508556452871E-3</v>
      </c>
      <c r="E262" s="307">
        <v>1.0883180656728348E-2</v>
      </c>
      <c r="F262" s="307">
        <v>5.8393663436151584E-3</v>
      </c>
      <c r="G262" s="307">
        <v>0</v>
      </c>
      <c r="H262" s="307">
        <v>0</v>
      </c>
      <c r="I262" s="307">
        <v>2.0787844311445237E-2</v>
      </c>
      <c r="J262" s="308">
        <v>1.0523562762368733E-2</v>
      </c>
      <c r="K262" s="308">
        <v>0</v>
      </c>
      <c r="L262" s="307">
        <v>6.4006335126650896E-2</v>
      </c>
      <c r="M262" s="307">
        <v>5.2589487153584538E-2</v>
      </c>
      <c r="N262" s="307">
        <v>6.7291767523632376E-2</v>
      </c>
      <c r="O262" s="308">
        <v>6.17561638360173E-2</v>
      </c>
      <c r="P262" s="308">
        <v>0</v>
      </c>
      <c r="Q262" s="307">
        <v>0</v>
      </c>
      <c r="R262" s="308">
        <v>0</v>
      </c>
      <c r="S262" s="308">
        <v>0</v>
      </c>
      <c r="T262" s="308">
        <v>0</v>
      </c>
      <c r="U262" s="308">
        <v>3.0606254933355566E-2</v>
      </c>
      <c r="V262" s="309"/>
    </row>
    <row r="263" spans="1:22" s="327" customFormat="1">
      <c r="A263" s="304"/>
      <c r="B263" s="310" t="s">
        <v>544</v>
      </c>
      <c r="C263" s="311">
        <v>-0.22687119750753248</v>
      </c>
      <c r="D263" s="312">
        <v>-0.25952185934025424</v>
      </c>
      <c r="E263" s="312">
        <v>-0.18835098401751571</v>
      </c>
      <c r="F263" s="312">
        <v>-0.10740851490260196</v>
      </c>
      <c r="G263" s="312">
        <v>-3.7379185133764085E-2</v>
      </c>
      <c r="H263" s="312">
        <v>0</v>
      </c>
      <c r="I263" s="312">
        <v>-2.0578896649259728</v>
      </c>
      <c r="J263" s="314">
        <v>-0.66181956612612425</v>
      </c>
      <c r="K263" s="314">
        <v>0</v>
      </c>
      <c r="L263" s="312">
        <v>-2.884392404110435</v>
      </c>
      <c r="M263" s="312">
        <v>-0.22644635145637401</v>
      </c>
      <c r="N263" s="312">
        <v>1.2761844151288517</v>
      </c>
      <c r="O263" s="314">
        <v>-1.9986929443342738</v>
      </c>
      <c r="P263" s="314">
        <v>0</v>
      </c>
      <c r="Q263" s="312">
        <v>0</v>
      </c>
      <c r="R263" s="314">
        <v>0</v>
      </c>
      <c r="S263" s="314">
        <v>0</v>
      </c>
      <c r="T263" s="314">
        <v>0</v>
      </c>
      <c r="U263" s="314">
        <v>-1.3367082845271723</v>
      </c>
      <c r="V263" s="309"/>
    </row>
    <row r="264" spans="1:22">
      <c r="A264" s="304"/>
      <c r="B264" s="50" t="s">
        <v>545</v>
      </c>
      <c r="C264" s="301">
        <v>0.49766603325308079</v>
      </c>
      <c r="D264" s="302">
        <v>0.45504605456027292</v>
      </c>
      <c r="E264" s="302">
        <v>0.45383336635113136</v>
      </c>
      <c r="F264" s="302">
        <v>0.43652911517841736</v>
      </c>
      <c r="G264" s="302">
        <v>0.25143731866645308</v>
      </c>
      <c r="H264" s="302">
        <v>0.22565527940273425</v>
      </c>
      <c r="I264" s="302">
        <v>0.9461278441037243</v>
      </c>
      <c r="J264" s="303">
        <v>0.58173571131189117</v>
      </c>
      <c r="K264" s="303">
        <v>0</v>
      </c>
      <c r="L264" s="302">
        <v>0.63553390947665955</v>
      </c>
      <c r="M264" s="302">
        <v>0.53133547989866059</v>
      </c>
      <c r="N264" s="302">
        <v>0.51428187960748073</v>
      </c>
      <c r="O264" s="303">
        <v>0.60390928142213141</v>
      </c>
      <c r="P264" s="303">
        <v>0</v>
      </c>
      <c r="Q264" s="302">
        <v>0</v>
      </c>
      <c r="R264" s="303">
        <v>0</v>
      </c>
      <c r="S264" s="303">
        <v>0</v>
      </c>
      <c r="T264" s="303">
        <v>0</v>
      </c>
      <c r="U264" s="303">
        <v>0.59094530283697622</v>
      </c>
      <c r="V264" s="309"/>
    </row>
    <row r="265" spans="1:22">
      <c r="A265" s="304"/>
      <c r="B265" s="305" t="s">
        <v>546</v>
      </c>
      <c r="C265" s="306">
        <v>0.51131612027153706</v>
      </c>
      <c r="D265" s="307">
        <v>0.58077694070866981</v>
      </c>
      <c r="E265" s="307">
        <v>0.56731493319666138</v>
      </c>
      <c r="F265" s="307">
        <v>0.55146855556312324</v>
      </c>
      <c r="G265" s="307">
        <v>0.29690486929999788</v>
      </c>
      <c r="H265" s="307">
        <v>0.28006696662132469</v>
      </c>
      <c r="I265" s="307">
        <v>0.97879317412033739</v>
      </c>
      <c r="J265" s="308">
        <v>0.65163224566209643</v>
      </c>
      <c r="K265" s="308">
        <v>0</v>
      </c>
      <c r="L265" s="307">
        <v>0.75316240022304604</v>
      </c>
      <c r="M265" s="307">
        <v>0.75383877159309021</v>
      </c>
      <c r="N265" s="307">
        <v>0.65678905394042852</v>
      </c>
      <c r="O265" s="308">
        <v>0.74637467248748168</v>
      </c>
      <c r="P265" s="308">
        <v>0</v>
      </c>
      <c r="Q265" s="307">
        <v>0</v>
      </c>
      <c r="R265" s="308">
        <v>0</v>
      </c>
      <c r="S265" s="308">
        <v>0</v>
      </c>
      <c r="T265" s="308">
        <v>0</v>
      </c>
      <c r="U265" s="308">
        <v>0.68877037555581944</v>
      </c>
      <c r="V265" s="309"/>
    </row>
    <row r="266" spans="1:22" s="327" customFormat="1">
      <c r="A266" s="304"/>
      <c r="B266" s="310" t="s">
        <v>547</v>
      </c>
      <c r="C266" s="311">
        <v>1.3650087018456269</v>
      </c>
      <c r="D266" s="312">
        <v>12.573088614839689</v>
      </c>
      <c r="E266" s="312">
        <v>11.348156684553</v>
      </c>
      <c r="F266" s="312">
        <v>11.493944038470588</v>
      </c>
      <c r="G266" s="312">
        <v>4.54675506335448</v>
      </c>
      <c r="H266" s="312">
        <v>5.4411687218590439</v>
      </c>
      <c r="I266" s="312">
        <v>3.2665330016613092</v>
      </c>
      <c r="J266" s="314">
        <v>6.9896534350205268</v>
      </c>
      <c r="K266" s="314">
        <v>0</v>
      </c>
      <c r="L266" s="312">
        <v>11.762849074638648</v>
      </c>
      <c r="M266" s="312">
        <v>22.250329169442963</v>
      </c>
      <c r="N266" s="312">
        <v>14.250717433294779</v>
      </c>
      <c r="O266" s="314">
        <v>14.246539106535028</v>
      </c>
      <c r="P266" s="314">
        <v>0</v>
      </c>
      <c r="Q266" s="312">
        <v>0</v>
      </c>
      <c r="R266" s="314">
        <v>0</v>
      </c>
      <c r="S266" s="314">
        <v>0</v>
      </c>
      <c r="T266" s="314">
        <v>0</v>
      </c>
      <c r="U266" s="314">
        <v>9.782507271884322</v>
      </c>
      <c r="V266" s="309"/>
    </row>
    <row r="267" spans="1:22">
      <c r="A267" s="304"/>
      <c r="B267" s="50" t="s">
        <v>548</v>
      </c>
      <c r="C267" s="301">
        <v>4.2126910715863049E-4</v>
      </c>
      <c r="D267" s="302">
        <v>0</v>
      </c>
      <c r="E267" s="302">
        <v>0</v>
      </c>
      <c r="F267" s="302">
        <v>5.2867351918898006E-2</v>
      </c>
      <c r="G267" s="302">
        <v>0</v>
      </c>
      <c r="H267" s="302">
        <v>0</v>
      </c>
      <c r="I267" s="302">
        <v>0</v>
      </c>
      <c r="J267" s="303">
        <v>8.2639966235040999E-3</v>
      </c>
      <c r="K267" s="303">
        <v>0</v>
      </c>
      <c r="L267" s="302">
        <v>9.5250587633755861E-3</v>
      </c>
      <c r="M267" s="302">
        <v>4.6968121761455969E-2</v>
      </c>
      <c r="N267" s="302">
        <v>4.7030730751862568E-3</v>
      </c>
      <c r="O267" s="303">
        <v>1.7401186486671952E-2</v>
      </c>
      <c r="P267" s="303">
        <v>0</v>
      </c>
      <c r="Q267" s="302">
        <v>0</v>
      </c>
      <c r="R267" s="303">
        <v>0</v>
      </c>
      <c r="S267" s="303">
        <v>0</v>
      </c>
      <c r="T267" s="303">
        <v>0</v>
      </c>
      <c r="U267" s="303">
        <v>1.2059045680041038E-2</v>
      </c>
      <c r="V267" s="309"/>
    </row>
    <row r="268" spans="1:22">
      <c r="A268" s="304"/>
      <c r="B268" s="305" t="s">
        <v>549</v>
      </c>
      <c r="C268" s="306">
        <v>4.2278888779318934E-4</v>
      </c>
      <c r="D268" s="307">
        <v>0</v>
      </c>
      <c r="E268" s="307">
        <v>0</v>
      </c>
      <c r="F268" s="307">
        <v>0</v>
      </c>
      <c r="G268" s="307">
        <v>0</v>
      </c>
      <c r="H268" s="307">
        <v>0</v>
      </c>
      <c r="I268" s="307">
        <v>3.6220899799819915E-4</v>
      </c>
      <c r="J268" s="308">
        <v>2.0450169703901047E-4</v>
      </c>
      <c r="K268" s="308">
        <v>0</v>
      </c>
      <c r="L268" s="307">
        <v>2.1743115002942969E-2</v>
      </c>
      <c r="M268" s="307">
        <v>6.8434942923527628E-2</v>
      </c>
      <c r="N268" s="307">
        <v>0</v>
      </c>
      <c r="O268" s="308">
        <v>3.0347965434480078E-2</v>
      </c>
      <c r="P268" s="308">
        <v>0</v>
      </c>
      <c r="Q268" s="307">
        <v>0</v>
      </c>
      <c r="R268" s="308">
        <v>0</v>
      </c>
      <c r="S268" s="308">
        <v>0</v>
      </c>
      <c r="T268" s="308">
        <v>0</v>
      </c>
      <c r="U268" s="308">
        <v>1.2020452683718475E-2</v>
      </c>
      <c r="V268" s="309"/>
    </row>
    <row r="269" spans="1:22" s="327" customFormat="1">
      <c r="A269" s="304"/>
      <c r="B269" s="310" t="s">
        <v>550</v>
      </c>
      <c r="C269" s="311">
        <v>1.5197806345588496E-4</v>
      </c>
      <c r="D269" s="312">
        <v>0</v>
      </c>
      <c r="E269" s="312">
        <v>0</v>
      </c>
      <c r="F269" s="312">
        <v>-5.2867351918898002</v>
      </c>
      <c r="G269" s="312">
        <v>0</v>
      </c>
      <c r="H269" s="312">
        <v>0</v>
      </c>
      <c r="I269" s="312">
        <v>0</v>
      </c>
      <c r="J269" s="314">
        <v>-0.80594949264650895</v>
      </c>
      <c r="K269" s="314">
        <v>0</v>
      </c>
      <c r="L269" s="312">
        <v>1.2218056239567383</v>
      </c>
      <c r="M269" s="312">
        <v>2.1466821162071659</v>
      </c>
      <c r="N269" s="312">
        <v>-0.47030730751862571</v>
      </c>
      <c r="O269" s="314">
        <v>1.2946778947808126</v>
      </c>
      <c r="P269" s="314">
        <v>0</v>
      </c>
      <c r="Q269" s="312">
        <v>0</v>
      </c>
      <c r="R269" s="314">
        <v>0</v>
      </c>
      <c r="S269" s="314">
        <v>0</v>
      </c>
      <c r="T269" s="314">
        <v>0</v>
      </c>
      <c r="U269" s="314">
        <v>-3.8592996322563133E-3</v>
      </c>
      <c r="V269" s="309"/>
    </row>
    <row r="270" spans="1:22">
      <c r="A270" s="304"/>
      <c r="B270" s="50" t="s">
        <v>551</v>
      </c>
      <c r="C270" s="301">
        <v>0</v>
      </c>
      <c r="D270" s="302">
        <v>0</v>
      </c>
      <c r="E270" s="302">
        <v>0</v>
      </c>
      <c r="F270" s="302">
        <v>0</v>
      </c>
      <c r="G270" s="302">
        <v>0</v>
      </c>
      <c r="H270" s="302">
        <v>0</v>
      </c>
      <c r="I270" s="302">
        <v>0</v>
      </c>
      <c r="J270" s="303">
        <v>0</v>
      </c>
      <c r="K270" s="303">
        <v>0</v>
      </c>
      <c r="L270" s="302">
        <v>0</v>
      </c>
      <c r="M270" s="302">
        <v>0</v>
      </c>
      <c r="N270" s="302">
        <v>0</v>
      </c>
      <c r="O270" s="303">
        <v>0</v>
      </c>
      <c r="P270" s="303">
        <v>0</v>
      </c>
      <c r="Q270" s="302">
        <v>0</v>
      </c>
      <c r="R270" s="303">
        <v>0</v>
      </c>
      <c r="S270" s="303">
        <v>0</v>
      </c>
      <c r="T270" s="303">
        <v>0</v>
      </c>
      <c r="U270" s="303">
        <v>0</v>
      </c>
      <c r="V270" s="309"/>
    </row>
    <row r="271" spans="1:22">
      <c r="A271" s="304"/>
      <c r="B271" s="305" t="s">
        <v>552</v>
      </c>
      <c r="C271" s="306">
        <v>0</v>
      </c>
      <c r="D271" s="307">
        <v>0</v>
      </c>
      <c r="E271" s="307">
        <v>0</v>
      </c>
      <c r="F271" s="307">
        <v>0</v>
      </c>
      <c r="G271" s="307">
        <v>0</v>
      </c>
      <c r="H271" s="307">
        <v>0</v>
      </c>
      <c r="I271" s="307">
        <v>0</v>
      </c>
      <c r="J271" s="308">
        <v>0</v>
      </c>
      <c r="K271" s="308">
        <v>0</v>
      </c>
      <c r="L271" s="307">
        <v>0</v>
      </c>
      <c r="M271" s="307">
        <v>1.0901774590025928E-3</v>
      </c>
      <c r="N271" s="307">
        <v>0</v>
      </c>
      <c r="O271" s="308">
        <v>2.374408460594904E-4</v>
      </c>
      <c r="P271" s="308">
        <v>0</v>
      </c>
      <c r="Q271" s="307">
        <v>0</v>
      </c>
      <c r="R271" s="308">
        <v>0</v>
      </c>
      <c r="S271" s="308">
        <v>0</v>
      </c>
      <c r="T271" s="308">
        <v>0</v>
      </c>
      <c r="U271" s="308">
        <v>9.3074552536901456E-5</v>
      </c>
      <c r="V271" s="309"/>
    </row>
    <row r="272" spans="1:22" s="327" customFormat="1">
      <c r="A272" s="304"/>
      <c r="B272" s="310" t="s">
        <v>553</v>
      </c>
      <c r="C272" s="311">
        <v>0</v>
      </c>
      <c r="D272" s="312">
        <v>0</v>
      </c>
      <c r="E272" s="312">
        <v>0</v>
      </c>
      <c r="F272" s="312">
        <v>0</v>
      </c>
      <c r="G272" s="312">
        <v>0</v>
      </c>
      <c r="H272" s="312">
        <v>0</v>
      </c>
      <c r="I272" s="312">
        <v>0</v>
      </c>
      <c r="J272" s="314">
        <v>0</v>
      </c>
      <c r="K272" s="314">
        <v>0</v>
      </c>
      <c r="L272" s="312">
        <v>0</v>
      </c>
      <c r="M272" s="312">
        <v>0</v>
      </c>
      <c r="N272" s="312">
        <v>0</v>
      </c>
      <c r="O272" s="314">
        <v>0</v>
      </c>
      <c r="P272" s="314">
        <v>0</v>
      </c>
      <c r="Q272" s="312">
        <v>0</v>
      </c>
      <c r="R272" s="314">
        <v>0</v>
      </c>
      <c r="S272" s="314">
        <v>0</v>
      </c>
      <c r="T272" s="314">
        <v>0</v>
      </c>
      <c r="U272" s="314">
        <v>0</v>
      </c>
      <c r="V272" s="309"/>
    </row>
    <row r="273" spans="1:22">
      <c r="A273" s="304"/>
      <c r="B273" s="50" t="s">
        <v>554</v>
      </c>
      <c r="C273" s="301">
        <v>0</v>
      </c>
      <c r="D273" s="302">
        <v>0</v>
      </c>
      <c r="E273" s="302">
        <v>0</v>
      </c>
      <c r="F273" s="302">
        <v>0</v>
      </c>
      <c r="G273" s="302">
        <v>0</v>
      </c>
      <c r="H273" s="302">
        <v>0</v>
      </c>
      <c r="I273" s="302">
        <v>0</v>
      </c>
      <c r="J273" s="303">
        <v>0</v>
      </c>
      <c r="K273" s="303">
        <v>0</v>
      </c>
      <c r="L273" s="302">
        <v>0</v>
      </c>
      <c r="M273" s="302">
        <v>0</v>
      </c>
      <c r="N273" s="302">
        <v>0</v>
      </c>
      <c r="O273" s="303">
        <v>0</v>
      </c>
      <c r="P273" s="303">
        <v>0</v>
      </c>
      <c r="Q273" s="302">
        <v>0</v>
      </c>
      <c r="R273" s="303">
        <v>0</v>
      </c>
      <c r="S273" s="303">
        <v>0</v>
      </c>
      <c r="T273" s="303">
        <v>0</v>
      </c>
      <c r="U273" s="303">
        <v>0</v>
      </c>
      <c r="V273" s="309"/>
    </row>
    <row r="274" spans="1:22">
      <c r="A274" s="304"/>
      <c r="B274" s="305" t="s">
        <v>555</v>
      </c>
      <c r="C274" s="306">
        <v>0</v>
      </c>
      <c r="D274" s="307">
        <v>0</v>
      </c>
      <c r="E274" s="307">
        <v>0</v>
      </c>
      <c r="F274" s="307">
        <v>0</v>
      </c>
      <c r="G274" s="307">
        <v>0</v>
      </c>
      <c r="H274" s="307">
        <v>0</v>
      </c>
      <c r="I274" s="307">
        <v>0</v>
      </c>
      <c r="J274" s="308">
        <v>0</v>
      </c>
      <c r="K274" s="308">
        <v>0</v>
      </c>
      <c r="L274" s="307">
        <v>0</v>
      </c>
      <c r="M274" s="307">
        <v>0</v>
      </c>
      <c r="N274" s="307">
        <v>0</v>
      </c>
      <c r="O274" s="308">
        <v>0</v>
      </c>
      <c r="P274" s="308">
        <v>0</v>
      </c>
      <c r="Q274" s="307">
        <v>0</v>
      </c>
      <c r="R274" s="308">
        <v>0</v>
      </c>
      <c r="S274" s="308">
        <v>0</v>
      </c>
      <c r="T274" s="308">
        <v>0</v>
      </c>
      <c r="U274" s="308">
        <v>0</v>
      </c>
      <c r="V274" s="309"/>
    </row>
    <row r="275" spans="1:22" s="327" customFormat="1" ht="15.75" thickBot="1">
      <c r="A275" s="304"/>
      <c r="B275" s="316" t="s">
        <v>556</v>
      </c>
      <c r="C275" s="317">
        <v>0</v>
      </c>
      <c r="D275" s="318">
        <v>0</v>
      </c>
      <c r="E275" s="318">
        <v>0</v>
      </c>
      <c r="F275" s="318">
        <v>0</v>
      </c>
      <c r="G275" s="318">
        <v>0</v>
      </c>
      <c r="H275" s="318">
        <v>0</v>
      </c>
      <c r="I275" s="318">
        <v>0</v>
      </c>
      <c r="J275" s="319">
        <v>0</v>
      </c>
      <c r="K275" s="319">
        <v>0</v>
      </c>
      <c r="L275" s="318">
        <v>0</v>
      </c>
      <c r="M275" s="318">
        <v>0</v>
      </c>
      <c r="N275" s="318">
        <v>0</v>
      </c>
      <c r="O275" s="319">
        <v>0</v>
      </c>
      <c r="P275" s="319">
        <v>0</v>
      </c>
      <c r="Q275" s="318">
        <v>0</v>
      </c>
      <c r="R275" s="319">
        <v>0</v>
      </c>
      <c r="S275" s="319">
        <v>0</v>
      </c>
      <c r="T275" s="319">
        <v>0</v>
      </c>
      <c r="U275" s="319">
        <v>0</v>
      </c>
      <c r="V275" s="309"/>
    </row>
    <row r="276" spans="1:22" ht="15.75" thickTop="1">
      <c r="A276" s="304"/>
      <c r="B276" s="305" t="s">
        <v>557</v>
      </c>
      <c r="C276" s="306">
        <v>0.51175270652231886</v>
      </c>
      <c r="D276" s="307">
        <v>0.49937276850332918</v>
      </c>
      <c r="E276" s="307">
        <v>0.54649336486430422</v>
      </c>
      <c r="F276" s="307">
        <v>0.35696821515892418</v>
      </c>
      <c r="G276" s="307">
        <v>0.79396186440677963</v>
      </c>
      <c r="H276" s="307">
        <v>0.32845894263217096</v>
      </c>
      <c r="I276" s="307">
        <v>0.14380243810293297</v>
      </c>
      <c r="J276" s="308">
        <v>0.34536650945195208</v>
      </c>
      <c r="K276" s="308">
        <v>0</v>
      </c>
      <c r="L276" s="307">
        <v>0</v>
      </c>
      <c r="M276" s="307">
        <v>0</v>
      </c>
      <c r="N276" s="307">
        <v>0</v>
      </c>
      <c r="O276" s="308">
        <v>0</v>
      </c>
      <c r="P276" s="308">
        <v>0</v>
      </c>
      <c r="Q276" s="307">
        <v>0</v>
      </c>
      <c r="R276" s="308">
        <v>0</v>
      </c>
      <c r="S276" s="308">
        <v>0</v>
      </c>
      <c r="T276" s="308">
        <v>0</v>
      </c>
      <c r="U276" s="308">
        <v>0.34536650945195208</v>
      </c>
      <c r="V276" s="309"/>
    </row>
    <row r="277" spans="1:22">
      <c r="A277" s="304"/>
      <c r="B277" s="305" t="s">
        <v>558</v>
      </c>
      <c r="C277" s="306">
        <v>0.58210016072331894</v>
      </c>
      <c r="D277" s="307">
        <v>0.39458632203809052</v>
      </c>
      <c r="E277" s="307">
        <v>0.4814516129032258</v>
      </c>
      <c r="F277" s="307">
        <v>0.3604643642478334</v>
      </c>
      <c r="G277" s="307">
        <v>0.68590561224489799</v>
      </c>
      <c r="H277" s="307">
        <v>0.60203045685279188</v>
      </c>
      <c r="I277" s="307">
        <v>6.705033188863339E-3</v>
      </c>
      <c r="J277" s="308">
        <v>0.30119597819630889</v>
      </c>
      <c r="K277" s="308">
        <v>0</v>
      </c>
      <c r="L277" s="307">
        <v>0</v>
      </c>
      <c r="M277" s="307">
        <v>0</v>
      </c>
      <c r="N277" s="307">
        <v>0</v>
      </c>
      <c r="O277" s="308">
        <v>0</v>
      </c>
      <c r="P277" s="308">
        <v>0</v>
      </c>
      <c r="Q277" s="307">
        <v>0</v>
      </c>
      <c r="R277" s="308">
        <v>0</v>
      </c>
      <c r="S277" s="308">
        <v>0</v>
      </c>
      <c r="T277" s="308">
        <v>0</v>
      </c>
      <c r="U277" s="308">
        <v>0.30119597819630889</v>
      </c>
      <c r="V277" s="309"/>
    </row>
    <row r="278" spans="1:22" s="327" customFormat="1">
      <c r="A278" s="304"/>
      <c r="B278" s="310" t="s">
        <v>559</v>
      </c>
      <c r="C278" s="311">
        <v>7.0347454201000081</v>
      </c>
      <c r="D278" s="312">
        <v>-10.478644646523867</v>
      </c>
      <c r="E278" s="312">
        <v>-6.504175196107842</v>
      </c>
      <c r="F278" s="312">
        <v>0.34961490889092173</v>
      </c>
      <c r="G278" s="312">
        <v>-10.805625216188163</v>
      </c>
      <c r="H278" s="312">
        <v>27.357151422062092</v>
      </c>
      <c r="I278" s="312">
        <v>-13.709740491406963</v>
      </c>
      <c r="J278" s="314">
        <v>-4.4170531255643191</v>
      </c>
      <c r="K278" s="314">
        <v>0</v>
      </c>
      <c r="L278" s="312">
        <v>0</v>
      </c>
      <c r="M278" s="312">
        <v>0</v>
      </c>
      <c r="N278" s="312">
        <v>0</v>
      </c>
      <c r="O278" s="314">
        <v>0</v>
      </c>
      <c r="P278" s="314">
        <v>0</v>
      </c>
      <c r="Q278" s="312">
        <v>0</v>
      </c>
      <c r="R278" s="314">
        <v>0</v>
      </c>
      <c r="S278" s="314">
        <v>0</v>
      </c>
      <c r="T278" s="314">
        <v>0</v>
      </c>
      <c r="U278" s="314">
        <v>-4.4170531255643191</v>
      </c>
      <c r="V278" s="309"/>
    </row>
    <row r="279" spans="1:22">
      <c r="A279" s="304"/>
      <c r="B279" s="50" t="s">
        <v>560</v>
      </c>
      <c r="C279" s="301">
        <v>7.8469148312090023E-2</v>
      </c>
      <c r="D279" s="302">
        <v>1.6854836115667921E-2</v>
      </c>
      <c r="E279" s="302">
        <v>5.1220047059381352E-2</v>
      </c>
      <c r="F279" s="302">
        <v>4.6693503906217841E-2</v>
      </c>
      <c r="G279" s="302">
        <v>1.2711864406779662E-2</v>
      </c>
      <c r="H279" s="302">
        <v>0</v>
      </c>
      <c r="I279" s="302">
        <v>7.7426039597664392E-2</v>
      </c>
      <c r="J279" s="303">
        <v>6.471281829623321E-2</v>
      </c>
      <c r="K279" s="303">
        <v>0</v>
      </c>
      <c r="L279" s="302">
        <v>0</v>
      </c>
      <c r="M279" s="302">
        <v>0</v>
      </c>
      <c r="N279" s="302">
        <v>0</v>
      </c>
      <c r="O279" s="303">
        <v>0</v>
      </c>
      <c r="P279" s="303">
        <v>0</v>
      </c>
      <c r="Q279" s="302">
        <v>0</v>
      </c>
      <c r="R279" s="303">
        <v>0</v>
      </c>
      <c r="S279" s="303">
        <v>0</v>
      </c>
      <c r="T279" s="303">
        <v>0</v>
      </c>
      <c r="U279" s="303">
        <v>6.471281829623321E-2</v>
      </c>
      <c r="V279" s="309"/>
    </row>
    <row r="280" spans="1:22">
      <c r="A280" s="304"/>
      <c r="B280" s="305" t="s">
        <v>561</v>
      </c>
      <c r="C280" s="306">
        <v>7.6180291863301941E-2</v>
      </c>
      <c r="D280" s="307">
        <v>7.1883502349740294E-3</v>
      </c>
      <c r="E280" s="307">
        <v>3.0741454020221472E-2</v>
      </c>
      <c r="F280" s="307">
        <v>5.5668736256629159E-2</v>
      </c>
      <c r="G280" s="307">
        <v>1.7219387755102039E-2</v>
      </c>
      <c r="H280" s="307">
        <v>0</v>
      </c>
      <c r="I280" s="307">
        <v>3.6652780171598405E-2</v>
      </c>
      <c r="J280" s="308">
        <v>4.4640638908038509E-2</v>
      </c>
      <c r="K280" s="308">
        <v>0</v>
      </c>
      <c r="L280" s="307">
        <v>0</v>
      </c>
      <c r="M280" s="307">
        <v>0</v>
      </c>
      <c r="N280" s="307">
        <v>0</v>
      </c>
      <c r="O280" s="308">
        <v>0</v>
      </c>
      <c r="P280" s="308">
        <v>0</v>
      </c>
      <c r="Q280" s="307">
        <v>0</v>
      </c>
      <c r="R280" s="308">
        <v>0</v>
      </c>
      <c r="S280" s="308">
        <v>0</v>
      </c>
      <c r="T280" s="308">
        <v>0</v>
      </c>
      <c r="U280" s="308">
        <v>4.4640638908038509E-2</v>
      </c>
      <c r="V280" s="309"/>
    </row>
    <row r="281" spans="1:22" s="327" customFormat="1">
      <c r="A281" s="304"/>
      <c r="B281" s="310" t="s">
        <v>562</v>
      </c>
      <c r="C281" s="311">
        <v>-0.22888564487880819</v>
      </c>
      <c r="D281" s="312">
        <v>-0.96664858806938914</v>
      </c>
      <c r="E281" s="312">
        <v>-2.0478593039159878</v>
      </c>
      <c r="F281" s="312">
        <v>0.89752323504113174</v>
      </c>
      <c r="G281" s="312">
        <v>0.45075233483223776</v>
      </c>
      <c r="H281" s="312">
        <v>0</v>
      </c>
      <c r="I281" s="312">
        <v>-4.0773259426065991</v>
      </c>
      <c r="J281" s="314">
        <v>-2.00721793881947</v>
      </c>
      <c r="K281" s="314">
        <v>0</v>
      </c>
      <c r="L281" s="312">
        <v>0</v>
      </c>
      <c r="M281" s="312">
        <v>0</v>
      </c>
      <c r="N281" s="312">
        <v>0</v>
      </c>
      <c r="O281" s="314">
        <v>0</v>
      </c>
      <c r="P281" s="314">
        <v>0</v>
      </c>
      <c r="Q281" s="312">
        <v>0</v>
      </c>
      <c r="R281" s="314">
        <v>0</v>
      </c>
      <c r="S281" s="314">
        <v>0</v>
      </c>
      <c r="T281" s="314">
        <v>0</v>
      </c>
      <c r="U281" s="314">
        <v>-2.00721793881947</v>
      </c>
      <c r="V281" s="309"/>
    </row>
    <row r="282" spans="1:22">
      <c r="A282" s="304"/>
      <c r="B282" s="50" t="s">
        <v>563</v>
      </c>
      <c r="C282" s="301">
        <v>0.40876486587382005</v>
      </c>
      <c r="D282" s="302">
        <v>0.48377239538100292</v>
      </c>
      <c r="E282" s="302">
        <v>0.40228658807631446</v>
      </c>
      <c r="F282" s="302">
        <v>0.53856412536119136</v>
      </c>
      <c r="G282" s="302">
        <v>0.19332627118644069</v>
      </c>
      <c r="H282" s="302">
        <v>0.67154105736782899</v>
      </c>
      <c r="I282" s="302">
        <v>0.73554550589326662</v>
      </c>
      <c r="J282" s="303">
        <v>0.56573937529398299</v>
      </c>
      <c r="K282" s="303">
        <v>0</v>
      </c>
      <c r="L282" s="302">
        <v>0</v>
      </c>
      <c r="M282" s="302">
        <v>0</v>
      </c>
      <c r="N282" s="302">
        <v>0</v>
      </c>
      <c r="O282" s="303">
        <v>0</v>
      </c>
      <c r="P282" s="303">
        <v>0</v>
      </c>
      <c r="Q282" s="302">
        <v>0</v>
      </c>
      <c r="R282" s="303">
        <v>0</v>
      </c>
      <c r="S282" s="303">
        <v>0</v>
      </c>
      <c r="T282" s="303">
        <v>0</v>
      </c>
      <c r="U282" s="303">
        <v>0.56573937529398299</v>
      </c>
      <c r="V282" s="309"/>
    </row>
    <row r="283" spans="1:22">
      <c r="A283" s="304"/>
      <c r="B283" s="305" t="s">
        <v>564</v>
      </c>
      <c r="C283" s="306">
        <v>0.34124570177179853</v>
      </c>
      <c r="D283" s="307">
        <v>0.59822532772693549</v>
      </c>
      <c r="E283" s="307">
        <v>0.48780693307655271</v>
      </c>
      <c r="F283" s="307">
        <v>0.58386689949553749</v>
      </c>
      <c r="G283" s="307">
        <v>0.296875</v>
      </c>
      <c r="H283" s="307">
        <v>0.39796954314720812</v>
      </c>
      <c r="I283" s="307">
        <v>0.95449825753212736</v>
      </c>
      <c r="J283" s="308">
        <v>0.65320251996176293</v>
      </c>
      <c r="K283" s="308">
        <v>0</v>
      </c>
      <c r="L283" s="307">
        <v>0</v>
      </c>
      <c r="M283" s="307">
        <v>0</v>
      </c>
      <c r="N283" s="307">
        <v>0</v>
      </c>
      <c r="O283" s="308">
        <v>0</v>
      </c>
      <c r="P283" s="308">
        <v>0</v>
      </c>
      <c r="Q283" s="307">
        <v>0</v>
      </c>
      <c r="R283" s="308">
        <v>0</v>
      </c>
      <c r="S283" s="308">
        <v>0</v>
      </c>
      <c r="T283" s="308">
        <v>0</v>
      </c>
      <c r="U283" s="308">
        <v>0.65320251996176293</v>
      </c>
      <c r="V283" s="309"/>
    </row>
    <row r="284" spans="1:22" s="327" customFormat="1">
      <c r="A284" s="304"/>
      <c r="B284" s="310" t="s">
        <v>565</v>
      </c>
      <c r="C284" s="311">
        <v>-6.7519164102021527</v>
      </c>
      <c r="D284" s="312">
        <v>11.445293234593256</v>
      </c>
      <c r="E284" s="312">
        <v>8.5520345000238258</v>
      </c>
      <c r="F284" s="312">
        <v>4.5302774134346135</v>
      </c>
      <c r="G284" s="312">
        <v>10.354872881355931</v>
      </c>
      <c r="H284" s="312">
        <v>-27.357151422062088</v>
      </c>
      <c r="I284" s="312">
        <v>21.895275163886076</v>
      </c>
      <c r="J284" s="314">
        <v>8.746314466777994</v>
      </c>
      <c r="K284" s="314">
        <v>0</v>
      </c>
      <c r="L284" s="312">
        <v>0</v>
      </c>
      <c r="M284" s="312">
        <v>0</v>
      </c>
      <c r="N284" s="312">
        <v>0</v>
      </c>
      <c r="O284" s="314">
        <v>0</v>
      </c>
      <c r="P284" s="314">
        <v>0</v>
      </c>
      <c r="Q284" s="312">
        <v>0</v>
      </c>
      <c r="R284" s="314">
        <v>0</v>
      </c>
      <c r="S284" s="314">
        <v>0</v>
      </c>
      <c r="T284" s="314">
        <v>0</v>
      </c>
      <c r="U284" s="314">
        <v>8.746314466777994</v>
      </c>
      <c r="V284" s="309"/>
    </row>
    <row r="285" spans="1:22">
      <c r="A285" s="304"/>
      <c r="B285" s="50" t="s">
        <v>566</v>
      </c>
      <c r="C285" s="301">
        <v>1.0132792917711055E-3</v>
      </c>
      <c r="D285" s="302">
        <v>0</v>
      </c>
      <c r="E285" s="302">
        <v>0</v>
      </c>
      <c r="F285" s="302">
        <v>5.7774155573666573E-2</v>
      </c>
      <c r="G285" s="302">
        <v>0</v>
      </c>
      <c r="H285" s="302">
        <v>0</v>
      </c>
      <c r="I285" s="302">
        <v>4.3226016406136027E-2</v>
      </c>
      <c r="J285" s="303">
        <v>2.4181296957831708E-2</v>
      </c>
      <c r="K285" s="303">
        <v>0</v>
      </c>
      <c r="L285" s="302">
        <v>0</v>
      </c>
      <c r="M285" s="302">
        <v>0</v>
      </c>
      <c r="N285" s="302">
        <v>0</v>
      </c>
      <c r="O285" s="303">
        <v>0</v>
      </c>
      <c r="P285" s="303">
        <v>0</v>
      </c>
      <c r="Q285" s="302">
        <v>0</v>
      </c>
      <c r="R285" s="303">
        <v>0</v>
      </c>
      <c r="S285" s="303">
        <v>0</v>
      </c>
      <c r="T285" s="303">
        <v>0</v>
      </c>
      <c r="U285" s="303">
        <v>2.4181296957831708E-2</v>
      </c>
      <c r="V285" s="309"/>
    </row>
    <row r="286" spans="1:22">
      <c r="A286" s="304"/>
      <c r="B286" s="305" t="s">
        <v>567</v>
      </c>
      <c r="C286" s="306">
        <v>4.7384564158059537E-4</v>
      </c>
      <c r="D286" s="307">
        <v>0</v>
      </c>
      <c r="E286" s="307">
        <v>0</v>
      </c>
      <c r="F286" s="307">
        <v>0</v>
      </c>
      <c r="G286" s="307">
        <v>0</v>
      </c>
      <c r="H286" s="307">
        <v>0</v>
      </c>
      <c r="I286" s="307">
        <v>2.1439291074108482E-3</v>
      </c>
      <c r="J286" s="308">
        <v>9.6086293388966855E-4</v>
      </c>
      <c r="K286" s="308">
        <v>0</v>
      </c>
      <c r="L286" s="307">
        <v>0</v>
      </c>
      <c r="M286" s="307">
        <v>0</v>
      </c>
      <c r="N286" s="307">
        <v>0</v>
      </c>
      <c r="O286" s="308">
        <v>0</v>
      </c>
      <c r="P286" s="308">
        <v>0</v>
      </c>
      <c r="Q286" s="307">
        <v>0</v>
      </c>
      <c r="R286" s="308">
        <v>0</v>
      </c>
      <c r="S286" s="308">
        <v>0</v>
      </c>
      <c r="T286" s="308">
        <v>0</v>
      </c>
      <c r="U286" s="308">
        <v>9.6086293388966855E-4</v>
      </c>
      <c r="V286" s="309"/>
    </row>
    <row r="287" spans="1:22" s="327" customFormat="1">
      <c r="A287" s="304"/>
      <c r="B287" s="310" t="s">
        <v>568</v>
      </c>
      <c r="C287" s="311">
        <v>-5.3943365019051011E-2</v>
      </c>
      <c r="D287" s="312">
        <v>0</v>
      </c>
      <c r="E287" s="312">
        <v>0</v>
      </c>
      <c r="F287" s="312">
        <v>-5.7774155573666572</v>
      </c>
      <c r="G287" s="312">
        <v>0</v>
      </c>
      <c r="H287" s="312">
        <v>0</v>
      </c>
      <c r="I287" s="312">
        <v>-4.1082087298725183</v>
      </c>
      <c r="J287" s="314">
        <v>-2.322043402394204</v>
      </c>
      <c r="K287" s="314">
        <v>0</v>
      </c>
      <c r="L287" s="312">
        <v>0</v>
      </c>
      <c r="M287" s="312">
        <v>0</v>
      </c>
      <c r="N287" s="312">
        <v>0</v>
      </c>
      <c r="O287" s="314">
        <v>0</v>
      </c>
      <c r="P287" s="314">
        <v>0</v>
      </c>
      <c r="Q287" s="312">
        <v>0</v>
      </c>
      <c r="R287" s="314">
        <v>0</v>
      </c>
      <c r="S287" s="314">
        <v>0</v>
      </c>
      <c r="T287" s="314">
        <v>0</v>
      </c>
      <c r="U287" s="314">
        <v>-2.322043402394204</v>
      </c>
      <c r="V287" s="309"/>
    </row>
    <row r="288" spans="1:22">
      <c r="A288" s="304"/>
      <c r="B288" s="50" t="s">
        <v>569</v>
      </c>
      <c r="C288" s="301">
        <v>0</v>
      </c>
      <c r="D288" s="302">
        <v>0</v>
      </c>
      <c r="E288" s="302">
        <v>0</v>
      </c>
      <c r="F288" s="302">
        <v>0</v>
      </c>
      <c r="G288" s="302">
        <v>0</v>
      </c>
      <c r="H288" s="302">
        <v>0</v>
      </c>
      <c r="I288" s="302">
        <v>0</v>
      </c>
      <c r="J288" s="303">
        <v>0</v>
      </c>
      <c r="K288" s="303">
        <v>0</v>
      </c>
      <c r="L288" s="302">
        <v>0</v>
      </c>
      <c r="M288" s="302">
        <v>0</v>
      </c>
      <c r="N288" s="302">
        <v>0</v>
      </c>
      <c r="O288" s="303">
        <v>0</v>
      </c>
      <c r="P288" s="303">
        <v>0</v>
      </c>
      <c r="Q288" s="302">
        <v>0</v>
      </c>
      <c r="R288" s="303">
        <v>0</v>
      </c>
      <c r="S288" s="303">
        <v>0</v>
      </c>
      <c r="T288" s="303">
        <v>0</v>
      </c>
      <c r="U288" s="303">
        <v>0</v>
      </c>
      <c r="V288" s="309"/>
    </row>
    <row r="289" spans="1:22">
      <c r="A289" s="304"/>
      <c r="B289" s="305" t="s">
        <v>570</v>
      </c>
      <c r="C289" s="306">
        <v>0</v>
      </c>
      <c r="D289" s="307">
        <v>0</v>
      </c>
      <c r="E289" s="307">
        <v>0</v>
      </c>
      <c r="F289" s="307">
        <v>0</v>
      </c>
      <c r="G289" s="307">
        <v>0</v>
      </c>
      <c r="H289" s="307">
        <v>0</v>
      </c>
      <c r="I289" s="307">
        <v>0</v>
      </c>
      <c r="J289" s="308">
        <v>0</v>
      </c>
      <c r="K289" s="308">
        <v>0</v>
      </c>
      <c r="L289" s="307">
        <v>0</v>
      </c>
      <c r="M289" s="307">
        <v>0</v>
      </c>
      <c r="N289" s="307">
        <v>0</v>
      </c>
      <c r="O289" s="308">
        <v>0</v>
      </c>
      <c r="P289" s="308">
        <v>0</v>
      </c>
      <c r="Q289" s="307">
        <v>0</v>
      </c>
      <c r="R289" s="308">
        <v>0</v>
      </c>
      <c r="S289" s="308">
        <v>0</v>
      </c>
      <c r="T289" s="308">
        <v>0</v>
      </c>
      <c r="U289" s="308">
        <v>0</v>
      </c>
      <c r="V289" s="309"/>
    </row>
    <row r="290" spans="1:22" s="327" customFormat="1">
      <c r="A290" s="304"/>
      <c r="B290" s="310" t="s">
        <v>571</v>
      </c>
      <c r="C290" s="311">
        <v>0</v>
      </c>
      <c r="D290" s="312">
        <v>0</v>
      </c>
      <c r="E290" s="312">
        <v>0</v>
      </c>
      <c r="F290" s="312">
        <v>0</v>
      </c>
      <c r="G290" s="312">
        <v>0</v>
      </c>
      <c r="H290" s="312">
        <v>0</v>
      </c>
      <c r="I290" s="312">
        <v>0</v>
      </c>
      <c r="J290" s="314">
        <v>0</v>
      </c>
      <c r="K290" s="314">
        <v>0</v>
      </c>
      <c r="L290" s="312">
        <v>0</v>
      </c>
      <c r="M290" s="312">
        <v>0</v>
      </c>
      <c r="N290" s="312">
        <v>0</v>
      </c>
      <c r="O290" s="314">
        <v>0</v>
      </c>
      <c r="P290" s="314">
        <v>0</v>
      </c>
      <c r="Q290" s="312">
        <v>0</v>
      </c>
      <c r="R290" s="314">
        <v>0</v>
      </c>
      <c r="S290" s="314">
        <v>0</v>
      </c>
      <c r="T290" s="314">
        <v>0</v>
      </c>
      <c r="U290" s="314">
        <v>0</v>
      </c>
      <c r="V290" s="309"/>
    </row>
    <row r="291" spans="1:22">
      <c r="A291" s="304"/>
      <c r="B291" s="50" t="s">
        <v>572</v>
      </c>
      <c r="C291" s="301">
        <v>0</v>
      </c>
      <c r="D291" s="302">
        <v>0</v>
      </c>
      <c r="E291" s="302">
        <v>0</v>
      </c>
      <c r="F291" s="302">
        <v>0</v>
      </c>
      <c r="G291" s="302">
        <v>0</v>
      </c>
      <c r="H291" s="302">
        <v>0</v>
      </c>
      <c r="I291" s="302">
        <v>0</v>
      </c>
      <c r="J291" s="303">
        <v>0</v>
      </c>
      <c r="K291" s="303">
        <v>0</v>
      </c>
      <c r="L291" s="302">
        <v>0</v>
      </c>
      <c r="M291" s="302">
        <v>0</v>
      </c>
      <c r="N291" s="302">
        <v>0</v>
      </c>
      <c r="O291" s="303">
        <v>0</v>
      </c>
      <c r="P291" s="303">
        <v>0</v>
      </c>
      <c r="Q291" s="302">
        <v>0</v>
      </c>
      <c r="R291" s="303">
        <v>0</v>
      </c>
      <c r="S291" s="303">
        <v>0</v>
      </c>
      <c r="T291" s="303">
        <v>0</v>
      </c>
      <c r="U291" s="303">
        <v>0</v>
      </c>
      <c r="V291" s="309"/>
    </row>
    <row r="292" spans="1:22">
      <c r="A292" s="304"/>
      <c r="B292" s="305" t="s">
        <v>573</v>
      </c>
      <c r="C292" s="306">
        <v>0</v>
      </c>
      <c r="D292" s="307">
        <v>0</v>
      </c>
      <c r="E292" s="307">
        <v>0</v>
      </c>
      <c r="F292" s="307">
        <v>0</v>
      </c>
      <c r="G292" s="307">
        <v>0</v>
      </c>
      <c r="H292" s="307">
        <v>0</v>
      </c>
      <c r="I292" s="307">
        <v>0</v>
      </c>
      <c r="J292" s="308">
        <v>0</v>
      </c>
      <c r="K292" s="308">
        <v>0</v>
      </c>
      <c r="L292" s="307">
        <v>0</v>
      </c>
      <c r="M292" s="307">
        <v>0</v>
      </c>
      <c r="N292" s="307">
        <v>0</v>
      </c>
      <c r="O292" s="308">
        <v>0</v>
      </c>
      <c r="P292" s="308">
        <v>0</v>
      </c>
      <c r="Q292" s="307">
        <v>0</v>
      </c>
      <c r="R292" s="308">
        <v>0</v>
      </c>
      <c r="S292" s="308">
        <v>0</v>
      </c>
      <c r="T292" s="308">
        <v>0</v>
      </c>
      <c r="U292" s="308">
        <v>0</v>
      </c>
      <c r="V292" s="309"/>
    </row>
    <row r="293" spans="1:22" s="327" customFormat="1" ht="15.75" thickBot="1">
      <c r="A293" s="320"/>
      <c r="B293" s="321" t="s">
        <v>574</v>
      </c>
      <c r="C293" s="322">
        <v>0</v>
      </c>
      <c r="D293" s="323">
        <v>0</v>
      </c>
      <c r="E293" s="323">
        <v>0</v>
      </c>
      <c r="F293" s="323">
        <v>0</v>
      </c>
      <c r="G293" s="323">
        <v>0</v>
      </c>
      <c r="H293" s="323">
        <v>0</v>
      </c>
      <c r="I293" s="323">
        <v>0</v>
      </c>
      <c r="J293" s="324">
        <v>0</v>
      </c>
      <c r="K293" s="324">
        <v>0</v>
      </c>
      <c r="L293" s="323">
        <v>0</v>
      </c>
      <c r="M293" s="323">
        <v>0</v>
      </c>
      <c r="N293" s="323">
        <v>0</v>
      </c>
      <c r="O293" s="324">
        <v>0</v>
      </c>
      <c r="P293" s="324">
        <v>0</v>
      </c>
      <c r="Q293" s="323">
        <v>0</v>
      </c>
      <c r="R293" s="324">
        <v>0</v>
      </c>
      <c r="S293" s="324">
        <v>0</v>
      </c>
      <c r="T293" s="324">
        <v>0</v>
      </c>
      <c r="U293" s="324">
        <v>0</v>
      </c>
      <c r="V293" s="309"/>
    </row>
    <row r="294" spans="1:22">
      <c r="A294" s="300" t="s">
        <v>271</v>
      </c>
      <c r="B294" s="50" t="s">
        <v>539</v>
      </c>
      <c r="C294" s="301">
        <v>0.51340709418622998</v>
      </c>
      <c r="D294" s="302">
        <v>0.35596442623508467</v>
      </c>
      <c r="E294" s="302">
        <v>0</v>
      </c>
      <c r="F294" s="302">
        <v>0.52588225455761828</v>
      </c>
      <c r="G294" s="302">
        <v>0</v>
      </c>
      <c r="H294" s="302">
        <v>0</v>
      </c>
      <c r="I294" s="302">
        <v>0</v>
      </c>
      <c r="J294" s="303">
        <v>0.50353288633056759</v>
      </c>
      <c r="K294" s="303">
        <v>0</v>
      </c>
      <c r="L294" s="302">
        <v>0.52507936669772093</v>
      </c>
      <c r="M294" s="302">
        <v>0.59675386118534002</v>
      </c>
      <c r="N294" s="302">
        <v>0.60953244173601129</v>
      </c>
      <c r="O294" s="303">
        <v>0.56444149974506841</v>
      </c>
      <c r="P294" s="303">
        <v>0</v>
      </c>
      <c r="Q294" s="302">
        <v>0</v>
      </c>
      <c r="R294" s="303">
        <v>0</v>
      </c>
      <c r="S294" s="303">
        <v>0</v>
      </c>
      <c r="T294" s="303">
        <v>0</v>
      </c>
      <c r="U294" s="303">
        <v>0.5333085281361124</v>
      </c>
      <c r="V294" s="309"/>
    </row>
    <row r="295" spans="1:22">
      <c r="A295" s="304"/>
      <c r="B295" s="305" t="s">
        <v>540</v>
      </c>
      <c r="C295" s="306">
        <v>0.51211745882352944</v>
      </c>
      <c r="D295" s="307">
        <v>0.33869661010114338</v>
      </c>
      <c r="E295" s="307">
        <v>0</v>
      </c>
      <c r="F295" s="307">
        <v>0.49665015895913428</v>
      </c>
      <c r="G295" s="307">
        <v>0</v>
      </c>
      <c r="H295" s="307">
        <v>0</v>
      </c>
      <c r="I295" s="307">
        <v>0</v>
      </c>
      <c r="J295" s="308">
        <v>0.49606053125977578</v>
      </c>
      <c r="K295" s="308">
        <v>0</v>
      </c>
      <c r="L295" s="307">
        <v>0.53229677257949914</v>
      </c>
      <c r="M295" s="307">
        <v>0.58394675193130274</v>
      </c>
      <c r="N295" s="307">
        <v>0.57594759475947599</v>
      </c>
      <c r="O295" s="308">
        <v>0.56005925714554694</v>
      </c>
      <c r="P295" s="308">
        <v>0</v>
      </c>
      <c r="Q295" s="307">
        <v>0</v>
      </c>
      <c r="R295" s="308">
        <v>0</v>
      </c>
      <c r="S295" s="308">
        <v>0</v>
      </c>
      <c r="T295" s="308">
        <v>0</v>
      </c>
      <c r="U295" s="308">
        <v>0.52817949704052147</v>
      </c>
      <c r="V295" s="309"/>
    </row>
    <row r="296" spans="1:22" s="327" customFormat="1">
      <c r="A296" s="304"/>
      <c r="B296" s="310" t="s">
        <v>541</v>
      </c>
      <c r="C296" s="311">
        <v>-0.12896353627005475</v>
      </c>
      <c r="D296" s="312">
        <v>-1.7267816133941294</v>
      </c>
      <c r="E296" s="312">
        <v>0</v>
      </c>
      <c r="F296" s="312">
        <v>-2.9232095598483996</v>
      </c>
      <c r="G296" s="312">
        <v>0</v>
      </c>
      <c r="H296" s="312">
        <v>0</v>
      </c>
      <c r="I296" s="312">
        <v>0</v>
      </c>
      <c r="J296" s="314">
        <v>-0.74723550707918029</v>
      </c>
      <c r="K296" s="314">
        <v>0</v>
      </c>
      <c r="L296" s="312">
        <v>0.72174058817782161</v>
      </c>
      <c r="M296" s="312">
        <v>-1.2807109254037274</v>
      </c>
      <c r="N296" s="312">
        <v>-3.3584846976535299</v>
      </c>
      <c r="O296" s="314">
        <v>-0.43822425995214687</v>
      </c>
      <c r="P296" s="314">
        <v>0</v>
      </c>
      <c r="Q296" s="312">
        <v>0</v>
      </c>
      <c r="R296" s="314">
        <v>0</v>
      </c>
      <c r="S296" s="314">
        <v>0</v>
      </c>
      <c r="T296" s="314">
        <v>0</v>
      </c>
      <c r="U296" s="314">
        <v>-0.51290310955909302</v>
      </c>
      <c r="V296" s="309"/>
    </row>
    <row r="297" spans="1:22">
      <c r="A297" s="304"/>
      <c r="B297" s="50" t="s">
        <v>542</v>
      </c>
      <c r="C297" s="301">
        <v>3.3545602070669714E-2</v>
      </c>
      <c r="D297" s="302">
        <v>7.8842832143383584E-3</v>
      </c>
      <c r="E297" s="302">
        <v>0</v>
      </c>
      <c r="F297" s="302">
        <v>2.6604479313962506E-2</v>
      </c>
      <c r="G297" s="302">
        <v>0</v>
      </c>
      <c r="H297" s="302">
        <v>0</v>
      </c>
      <c r="I297" s="302">
        <v>0</v>
      </c>
      <c r="J297" s="303">
        <v>3.0607561904649354E-2</v>
      </c>
      <c r="K297" s="303">
        <v>0</v>
      </c>
      <c r="L297" s="302">
        <v>6.6390194851455878E-2</v>
      </c>
      <c r="M297" s="302">
        <v>3.2066870706155395E-2</v>
      </c>
      <c r="N297" s="302">
        <v>1.2438650454637495E-3</v>
      </c>
      <c r="O297" s="303">
        <v>4.6033026071867468E-2</v>
      </c>
      <c r="P297" s="303">
        <v>0</v>
      </c>
      <c r="Q297" s="302">
        <v>0</v>
      </c>
      <c r="R297" s="303">
        <v>0</v>
      </c>
      <c r="S297" s="303">
        <v>0</v>
      </c>
      <c r="T297" s="303">
        <v>0</v>
      </c>
      <c r="U297" s="303">
        <v>3.8148418114946916E-2</v>
      </c>
      <c r="V297" s="309"/>
    </row>
    <row r="298" spans="1:22">
      <c r="A298" s="304"/>
      <c r="B298" s="305" t="s">
        <v>543</v>
      </c>
      <c r="C298" s="306">
        <v>2.9531105882352943E-2</v>
      </c>
      <c r="D298" s="307">
        <v>1.9796100168266851E-4</v>
      </c>
      <c r="E298" s="307">
        <v>0</v>
      </c>
      <c r="F298" s="307">
        <v>2.1307607927992907E-2</v>
      </c>
      <c r="G298" s="307">
        <v>0</v>
      </c>
      <c r="H298" s="307">
        <v>0</v>
      </c>
      <c r="I298" s="307">
        <v>0</v>
      </c>
      <c r="J298" s="308">
        <v>2.604573836908233E-2</v>
      </c>
      <c r="K298" s="308">
        <v>0</v>
      </c>
      <c r="L298" s="307">
        <v>7.4048712423383095E-2</v>
      </c>
      <c r="M298" s="307">
        <v>3.0692393809049465E-2</v>
      </c>
      <c r="N298" s="307">
        <v>1.4801480148014801E-3</v>
      </c>
      <c r="O298" s="308">
        <v>4.8643602535064424E-2</v>
      </c>
      <c r="P298" s="308">
        <v>0</v>
      </c>
      <c r="Q298" s="307">
        <v>0</v>
      </c>
      <c r="R298" s="308">
        <v>0</v>
      </c>
      <c r="S298" s="308">
        <v>0</v>
      </c>
      <c r="T298" s="308">
        <v>0</v>
      </c>
      <c r="U298" s="308">
        <v>3.7386902053506407E-2</v>
      </c>
      <c r="V298" s="309"/>
    </row>
    <row r="299" spans="1:22" s="327" customFormat="1">
      <c r="A299" s="304"/>
      <c r="B299" s="310" t="s">
        <v>544</v>
      </c>
      <c r="C299" s="311">
        <v>-0.40144961883167712</v>
      </c>
      <c r="D299" s="312">
        <v>-0.76863222126556896</v>
      </c>
      <c r="E299" s="312">
        <v>0</v>
      </c>
      <c r="F299" s="312">
        <v>-0.52968713859695982</v>
      </c>
      <c r="G299" s="312">
        <v>0</v>
      </c>
      <c r="H299" s="312">
        <v>0</v>
      </c>
      <c r="I299" s="312">
        <v>0</v>
      </c>
      <c r="J299" s="314">
        <v>-0.45618235355670245</v>
      </c>
      <c r="K299" s="314">
        <v>0</v>
      </c>
      <c r="L299" s="312">
        <v>0.76585175719272169</v>
      </c>
      <c r="M299" s="312">
        <v>-0.13744768971059307</v>
      </c>
      <c r="N299" s="312">
        <v>2.3628296933773052E-2</v>
      </c>
      <c r="O299" s="314">
        <v>0.26105764631969564</v>
      </c>
      <c r="P299" s="314">
        <v>0</v>
      </c>
      <c r="Q299" s="312">
        <v>0</v>
      </c>
      <c r="R299" s="314">
        <v>0</v>
      </c>
      <c r="S299" s="314">
        <v>0</v>
      </c>
      <c r="T299" s="314">
        <v>0</v>
      </c>
      <c r="U299" s="314">
        <v>-7.6151606144050921E-2</v>
      </c>
      <c r="V299" s="309"/>
    </row>
    <row r="300" spans="1:22">
      <c r="A300" s="304"/>
      <c r="B300" s="50" t="s">
        <v>545</v>
      </c>
      <c r="C300" s="301">
        <v>0.44348580105994434</v>
      </c>
      <c r="D300" s="302">
        <v>0.63615129055057695</v>
      </c>
      <c r="E300" s="302">
        <v>0</v>
      </c>
      <c r="F300" s="302">
        <v>0.44592817284739011</v>
      </c>
      <c r="G300" s="302">
        <v>0</v>
      </c>
      <c r="H300" s="302">
        <v>0</v>
      </c>
      <c r="I300" s="302">
        <v>0</v>
      </c>
      <c r="J300" s="303">
        <v>0.45819077839428479</v>
      </c>
      <c r="K300" s="303">
        <v>0</v>
      </c>
      <c r="L300" s="302">
        <v>0.40853043845082321</v>
      </c>
      <c r="M300" s="302">
        <v>0.3711792681085046</v>
      </c>
      <c r="N300" s="302">
        <v>0.3892236932185249</v>
      </c>
      <c r="O300" s="303">
        <v>0.3895254741830641</v>
      </c>
      <c r="P300" s="303">
        <v>0</v>
      </c>
      <c r="Q300" s="302">
        <v>0</v>
      </c>
      <c r="R300" s="303">
        <v>0</v>
      </c>
      <c r="S300" s="303">
        <v>0</v>
      </c>
      <c r="T300" s="303">
        <v>0</v>
      </c>
      <c r="U300" s="303">
        <v>0.42462321893026794</v>
      </c>
      <c r="V300" s="309"/>
    </row>
    <row r="301" spans="1:22">
      <c r="A301" s="304"/>
      <c r="B301" s="305" t="s">
        <v>546</v>
      </c>
      <c r="C301" s="306">
        <v>0.45005176470588237</v>
      </c>
      <c r="D301" s="307">
        <v>0.66110542889717394</v>
      </c>
      <c r="E301" s="307">
        <v>0</v>
      </c>
      <c r="F301" s="307">
        <v>0.47995569322711729</v>
      </c>
      <c r="G301" s="307">
        <v>0</v>
      </c>
      <c r="H301" s="307">
        <v>0</v>
      </c>
      <c r="I301" s="307">
        <v>0</v>
      </c>
      <c r="J301" s="308">
        <v>0.47111350818911102</v>
      </c>
      <c r="K301" s="308">
        <v>0</v>
      </c>
      <c r="L301" s="307">
        <v>0.39365451499711779</v>
      </c>
      <c r="M301" s="307">
        <v>0.38536085425964783</v>
      </c>
      <c r="N301" s="307">
        <v>0.42257225722572256</v>
      </c>
      <c r="O301" s="308">
        <v>0.39129714031938867</v>
      </c>
      <c r="P301" s="308">
        <v>0</v>
      </c>
      <c r="Q301" s="307">
        <v>0</v>
      </c>
      <c r="R301" s="308">
        <v>0</v>
      </c>
      <c r="S301" s="308">
        <v>0</v>
      </c>
      <c r="T301" s="308">
        <v>0</v>
      </c>
      <c r="U301" s="308">
        <v>0.43105616090806154</v>
      </c>
      <c r="V301" s="309"/>
    </row>
    <row r="302" spans="1:22" s="327" customFormat="1">
      <c r="A302" s="304"/>
      <c r="B302" s="310" t="s">
        <v>547</v>
      </c>
      <c r="C302" s="311">
        <v>0.65659636459380333</v>
      </c>
      <c r="D302" s="312">
        <v>2.4954138346596988</v>
      </c>
      <c r="E302" s="312">
        <v>0</v>
      </c>
      <c r="F302" s="312">
        <v>3.402752037972717</v>
      </c>
      <c r="G302" s="312">
        <v>0</v>
      </c>
      <c r="H302" s="312">
        <v>0</v>
      </c>
      <c r="I302" s="312">
        <v>0</v>
      </c>
      <c r="J302" s="314">
        <v>1.2922729794826227</v>
      </c>
      <c r="K302" s="314">
        <v>0</v>
      </c>
      <c r="L302" s="312">
        <v>-1.487592345370542</v>
      </c>
      <c r="M302" s="312">
        <v>1.4181586151143233</v>
      </c>
      <c r="N302" s="312">
        <v>3.3348564007197656</v>
      </c>
      <c r="O302" s="314">
        <v>0.17716661363245678</v>
      </c>
      <c r="P302" s="314">
        <v>0</v>
      </c>
      <c r="Q302" s="312">
        <v>0</v>
      </c>
      <c r="R302" s="314">
        <v>0</v>
      </c>
      <c r="S302" s="314">
        <v>0</v>
      </c>
      <c r="T302" s="314">
        <v>0</v>
      </c>
      <c r="U302" s="314">
        <v>0.64329419777935937</v>
      </c>
      <c r="V302" s="309"/>
    </row>
    <row r="303" spans="1:22">
      <c r="A303" s="304"/>
      <c r="B303" s="50" t="s">
        <v>548</v>
      </c>
      <c r="C303" s="301">
        <v>6.4129382114127137E-3</v>
      </c>
      <c r="D303" s="302">
        <v>0</v>
      </c>
      <c r="E303" s="302">
        <v>0</v>
      </c>
      <c r="F303" s="302">
        <v>0</v>
      </c>
      <c r="G303" s="302">
        <v>0</v>
      </c>
      <c r="H303" s="302">
        <v>0</v>
      </c>
      <c r="I303" s="302">
        <v>0</v>
      </c>
      <c r="J303" s="303">
        <v>4.9860814605279333E-3</v>
      </c>
      <c r="K303" s="303">
        <v>0</v>
      </c>
      <c r="L303" s="302">
        <v>0</v>
      </c>
      <c r="M303" s="302">
        <v>0</v>
      </c>
      <c r="N303" s="302">
        <v>0</v>
      </c>
      <c r="O303" s="303">
        <v>0</v>
      </c>
      <c r="P303" s="303">
        <v>0</v>
      </c>
      <c r="Q303" s="302">
        <v>0</v>
      </c>
      <c r="R303" s="303">
        <v>0</v>
      </c>
      <c r="S303" s="303">
        <v>0</v>
      </c>
      <c r="T303" s="303">
        <v>0</v>
      </c>
      <c r="U303" s="303">
        <v>2.5485973797197232E-3</v>
      </c>
      <c r="V303" s="309"/>
    </row>
    <row r="304" spans="1:22">
      <c r="A304" s="304"/>
      <c r="B304" s="305" t="s">
        <v>549</v>
      </c>
      <c r="C304" s="306">
        <v>5.3383529411764703E-3</v>
      </c>
      <c r="D304" s="307">
        <v>0</v>
      </c>
      <c r="E304" s="307">
        <v>0</v>
      </c>
      <c r="F304" s="307">
        <v>0</v>
      </c>
      <c r="G304" s="307">
        <v>0</v>
      </c>
      <c r="H304" s="307">
        <v>0</v>
      </c>
      <c r="I304" s="307">
        <v>0</v>
      </c>
      <c r="J304" s="308">
        <v>4.176885504439929E-3</v>
      </c>
      <c r="K304" s="308">
        <v>0</v>
      </c>
      <c r="L304" s="307">
        <v>0</v>
      </c>
      <c r="M304" s="307">
        <v>0</v>
      </c>
      <c r="N304" s="307">
        <v>0</v>
      </c>
      <c r="O304" s="308">
        <v>0</v>
      </c>
      <c r="P304" s="308">
        <v>0</v>
      </c>
      <c r="Q304" s="307">
        <v>0</v>
      </c>
      <c r="R304" s="308">
        <v>0</v>
      </c>
      <c r="S304" s="308">
        <v>0</v>
      </c>
      <c r="T304" s="308">
        <v>0</v>
      </c>
      <c r="U304" s="308">
        <v>2.0806368568238652E-3</v>
      </c>
      <c r="V304" s="309"/>
    </row>
    <row r="305" spans="1:22" s="327" customFormat="1">
      <c r="A305" s="304"/>
      <c r="B305" s="310" t="s">
        <v>550</v>
      </c>
      <c r="C305" s="311">
        <v>-0.10745852702362434</v>
      </c>
      <c r="D305" s="312">
        <v>0</v>
      </c>
      <c r="E305" s="312">
        <v>0</v>
      </c>
      <c r="F305" s="312">
        <v>0</v>
      </c>
      <c r="G305" s="312">
        <v>0</v>
      </c>
      <c r="H305" s="312">
        <v>0</v>
      </c>
      <c r="I305" s="312">
        <v>0</v>
      </c>
      <c r="J305" s="314">
        <v>-8.0919595608800438E-2</v>
      </c>
      <c r="K305" s="314">
        <v>0</v>
      </c>
      <c r="L305" s="312">
        <v>0</v>
      </c>
      <c r="M305" s="312">
        <v>0</v>
      </c>
      <c r="N305" s="312">
        <v>0</v>
      </c>
      <c r="O305" s="314">
        <v>0</v>
      </c>
      <c r="P305" s="314">
        <v>0</v>
      </c>
      <c r="Q305" s="312">
        <v>0</v>
      </c>
      <c r="R305" s="314">
        <v>0</v>
      </c>
      <c r="S305" s="314">
        <v>0</v>
      </c>
      <c r="T305" s="314">
        <v>0</v>
      </c>
      <c r="U305" s="314">
        <v>-4.6796052289585804E-2</v>
      </c>
      <c r="V305" s="309"/>
    </row>
    <row r="306" spans="1:22">
      <c r="A306" s="304"/>
      <c r="B306" s="50" t="s">
        <v>551</v>
      </c>
      <c r="C306" s="301">
        <v>0</v>
      </c>
      <c r="D306" s="302">
        <v>0</v>
      </c>
      <c r="E306" s="302">
        <v>0</v>
      </c>
      <c r="F306" s="302">
        <v>2.2807097568763399E-5</v>
      </c>
      <c r="G306" s="302">
        <v>0</v>
      </c>
      <c r="H306" s="302">
        <v>0</v>
      </c>
      <c r="I306" s="302">
        <v>0</v>
      </c>
      <c r="J306" s="303">
        <v>3.3765788671746731E-6</v>
      </c>
      <c r="K306" s="303">
        <v>0</v>
      </c>
      <c r="L306" s="302">
        <v>0</v>
      </c>
      <c r="M306" s="302">
        <v>0</v>
      </c>
      <c r="N306" s="302">
        <v>0</v>
      </c>
      <c r="O306" s="303">
        <v>0</v>
      </c>
      <c r="P306" s="303">
        <v>0</v>
      </c>
      <c r="Q306" s="302">
        <v>0</v>
      </c>
      <c r="R306" s="303">
        <v>0</v>
      </c>
      <c r="S306" s="303">
        <v>0</v>
      </c>
      <c r="T306" s="303">
        <v>0</v>
      </c>
      <c r="U306" s="303">
        <v>1.7259124467627922E-6</v>
      </c>
      <c r="V306" s="309"/>
    </row>
    <row r="307" spans="1:22">
      <c r="A307" s="304"/>
      <c r="B307" s="305" t="s">
        <v>552</v>
      </c>
      <c r="C307" s="306">
        <v>0</v>
      </c>
      <c r="D307" s="307">
        <v>0</v>
      </c>
      <c r="E307" s="307">
        <v>0</v>
      </c>
      <c r="F307" s="307">
        <v>0</v>
      </c>
      <c r="G307" s="307">
        <v>0</v>
      </c>
      <c r="H307" s="307">
        <v>0</v>
      </c>
      <c r="I307" s="307">
        <v>0</v>
      </c>
      <c r="J307" s="308">
        <v>0</v>
      </c>
      <c r="K307" s="308">
        <v>0</v>
      </c>
      <c r="L307" s="307">
        <v>0</v>
      </c>
      <c r="M307" s="307">
        <v>0</v>
      </c>
      <c r="N307" s="307">
        <v>0</v>
      </c>
      <c r="O307" s="308">
        <v>0</v>
      </c>
      <c r="P307" s="308">
        <v>0</v>
      </c>
      <c r="Q307" s="307">
        <v>0</v>
      </c>
      <c r="R307" s="308">
        <v>0</v>
      </c>
      <c r="S307" s="308">
        <v>0</v>
      </c>
      <c r="T307" s="308">
        <v>0</v>
      </c>
      <c r="U307" s="308">
        <v>0</v>
      </c>
      <c r="V307" s="309"/>
    </row>
    <row r="308" spans="1:22" s="327" customFormat="1">
      <c r="A308" s="304"/>
      <c r="B308" s="310" t="s">
        <v>553</v>
      </c>
      <c r="C308" s="311">
        <v>0</v>
      </c>
      <c r="D308" s="312">
        <v>0</v>
      </c>
      <c r="E308" s="312">
        <v>0</v>
      </c>
      <c r="F308" s="312">
        <v>-2.2807097568763399E-3</v>
      </c>
      <c r="G308" s="312">
        <v>0</v>
      </c>
      <c r="H308" s="312">
        <v>0</v>
      </c>
      <c r="I308" s="312">
        <v>0</v>
      </c>
      <c r="J308" s="314">
        <v>-3.376578867174673E-4</v>
      </c>
      <c r="K308" s="314">
        <v>0</v>
      </c>
      <c r="L308" s="312">
        <v>0</v>
      </c>
      <c r="M308" s="312">
        <v>0</v>
      </c>
      <c r="N308" s="312">
        <v>0</v>
      </c>
      <c r="O308" s="314">
        <v>0</v>
      </c>
      <c r="P308" s="314">
        <v>0</v>
      </c>
      <c r="Q308" s="312">
        <v>0</v>
      </c>
      <c r="R308" s="314">
        <v>0</v>
      </c>
      <c r="S308" s="314">
        <v>0</v>
      </c>
      <c r="T308" s="314">
        <v>0</v>
      </c>
      <c r="U308" s="314">
        <v>-1.7259124467627923E-4</v>
      </c>
      <c r="V308" s="309"/>
    </row>
    <row r="309" spans="1:22">
      <c r="A309" s="304"/>
      <c r="B309" s="50" t="s">
        <v>554</v>
      </c>
      <c r="C309" s="301">
        <v>3.1485644717432625E-3</v>
      </c>
      <c r="D309" s="302">
        <v>0</v>
      </c>
      <c r="E309" s="302">
        <v>0</v>
      </c>
      <c r="F309" s="302">
        <v>1.5622861834602929E-3</v>
      </c>
      <c r="G309" s="302">
        <v>0</v>
      </c>
      <c r="H309" s="302">
        <v>0</v>
      </c>
      <c r="I309" s="302">
        <v>0</v>
      </c>
      <c r="J309" s="303">
        <v>2.6793153311031031E-3</v>
      </c>
      <c r="K309" s="303">
        <v>0</v>
      </c>
      <c r="L309" s="302">
        <v>0</v>
      </c>
      <c r="M309" s="302">
        <v>0</v>
      </c>
      <c r="N309" s="302">
        <v>0</v>
      </c>
      <c r="O309" s="303">
        <v>0</v>
      </c>
      <c r="P309" s="303">
        <v>0</v>
      </c>
      <c r="Q309" s="302">
        <v>0</v>
      </c>
      <c r="R309" s="303">
        <v>0</v>
      </c>
      <c r="S309" s="303">
        <v>0</v>
      </c>
      <c r="T309" s="303">
        <v>0</v>
      </c>
      <c r="U309" s="303">
        <v>1.3695115265062758E-3</v>
      </c>
      <c r="V309" s="309"/>
    </row>
    <row r="310" spans="1:22">
      <c r="A310" s="304"/>
      <c r="B310" s="305" t="s">
        <v>555</v>
      </c>
      <c r="C310" s="306">
        <v>2.9613176470588234E-3</v>
      </c>
      <c r="D310" s="307">
        <v>0</v>
      </c>
      <c r="E310" s="307">
        <v>0</v>
      </c>
      <c r="F310" s="307">
        <v>2.0865398857555012E-3</v>
      </c>
      <c r="G310" s="307">
        <v>0</v>
      </c>
      <c r="H310" s="307">
        <v>0</v>
      </c>
      <c r="I310" s="307">
        <v>0</v>
      </c>
      <c r="J310" s="308">
        <v>2.6033366775909798E-3</v>
      </c>
      <c r="K310" s="308">
        <v>0</v>
      </c>
      <c r="L310" s="307">
        <v>0</v>
      </c>
      <c r="M310" s="307">
        <v>0</v>
      </c>
      <c r="N310" s="307">
        <v>0</v>
      </c>
      <c r="O310" s="308">
        <v>0</v>
      </c>
      <c r="P310" s="308">
        <v>0</v>
      </c>
      <c r="Q310" s="307">
        <v>0</v>
      </c>
      <c r="R310" s="308">
        <v>0</v>
      </c>
      <c r="S310" s="308">
        <v>0</v>
      </c>
      <c r="T310" s="308">
        <v>0</v>
      </c>
      <c r="U310" s="308">
        <v>1.296803141086694E-3</v>
      </c>
      <c r="V310" s="309"/>
    </row>
    <row r="311" spans="1:22" s="327" customFormat="1" ht="15.75" thickBot="1">
      <c r="A311" s="304"/>
      <c r="B311" s="316" t="s">
        <v>556</v>
      </c>
      <c r="C311" s="317">
        <v>-1.8724682468443908E-2</v>
      </c>
      <c r="D311" s="318">
        <v>0</v>
      </c>
      <c r="E311" s="318">
        <v>0</v>
      </c>
      <c r="F311" s="318">
        <v>5.2425370229520825E-2</v>
      </c>
      <c r="G311" s="318">
        <v>0</v>
      </c>
      <c r="H311" s="318">
        <v>0</v>
      </c>
      <c r="I311" s="318">
        <v>0</v>
      </c>
      <c r="J311" s="319">
        <v>-7.5978653512123306E-3</v>
      </c>
      <c r="K311" s="319">
        <v>0</v>
      </c>
      <c r="L311" s="318">
        <v>0</v>
      </c>
      <c r="M311" s="318">
        <v>0</v>
      </c>
      <c r="N311" s="318">
        <v>0</v>
      </c>
      <c r="O311" s="319">
        <v>0</v>
      </c>
      <c r="P311" s="319">
        <v>0</v>
      </c>
      <c r="Q311" s="318">
        <v>0</v>
      </c>
      <c r="R311" s="319">
        <v>0</v>
      </c>
      <c r="S311" s="319">
        <v>0</v>
      </c>
      <c r="T311" s="319">
        <v>0</v>
      </c>
      <c r="U311" s="319">
        <v>-7.2708385419581771E-3</v>
      </c>
      <c r="V311" s="309"/>
    </row>
    <row r="312" spans="1:22" ht="15.75" thickTop="1">
      <c r="A312" s="304"/>
      <c r="B312" s="305" t="s">
        <v>557</v>
      </c>
      <c r="C312" s="306">
        <v>0.52648458074929916</v>
      </c>
      <c r="D312" s="307">
        <v>0.21679438058748404</v>
      </c>
      <c r="E312" s="307">
        <v>0</v>
      </c>
      <c r="F312" s="307">
        <v>0.17903743923586435</v>
      </c>
      <c r="G312" s="307">
        <v>0</v>
      </c>
      <c r="H312" s="307">
        <v>0</v>
      </c>
      <c r="I312" s="307">
        <v>0</v>
      </c>
      <c r="J312" s="308">
        <v>0.43774543058166804</v>
      </c>
      <c r="K312" s="308">
        <v>0</v>
      </c>
      <c r="L312" s="307">
        <v>0</v>
      </c>
      <c r="M312" s="307">
        <v>0</v>
      </c>
      <c r="N312" s="307">
        <v>0</v>
      </c>
      <c r="O312" s="308">
        <v>0</v>
      </c>
      <c r="P312" s="308">
        <v>0</v>
      </c>
      <c r="Q312" s="307">
        <v>0</v>
      </c>
      <c r="R312" s="308">
        <v>0</v>
      </c>
      <c r="S312" s="308">
        <v>0</v>
      </c>
      <c r="T312" s="308">
        <v>0</v>
      </c>
      <c r="U312" s="308">
        <v>0.43774543058166804</v>
      </c>
      <c r="V312" s="309"/>
    </row>
    <row r="313" spans="1:22">
      <c r="A313" s="304"/>
      <c r="B313" s="305" t="s">
        <v>558</v>
      </c>
      <c r="C313" s="306">
        <v>0.50147799482231115</v>
      </c>
      <c r="D313" s="307">
        <v>0.23415285319923793</v>
      </c>
      <c r="E313" s="307">
        <v>0</v>
      </c>
      <c r="F313" s="307">
        <v>0.16839267602626382</v>
      </c>
      <c r="G313" s="307">
        <v>0</v>
      </c>
      <c r="H313" s="307">
        <v>0</v>
      </c>
      <c r="I313" s="307">
        <v>0</v>
      </c>
      <c r="J313" s="308">
        <v>0.42247279420302919</v>
      </c>
      <c r="K313" s="308">
        <v>0</v>
      </c>
      <c r="L313" s="307">
        <v>0</v>
      </c>
      <c r="M313" s="307">
        <v>0</v>
      </c>
      <c r="N313" s="307">
        <v>0</v>
      </c>
      <c r="O313" s="308">
        <v>0</v>
      </c>
      <c r="P313" s="308">
        <v>0</v>
      </c>
      <c r="Q313" s="307">
        <v>0</v>
      </c>
      <c r="R313" s="308">
        <v>0</v>
      </c>
      <c r="S313" s="308">
        <v>0</v>
      </c>
      <c r="T313" s="308">
        <v>0</v>
      </c>
      <c r="U313" s="308">
        <v>0.42247279420302919</v>
      </c>
      <c r="V313" s="309"/>
    </row>
    <row r="314" spans="1:22" s="327" customFormat="1">
      <c r="A314" s="304"/>
      <c r="B314" s="310" t="s">
        <v>559</v>
      </c>
      <c r="C314" s="311">
        <v>-2.5006585926988012</v>
      </c>
      <c r="D314" s="312">
        <v>1.7358472611753883</v>
      </c>
      <c r="E314" s="312">
        <v>0</v>
      </c>
      <c r="F314" s="312">
        <v>-1.0644763209600532</v>
      </c>
      <c r="G314" s="312">
        <v>0</v>
      </c>
      <c r="H314" s="312">
        <v>0</v>
      </c>
      <c r="I314" s="312">
        <v>0</v>
      </c>
      <c r="J314" s="314">
        <v>-1.5272636378638849</v>
      </c>
      <c r="K314" s="314">
        <v>0</v>
      </c>
      <c r="L314" s="312">
        <v>0</v>
      </c>
      <c r="M314" s="312">
        <v>0</v>
      </c>
      <c r="N314" s="312">
        <v>0</v>
      </c>
      <c r="O314" s="314">
        <v>0</v>
      </c>
      <c r="P314" s="314">
        <v>0</v>
      </c>
      <c r="Q314" s="312">
        <v>0</v>
      </c>
      <c r="R314" s="314">
        <v>0</v>
      </c>
      <c r="S314" s="314">
        <v>0</v>
      </c>
      <c r="T314" s="314">
        <v>0</v>
      </c>
      <c r="U314" s="314">
        <v>-1.5272636378638849</v>
      </c>
      <c r="V314" s="309"/>
    </row>
    <row r="315" spans="1:22">
      <c r="A315" s="304"/>
      <c r="B315" s="50" t="s">
        <v>560</v>
      </c>
      <c r="C315" s="301">
        <v>2.0829793560445162E-2</v>
      </c>
      <c r="D315" s="302">
        <v>8.4784627888076169E-2</v>
      </c>
      <c r="E315" s="302">
        <v>0</v>
      </c>
      <c r="F315" s="302">
        <v>3.2123262358927708E-3</v>
      </c>
      <c r="G315" s="302">
        <v>0</v>
      </c>
      <c r="H315" s="302">
        <v>0</v>
      </c>
      <c r="I315" s="302">
        <v>0</v>
      </c>
      <c r="J315" s="303">
        <v>2.6968774833795284E-2</v>
      </c>
      <c r="K315" s="303">
        <v>0</v>
      </c>
      <c r="L315" s="302">
        <v>0</v>
      </c>
      <c r="M315" s="302">
        <v>0</v>
      </c>
      <c r="N315" s="302">
        <v>0</v>
      </c>
      <c r="O315" s="303">
        <v>0</v>
      </c>
      <c r="P315" s="303">
        <v>0</v>
      </c>
      <c r="Q315" s="302">
        <v>0</v>
      </c>
      <c r="R315" s="303">
        <v>0</v>
      </c>
      <c r="S315" s="303">
        <v>0</v>
      </c>
      <c r="T315" s="303">
        <v>0</v>
      </c>
      <c r="U315" s="303">
        <v>2.6968774833795284E-2</v>
      </c>
      <c r="V315" s="309"/>
    </row>
    <row r="316" spans="1:22">
      <c r="A316" s="304"/>
      <c r="B316" s="305" t="s">
        <v>561</v>
      </c>
      <c r="C316" s="306">
        <v>2.6806307366439162E-2</v>
      </c>
      <c r="D316" s="307">
        <v>1.6900167187236744E-2</v>
      </c>
      <c r="E316" s="307">
        <v>0</v>
      </c>
      <c r="F316" s="307">
        <v>9.0748945710777767E-4</v>
      </c>
      <c r="G316" s="307">
        <v>0</v>
      </c>
      <c r="H316" s="307">
        <v>0</v>
      </c>
      <c r="I316" s="307">
        <v>0</v>
      </c>
      <c r="J316" s="308">
        <v>2.211819595106336E-2</v>
      </c>
      <c r="K316" s="308">
        <v>0</v>
      </c>
      <c r="L316" s="307">
        <v>0</v>
      </c>
      <c r="M316" s="307">
        <v>0</v>
      </c>
      <c r="N316" s="307">
        <v>0</v>
      </c>
      <c r="O316" s="308">
        <v>0</v>
      </c>
      <c r="P316" s="308">
        <v>0</v>
      </c>
      <c r="Q316" s="307">
        <v>0</v>
      </c>
      <c r="R316" s="308">
        <v>0</v>
      </c>
      <c r="S316" s="308">
        <v>0</v>
      </c>
      <c r="T316" s="308">
        <v>0</v>
      </c>
      <c r="U316" s="308">
        <v>2.211819595106336E-2</v>
      </c>
      <c r="V316" s="309"/>
    </row>
    <row r="317" spans="1:22" s="327" customFormat="1">
      <c r="A317" s="304"/>
      <c r="B317" s="310" t="s">
        <v>562</v>
      </c>
      <c r="C317" s="311">
        <v>0.59765138059940004</v>
      </c>
      <c r="D317" s="312">
        <v>-6.7884460700839426</v>
      </c>
      <c r="E317" s="312">
        <v>0</v>
      </c>
      <c r="F317" s="312">
        <v>-0.23048367787849933</v>
      </c>
      <c r="G317" s="312">
        <v>0</v>
      </c>
      <c r="H317" s="312">
        <v>0</v>
      </c>
      <c r="I317" s="312">
        <v>0</v>
      </c>
      <c r="J317" s="314">
        <v>-0.48505788827319235</v>
      </c>
      <c r="K317" s="314">
        <v>0</v>
      </c>
      <c r="L317" s="312">
        <v>0</v>
      </c>
      <c r="M317" s="312">
        <v>0</v>
      </c>
      <c r="N317" s="312">
        <v>0</v>
      </c>
      <c r="O317" s="314">
        <v>0</v>
      </c>
      <c r="P317" s="314">
        <v>0</v>
      </c>
      <c r="Q317" s="312">
        <v>0</v>
      </c>
      <c r="R317" s="314">
        <v>0</v>
      </c>
      <c r="S317" s="314">
        <v>0</v>
      </c>
      <c r="T317" s="314">
        <v>0</v>
      </c>
      <c r="U317" s="314">
        <v>-0.48505788827319235</v>
      </c>
      <c r="V317" s="309"/>
    </row>
    <row r="318" spans="1:22">
      <c r="A318" s="304"/>
      <c r="B318" s="50" t="s">
        <v>563</v>
      </c>
      <c r="C318" s="301">
        <v>0.4464680146121825</v>
      </c>
      <c r="D318" s="302">
        <v>0.69842099152443982</v>
      </c>
      <c r="E318" s="302">
        <v>0</v>
      </c>
      <c r="F318" s="302">
        <v>0.81374193364982805</v>
      </c>
      <c r="G318" s="302">
        <v>0</v>
      </c>
      <c r="H318" s="302">
        <v>0</v>
      </c>
      <c r="I318" s="302">
        <v>0</v>
      </c>
      <c r="J318" s="303">
        <v>0.5301998333107204</v>
      </c>
      <c r="K318" s="303">
        <v>0</v>
      </c>
      <c r="L318" s="302">
        <v>0</v>
      </c>
      <c r="M318" s="302">
        <v>0</v>
      </c>
      <c r="N318" s="302">
        <v>0</v>
      </c>
      <c r="O318" s="303">
        <v>0</v>
      </c>
      <c r="P318" s="303">
        <v>0</v>
      </c>
      <c r="Q318" s="302">
        <v>0</v>
      </c>
      <c r="R318" s="303">
        <v>0</v>
      </c>
      <c r="S318" s="303">
        <v>0</v>
      </c>
      <c r="T318" s="303">
        <v>0</v>
      </c>
      <c r="U318" s="303">
        <v>0.5301998333107204</v>
      </c>
      <c r="V318" s="309"/>
    </row>
    <row r="319" spans="1:22">
      <c r="A319" s="304"/>
      <c r="B319" s="305" t="s">
        <v>564</v>
      </c>
      <c r="C319" s="306">
        <v>0.46527182866556838</v>
      </c>
      <c r="D319" s="307">
        <v>0.7489469796135253</v>
      </c>
      <c r="E319" s="307">
        <v>0</v>
      </c>
      <c r="F319" s="307">
        <v>0.82421395398494635</v>
      </c>
      <c r="G319" s="307">
        <v>0</v>
      </c>
      <c r="H319" s="307">
        <v>0</v>
      </c>
      <c r="I319" s="307">
        <v>0</v>
      </c>
      <c r="J319" s="308">
        <v>0.54982140102705246</v>
      </c>
      <c r="K319" s="308">
        <v>0</v>
      </c>
      <c r="L319" s="307">
        <v>0</v>
      </c>
      <c r="M319" s="307">
        <v>0</v>
      </c>
      <c r="N319" s="307">
        <v>0</v>
      </c>
      <c r="O319" s="308">
        <v>0</v>
      </c>
      <c r="P319" s="308">
        <v>0</v>
      </c>
      <c r="Q319" s="307">
        <v>0</v>
      </c>
      <c r="R319" s="308">
        <v>0</v>
      </c>
      <c r="S319" s="308">
        <v>0</v>
      </c>
      <c r="T319" s="308">
        <v>0</v>
      </c>
      <c r="U319" s="308">
        <v>0.54982140102705246</v>
      </c>
      <c r="V319" s="309"/>
    </row>
    <row r="320" spans="1:22" s="327" customFormat="1">
      <c r="A320" s="304"/>
      <c r="B320" s="310" t="s">
        <v>565</v>
      </c>
      <c r="C320" s="311">
        <v>1.8803814053385881</v>
      </c>
      <c r="D320" s="312">
        <v>5.0525988089085487</v>
      </c>
      <c r="E320" s="312">
        <v>0</v>
      </c>
      <c r="F320" s="312">
        <v>1.0472020335118293</v>
      </c>
      <c r="G320" s="312">
        <v>0</v>
      </c>
      <c r="H320" s="312">
        <v>0</v>
      </c>
      <c r="I320" s="312">
        <v>0</v>
      </c>
      <c r="J320" s="314">
        <v>1.9621567716332056</v>
      </c>
      <c r="K320" s="314">
        <v>0</v>
      </c>
      <c r="L320" s="312">
        <v>0</v>
      </c>
      <c r="M320" s="312">
        <v>0</v>
      </c>
      <c r="N320" s="312">
        <v>0</v>
      </c>
      <c r="O320" s="314">
        <v>0</v>
      </c>
      <c r="P320" s="314">
        <v>0</v>
      </c>
      <c r="Q320" s="312">
        <v>0</v>
      </c>
      <c r="R320" s="314">
        <v>0</v>
      </c>
      <c r="S320" s="314">
        <v>0</v>
      </c>
      <c r="T320" s="314">
        <v>0</v>
      </c>
      <c r="U320" s="314">
        <v>1.9621567716332056</v>
      </c>
      <c r="V320" s="309"/>
    </row>
    <row r="321" spans="1:22">
      <c r="A321" s="304"/>
      <c r="B321" s="50" t="s">
        <v>566</v>
      </c>
      <c r="C321" s="301">
        <v>5.93088947413134E-3</v>
      </c>
      <c r="D321" s="302">
        <v>0</v>
      </c>
      <c r="E321" s="302">
        <v>0</v>
      </c>
      <c r="F321" s="302">
        <v>0</v>
      </c>
      <c r="G321" s="302">
        <v>0</v>
      </c>
      <c r="H321" s="302">
        <v>0</v>
      </c>
      <c r="I321" s="302">
        <v>0</v>
      </c>
      <c r="J321" s="303">
        <v>4.3300447735157869E-3</v>
      </c>
      <c r="K321" s="303">
        <v>0</v>
      </c>
      <c r="L321" s="302">
        <v>0</v>
      </c>
      <c r="M321" s="302">
        <v>0</v>
      </c>
      <c r="N321" s="302">
        <v>0</v>
      </c>
      <c r="O321" s="303">
        <v>0</v>
      </c>
      <c r="P321" s="303">
        <v>0</v>
      </c>
      <c r="Q321" s="302">
        <v>0</v>
      </c>
      <c r="R321" s="303">
        <v>0</v>
      </c>
      <c r="S321" s="303">
        <v>0</v>
      </c>
      <c r="T321" s="303">
        <v>0</v>
      </c>
      <c r="U321" s="303">
        <v>4.3300447735157869E-3</v>
      </c>
      <c r="V321" s="309"/>
    </row>
    <row r="322" spans="1:22">
      <c r="A322" s="304"/>
      <c r="B322" s="305" t="s">
        <v>567</v>
      </c>
      <c r="C322" s="306">
        <v>5.9919981172040478E-3</v>
      </c>
      <c r="D322" s="307">
        <v>0</v>
      </c>
      <c r="E322" s="307">
        <v>0</v>
      </c>
      <c r="F322" s="307">
        <v>0</v>
      </c>
      <c r="G322" s="307">
        <v>0</v>
      </c>
      <c r="H322" s="307">
        <v>0</v>
      </c>
      <c r="I322" s="307">
        <v>0</v>
      </c>
      <c r="J322" s="308">
        <v>4.4125471627807023E-3</v>
      </c>
      <c r="K322" s="308">
        <v>0</v>
      </c>
      <c r="L322" s="307">
        <v>0</v>
      </c>
      <c r="M322" s="307">
        <v>0</v>
      </c>
      <c r="N322" s="307">
        <v>0</v>
      </c>
      <c r="O322" s="308">
        <v>0</v>
      </c>
      <c r="P322" s="308">
        <v>0</v>
      </c>
      <c r="Q322" s="307">
        <v>0</v>
      </c>
      <c r="R322" s="308">
        <v>0</v>
      </c>
      <c r="S322" s="308">
        <v>0</v>
      </c>
      <c r="T322" s="308">
        <v>0</v>
      </c>
      <c r="U322" s="308">
        <v>4.4125471627807023E-3</v>
      </c>
      <c r="V322" s="309"/>
    </row>
    <row r="323" spans="1:22" s="327" customFormat="1">
      <c r="A323" s="304"/>
      <c r="B323" s="310" t="s">
        <v>568</v>
      </c>
      <c r="C323" s="311">
        <v>6.1108643072707754E-3</v>
      </c>
      <c r="D323" s="312">
        <v>0</v>
      </c>
      <c r="E323" s="312">
        <v>0</v>
      </c>
      <c r="F323" s="312">
        <v>0</v>
      </c>
      <c r="G323" s="312">
        <v>0</v>
      </c>
      <c r="H323" s="312">
        <v>0</v>
      </c>
      <c r="I323" s="312">
        <v>0</v>
      </c>
      <c r="J323" s="314">
        <v>8.2502389264915363E-3</v>
      </c>
      <c r="K323" s="314">
        <v>0</v>
      </c>
      <c r="L323" s="312">
        <v>0</v>
      </c>
      <c r="M323" s="312">
        <v>0</v>
      </c>
      <c r="N323" s="312">
        <v>0</v>
      </c>
      <c r="O323" s="314">
        <v>0</v>
      </c>
      <c r="P323" s="314">
        <v>0</v>
      </c>
      <c r="Q323" s="312">
        <v>0</v>
      </c>
      <c r="R323" s="314">
        <v>0</v>
      </c>
      <c r="S323" s="314">
        <v>0</v>
      </c>
      <c r="T323" s="314">
        <v>0</v>
      </c>
      <c r="U323" s="314">
        <v>8.2502389264915363E-3</v>
      </c>
      <c r="V323" s="309"/>
    </row>
    <row r="324" spans="1:22">
      <c r="A324" s="304"/>
      <c r="B324" s="50" t="s">
        <v>569</v>
      </c>
      <c r="C324" s="301">
        <v>0</v>
      </c>
      <c r="D324" s="302">
        <v>0</v>
      </c>
      <c r="E324" s="302">
        <v>0</v>
      </c>
      <c r="F324" s="302">
        <v>4.2641498706541206E-4</v>
      </c>
      <c r="G324" s="302">
        <v>0</v>
      </c>
      <c r="H324" s="302">
        <v>0</v>
      </c>
      <c r="I324" s="302">
        <v>0</v>
      </c>
      <c r="J324" s="303">
        <v>5.8147423100032952E-5</v>
      </c>
      <c r="K324" s="303">
        <v>0</v>
      </c>
      <c r="L324" s="302">
        <v>0</v>
      </c>
      <c r="M324" s="302">
        <v>0</v>
      </c>
      <c r="N324" s="302">
        <v>0</v>
      </c>
      <c r="O324" s="303">
        <v>0</v>
      </c>
      <c r="P324" s="303">
        <v>0</v>
      </c>
      <c r="Q324" s="302">
        <v>0</v>
      </c>
      <c r="R324" s="303">
        <v>0</v>
      </c>
      <c r="S324" s="303">
        <v>0</v>
      </c>
      <c r="T324" s="303">
        <v>0</v>
      </c>
      <c r="U324" s="303">
        <v>5.8147423100032952E-5</v>
      </c>
      <c r="V324" s="309"/>
    </row>
    <row r="325" spans="1:22">
      <c r="A325" s="304"/>
      <c r="B325" s="305" t="s">
        <v>570</v>
      </c>
      <c r="C325" s="306">
        <v>0</v>
      </c>
      <c r="D325" s="307">
        <v>0</v>
      </c>
      <c r="E325" s="307">
        <v>0</v>
      </c>
      <c r="F325" s="307">
        <v>8.8079859072225488E-4</v>
      </c>
      <c r="G325" s="307">
        <v>0</v>
      </c>
      <c r="H325" s="307">
        <v>0</v>
      </c>
      <c r="I325" s="307">
        <v>0</v>
      </c>
      <c r="J325" s="308">
        <v>1.1438653289219416E-4</v>
      </c>
      <c r="K325" s="308">
        <v>0</v>
      </c>
      <c r="L325" s="307">
        <v>0</v>
      </c>
      <c r="M325" s="307">
        <v>0</v>
      </c>
      <c r="N325" s="307">
        <v>0</v>
      </c>
      <c r="O325" s="308">
        <v>0</v>
      </c>
      <c r="P325" s="308">
        <v>0</v>
      </c>
      <c r="Q325" s="307">
        <v>0</v>
      </c>
      <c r="R325" s="308">
        <v>0</v>
      </c>
      <c r="S325" s="308">
        <v>0</v>
      </c>
      <c r="T325" s="308">
        <v>0</v>
      </c>
      <c r="U325" s="308">
        <v>1.1438653289219416E-4</v>
      </c>
      <c r="V325" s="309"/>
    </row>
    <row r="326" spans="1:22" s="327" customFormat="1">
      <c r="A326" s="304"/>
      <c r="B326" s="310" t="s">
        <v>571</v>
      </c>
      <c r="C326" s="311">
        <v>0</v>
      </c>
      <c r="D326" s="312">
        <v>0</v>
      </c>
      <c r="E326" s="312">
        <v>0</v>
      </c>
      <c r="F326" s="312">
        <v>4.5438360365684279E-2</v>
      </c>
      <c r="G326" s="312">
        <v>0</v>
      </c>
      <c r="H326" s="312">
        <v>0</v>
      </c>
      <c r="I326" s="312">
        <v>0</v>
      </c>
      <c r="J326" s="314">
        <v>5.6239109792161207E-3</v>
      </c>
      <c r="K326" s="314">
        <v>0</v>
      </c>
      <c r="L326" s="312">
        <v>0</v>
      </c>
      <c r="M326" s="312">
        <v>0</v>
      </c>
      <c r="N326" s="312">
        <v>0</v>
      </c>
      <c r="O326" s="314">
        <v>0</v>
      </c>
      <c r="P326" s="314">
        <v>0</v>
      </c>
      <c r="Q326" s="312">
        <v>0</v>
      </c>
      <c r="R326" s="314">
        <v>0</v>
      </c>
      <c r="S326" s="314">
        <v>0</v>
      </c>
      <c r="T326" s="314">
        <v>0</v>
      </c>
      <c r="U326" s="314">
        <v>5.6239109792161207E-3</v>
      </c>
      <c r="V326" s="309"/>
    </row>
    <row r="327" spans="1:22">
      <c r="A327" s="304"/>
      <c r="B327" s="50" t="s">
        <v>572</v>
      </c>
      <c r="C327" s="301">
        <v>2.8672160394189111E-4</v>
      </c>
      <c r="D327" s="302">
        <v>0</v>
      </c>
      <c r="E327" s="302">
        <v>0</v>
      </c>
      <c r="F327" s="302">
        <v>3.5818858913494612E-3</v>
      </c>
      <c r="G327" s="302">
        <v>0</v>
      </c>
      <c r="H327" s="302">
        <v>0</v>
      </c>
      <c r="I327" s="302">
        <v>0</v>
      </c>
      <c r="J327" s="303">
        <v>6.9776907720039538E-4</v>
      </c>
      <c r="K327" s="303">
        <v>0</v>
      </c>
      <c r="L327" s="302">
        <v>0</v>
      </c>
      <c r="M327" s="302">
        <v>0</v>
      </c>
      <c r="N327" s="302">
        <v>0</v>
      </c>
      <c r="O327" s="303">
        <v>0</v>
      </c>
      <c r="P327" s="303">
        <v>0</v>
      </c>
      <c r="Q327" s="302">
        <v>0</v>
      </c>
      <c r="R327" s="303">
        <v>0</v>
      </c>
      <c r="S327" s="303">
        <v>0</v>
      </c>
      <c r="T327" s="303">
        <v>0</v>
      </c>
      <c r="U327" s="303">
        <v>6.9776907720039538E-4</v>
      </c>
      <c r="V327" s="309"/>
    </row>
    <row r="328" spans="1:22">
      <c r="A328" s="304"/>
      <c r="B328" s="305" t="s">
        <v>573</v>
      </c>
      <c r="C328" s="306">
        <v>4.5187102847728879E-4</v>
      </c>
      <c r="D328" s="307">
        <v>0</v>
      </c>
      <c r="E328" s="307">
        <v>0</v>
      </c>
      <c r="F328" s="307">
        <v>5.6050819409598036E-3</v>
      </c>
      <c r="G328" s="307">
        <v>0</v>
      </c>
      <c r="H328" s="307">
        <v>0</v>
      </c>
      <c r="I328" s="307">
        <v>0</v>
      </c>
      <c r="J328" s="308">
        <v>1.060675123182164E-3</v>
      </c>
      <c r="K328" s="308">
        <v>0</v>
      </c>
      <c r="L328" s="307">
        <v>0</v>
      </c>
      <c r="M328" s="307">
        <v>0</v>
      </c>
      <c r="N328" s="307">
        <v>0</v>
      </c>
      <c r="O328" s="308">
        <v>0</v>
      </c>
      <c r="P328" s="308">
        <v>0</v>
      </c>
      <c r="Q328" s="307">
        <v>0</v>
      </c>
      <c r="R328" s="308">
        <v>0</v>
      </c>
      <c r="S328" s="308">
        <v>0</v>
      </c>
      <c r="T328" s="308">
        <v>0</v>
      </c>
      <c r="U328" s="308">
        <v>1.060675123182164E-3</v>
      </c>
      <c r="V328" s="309"/>
    </row>
    <row r="329" spans="1:22" s="327" customFormat="1" ht="15.75" thickBot="1">
      <c r="A329" s="320"/>
      <c r="B329" s="321" t="s">
        <v>574</v>
      </c>
      <c r="C329" s="322">
        <v>1.6514942453539769E-2</v>
      </c>
      <c r="D329" s="323">
        <v>0</v>
      </c>
      <c r="E329" s="323">
        <v>0</v>
      </c>
      <c r="F329" s="323">
        <v>0.20231960496103424</v>
      </c>
      <c r="G329" s="323">
        <v>0</v>
      </c>
      <c r="H329" s="323">
        <v>0</v>
      </c>
      <c r="I329" s="323">
        <v>0</v>
      </c>
      <c r="J329" s="324">
        <v>3.6290604598176859E-2</v>
      </c>
      <c r="K329" s="324">
        <v>0</v>
      </c>
      <c r="L329" s="323">
        <v>0</v>
      </c>
      <c r="M329" s="323">
        <v>0</v>
      </c>
      <c r="N329" s="323">
        <v>0</v>
      </c>
      <c r="O329" s="324">
        <v>0</v>
      </c>
      <c r="P329" s="324">
        <v>0</v>
      </c>
      <c r="Q329" s="323">
        <v>0</v>
      </c>
      <c r="R329" s="324">
        <v>0</v>
      </c>
      <c r="S329" s="324">
        <v>0</v>
      </c>
      <c r="T329" s="324">
        <v>0</v>
      </c>
      <c r="U329" s="324">
        <v>3.6290604598176859E-2</v>
      </c>
      <c r="V329" s="309"/>
    </row>
    <row r="330" spans="1:22">
      <c r="A330" s="300" t="s">
        <v>280</v>
      </c>
      <c r="B330" s="50" t="s">
        <v>539</v>
      </c>
      <c r="C330" s="301">
        <v>0.48036893919795648</v>
      </c>
      <c r="D330" s="302">
        <v>0.50219066736835249</v>
      </c>
      <c r="E330" s="302">
        <v>0.4316079129342561</v>
      </c>
      <c r="F330" s="302">
        <v>0.37005324075616536</v>
      </c>
      <c r="G330" s="302">
        <v>0.47171870736366117</v>
      </c>
      <c r="H330" s="302">
        <v>0.64257884340303795</v>
      </c>
      <c r="I330" s="302">
        <v>0.8084811737405494</v>
      </c>
      <c r="J330" s="303">
        <v>0.47397805377145097</v>
      </c>
      <c r="K330" s="303">
        <v>0</v>
      </c>
      <c r="L330" s="302">
        <v>0.33276157353208125</v>
      </c>
      <c r="M330" s="302">
        <v>0.31013517504079313</v>
      </c>
      <c r="N330" s="302">
        <v>0.30725313579981978</v>
      </c>
      <c r="O330" s="303">
        <v>0.32011794498311885</v>
      </c>
      <c r="P330" s="303">
        <v>0</v>
      </c>
      <c r="Q330" s="302">
        <v>0</v>
      </c>
      <c r="R330" s="303">
        <v>0</v>
      </c>
      <c r="S330" s="303">
        <v>0</v>
      </c>
      <c r="T330" s="303">
        <v>0</v>
      </c>
      <c r="U330" s="303">
        <v>0.4043069910035853</v>
      </c>
      <c r="V330" s="309"/>
    </row>
    <row r="331" spans="1:22">
      <c r="A331" s="304"/>
      <c r="B331" s="305" t="s">
        <v>540</v>
      </c>
      <c r="C331" s="306">
        <v>0.41449460292078205</v>
      </c>
      <c r="D331" s="307">
        <v>0.42694453355864226</v>
      </c>
      <c r="E331" s="307">
        <v>0.42658384770751273</v>
      </c>
      <c r="F331" s="307">
        <v>0.22780147343931756</v>
      </c>
      <c r="G331" s="307">
        <v>0.32505607781812573</v>
      </c>
      <c r="H331" s="307">
        <v>0.57434450485169641</v>
      </c>
      <c r="I331" s="307">
        <v>0.80747579374014866</v>
      </c>
      <c r="J331" s="308">
        <v>0.41598969643357253</v>
      </c>
      <c r="K331" s="308">
        <v>0</v>
      </c>
      <c r="L331" s="307">
        <v>0.21831055233264973</v>
      </c>
      <c r="M331" s="307">
        <v>0.24703075502840202</v>
      </c>
      <c r="N331" s="307">
        <v>0.27158941122198815</v>
      </c>
      <c r="O331" s="308">
        <v>0.23803565032427373</v>
      </c>
      <c r="P331" s="308">
        <v>0</v>
      </c>
      <c r="Q331" s="307">
        <v>0</v>
      </c>
      <c r="R331" s="308">
        <v>0</v>
      </c>
      <c r="S331" s="308">
        <v>0</v>
      </c>
      <c r="T331" s="308">
        <v>0</v>
      </c>
      <c r="U331" s="308">
        <v>0.33740387170210573</v>
      </c>
      <c r="V331" s="309"/>
    </row>
    <row r="332" spans="1:22">
      <c r="A332" s="304"/>
      <c r="B332" s="310" t="s">
        <v>541</v>
      </c>
      <c r="C332" s="311">
        <v>-6.5874336277174432</v>
      </c>
      <c r="D332" s="312">
        <v>-7.5246133809710241</v>
      </c>
      <c r="E332" s="312">
        <v>-0.50240652267433683</v>
      </c>
      <c r="F332" s="312">
        <v>-14.22517673168478</v>
      </c>
      <c r="G332" s="312">
        <v>-14.666262954553543</v>
      </c>
      <c r="H332" s="312">
        <v>-6.8234338551341533</v>
      </c>
      <c r="I332" s="312">
        <v>-0.10053800004007352</v>
      </c>
      <c r="J332" s="314">
        <v>-5.7988357337878433</v>
      </c>
      <c r="K332" s="314">
        <v>0</v>
      </c>
      <c r="L332" s="312">
        <v>-11.445102119943151</v>
      </c>
      <c r="M332" s="312">
        <v>-6.3104420012391111</v>
      </c>
      <c r="N332" s="312">
        <v>-3.5663724577831624</v>
      </c>
      <c r="O332" s="314">
        <v>-8.2082294658845125</v>
      </c>
      <c r="P332" s="314">
        <v>0</v>
      </c>
      <c r="Q332" s="312">
        <v>0</v>
      </c>
      <c r="R332" s="314">
        <v>0</v>
      </c>
      <c r="S332" s="314">
        <v>0</v>
      </c>
      <c r="T332" s="314">
        <v>0</v>
      </c>
      <c r="U332" s="314">
        <v>-6.6903119301479572</v>
      </c>
      <c r="V332" s="309"/>
    </row>
    <row r="333" spans="1:22">
      <c r="A333" s="304"/>
      <c r="B333" s="50" t="s">
        <v>542</v>
      </c>
      <c r="C333" s="301">
        <v>3.4991373357424107E-3</v>
      </c>
      <c r="D333" s="302">
        <v>2.3949755933079342E-3</v>
      </c>
      <c r="E333" s="302">
        <v>3.5052203680233991E-2</v>
      </c>
      <c r="F333" s="302">
        <v>1.4659532360917686E-3</v>
      </c>
      <c r="G333" s="302">
        <v>3.1315375719538976E-3</v>
      </c>
      <c r="H333" s="302">
        <v>3.6714120291533275E-3</v>
      </c>
      <c r="I333" s="302">
        <v>0</v>
      </c>
      <c r="J333" s="303">
        <v>1.1403720156059787E-2</v>
      </c>
      <c r="K333" s="303">
        <v>0</v>
      </c>
      <c r="L333" s="302">
        <v>2.049294910628251E-2</v>
      </c>
      <c r="M333" s="302">
        <v>5.5499057718580734E-2</v>
      </c>
      <c r="N333" s="302">
        <v>5.0564951724745788E-2</v>
      </c>
      <c r="O333" s="303">
        <v>3.8424795890363357E-2</v>
      </c>
      <c r="P333" s="303">
        <v>0</v>
      </c>
      <c r="Q333" s="302">
        <v>0</v>
      </c>
      <c r="R333" s="303">
        <v>0</v>
      </c>
      <c r="S333" s="303">
        <v>0</v>
      </c>
      <c r="T333" s="303">
        <v>0</v>
      </c>
      <c r="U333" s="303">
        <v>2.3639426203361621E-2</v>
      </c>
      <c r="V333" s="309"/>
    </row>
    <row r="334" spans="1:22">
      <c r="A334" s="304"/>
      <c r="B334" s="305" t="s">
        <v>543</v>
      </c>
      <c r="C334" s="306">
        <v>4.0380127006974841E-3</v>
      </c>
      <c r="D334" s="307">
        <v>1.6167609512525926E-3</v>
      </c>
      <c r="E334" s="307">
        <v>3.4464722216314365E-2</v>
      </c>
      <c r="F334" s="307">
        <v>1.2463302498199745E-3</v>
      </c>
      <c r="G334" s="307">
        <v>3.4393301182597908E-3</v>
      </c>
      <c r="H334" s="307">
        <v>2.1746610694377538E-3</v>
      </c>
      <c r="I334" s="307">
        <v>0</v>
      </c>
      <c r="J334" s="308">
        <v>1.1308278007781803E-2</v>
      </c>
      <c r="K334" s="308">
        <v>0</v>
      </c>
      <c r="L334" s="307">
        <v>2.3562696445552835E-2</v>
      </c>
      <c r="M334" s="307">
        <v>4.405340228936664E-2</v>
      </c>
      <c r="N334" s="307">
        <v>3.8308207491487251E-2</v>
      </c>
      <c r="O334" s="308">
        <v>3.3547004749756255E-2</v>
      </c>
      <c r="P334" s="308">
        <v>0</v>
      </c>
      <c r="Q334" s="307">
        <v>0</v>
      </c>
      <c r="R334" s="308">
        <v>0</v>
      </c>
      <c r="S334" s="308">
        <v>0</v>
      </c>
      <c r="T334" s="308">
        <v>0</v>
      </c>
      <c r="U334" s="308">
        <v>2.1129064442288546E-2</v>
      </c>
      <c r="V334" s="309"/>
    </row>
    <row r="335" spans="1:22">
      <c r="A335" s="304"/>
      <c r="B335" s="310" t="s">
        <v>544</v>
      </c>
      <c r="C335" s="311">
        <v>5.3887536495507343E-2</v>
      </c>
      <c r="D335" s="312">
        <v>-7.7821464205534152E-2</v>
      </c>
      <c r="E335" s="312">
        <v>-5.8748146391962575E-2</v>
      </c>
      <c r="F335" s="312">
        <v>-2.1962298627179411E-2</v>
      </c>
      <c r="G335" s="312">
        <v>3.0779254630589319E-2</v>
      </c>
      <c r="H335" s="312">
        <v>-0.14967509597155737</v>
      </c>
      <c r="I335" s="312">
        <v>0</v>
      </c>
      <c r="J335" s="314">
        <v>-9.5442148277984779E-3</v>
      </c>
      <c r="K335" s="314">
        <v>0</v>
      </c>
      <c r="L335" s="312">
        <v>0.30697473392703245</v>
      </c>
      <c r="M335" s="312">
        <v>-1.1445655429214094</v>
      </c>
      <c r="N335" s="312">
        <v>-1.2256744233258536</v>
      </c>
      <c r="O335" s="314">
        <v>-0.48777911406071017</v>
      </c>
      <c r="P335" s="314">
        <v>0</v>
      </c>
      <c r="Q335" s="312">
        <v>0</v>
      </c>
      <c r="R335" s="314">
        <v>0</v>
      </c>
      <c r="S335" s="314">
        <v>0</v>
      </c>
      <c r="T335" s="314">
        <v>0</v>
      </c>
      <c r="U335" s="314">
        <v>-0.25103617610730755</v>
      </c>
      <c r="V335" s="309"/>
    </row>
    <row r="336" spans="1:22">
      <c r="A336" s="304"/>
      <c r="B336" s="50" t="s">
        <v>545</v>
      </c>
      <c r="C336" s="301">
        <v>0.51610422043465243</v>
      </c>
      <c r="D336" s="302">
        <v>0.49491540378973375</v>
      </c>
      <c r="E336" s="302">
        <v>0.53322749579960238</v>
      </c>
      <c r="F336" s="302">
        <v>0.62828090329373043</v>
      </c>
      <c r="G336" s="302">
        <v>0.50584402084226665</v>
      </c>
      <c r="H336" s="302">
        <v>0.33897554662488932</v>
      </c>
      <c r="I336" s="302">
        <v>0.19151882625945055</v>
      </c>
      <c r="J336" s="303">
        <v>0.51299630170434096</v>
      </c>
      <c r="K336" s="303">
        <v>0</v>
      </c>
      <c r="L336" s="302">
        <v>0.64674547736163623</v>
      </c>
      <c r="M336" s="302">
        <v>0.6343657672406261</v>
      </c>
      <c r="N336" s="302">
        <v>0.64218191247543444</v>
      </c>
      <c r="O336" s="303">
        <v>0.64145725912651785</v>
      </c>
      <c r="P336" s="303">
        <v>0</v>
      </c>
      <c r="Q336" s="302">
        <v>0</v>
      </c>
      <c r="R336" s="303">
        <v>0</v>
      </c>
      <c r="S336" s="303">
        <v>0</v>
      </c>
      <c r="T336" s="303">
        <v>0</v>
      </c>
      <c r="U336" s="303">
        <v>0.57116609956983755</v>
      </c>
      <c r="V336" s="309"/>
    </row>
    <row r="337" spans="1:22">
      <c r="A337" s="304"/>
      <c r="B337" s="305" t="s">
        <v>546</v>
      </c>
      <c r="C337" s="306">
        <v>0.58145990041758422</v>
      </c>
      <c r="D337" s="307">
        <v>0.57105860255526575</v>
      </c>
      <c r="E337" s="307">
        <v>0.53856896134686671</v>
      </c>
      <c r="F337" s="307">
        <v>0.69151249099872603</v>
      </c>
      <c r="G337" s="307">
        <v>0.66093718463919027</v>
      </c>
      <c r="H337" s="307">
        <v>0.41176794439474229</v>
      </c>
      <c r="I337" s="307">
        <v>0.19252420625985139</v>
      </c>
      <c r="J337" s="308">
        <v>0.56947259547909657</v>
      </c>
      <c r="K337" s="308">
        <v>0</v>
      </c>
      <c r="L337" s="307">
        <v>0.7581267512217974</v>
      </c>
      <c r="M337" s="307">
        <v>0.70891584268223129</v>
      </c>
      <c r="N337" s="307">
        <v>0.69010238128652457</v>
      </c>
      <c r="O337" s="308">
        <v>0.72841734492596988</v>
      </c>
      <c r="P337" s="308">
        <v>0</v>
      </c>
      <c r="Q337" s="307">
        <v>0</v>
      </c>
      <c r="R337" s="308">
        <v>0</v>
      </c>
      <c r="S337" s="308">
        <v>0</v>
      </c>
      <c r="T337" s="308">
        <v>0</v>
      </c>
      <c r="U337" s="308">
        <v>0.63966377401710561</v>
      </c>
      <c r="V337" s="309"/>
    </row>
    <row r="338" spans="1:22">
      <c r="A338" s="304"/>
      <c r="B338" s="310" t="s">
        <v>547</v>
      </c>
      <c r="C338" s="311">
        <v>6.5355679982931791</v>
      </c>
      <c r="D338" s="312">
        <v>7.6143198765531999</v>
      </c>
      <c r="E338" s="312">
        <v>0.53414655472643346</v>
      </c>
      <c r="F338" s="312">
        <v>6.3231587704995595</v>
      </c>
      <c r="G338" s="312">
        <v>15.509316379692361</v>
      </c>
      <c r="H338" s="312">
        <v>7.279239776985297</v>
      </c>
      <c r="I338" s="312">
        <v>0.10053800004008462</v>
      </c>
      <c r="J338" s="314">
        <v>5.6476293774755604</v>
      </c>
      <c r="K338" s="314">
        <v>0</v>
      </c>
      <c r="L338" s="312">
        <v>11.138127386016116</v>
      </c>
      <c r="M338" s="312">
        <v>7.4550075441605195</v>
      </c>
      <c r="N338" s="312">
        <v>4.7920468811090133</v>
      </c>
      <c r="O338" s="314">
        <v>8.696008579945202</v>
      </c>
      <c r="P338" s="314">
        <v>0</v>
      </c>
      <c r="Q338" s="312">
        <v>0</v>
      </c>
      <c r="R338" s="314">
        <v>0</v>
      </c>
      <c r="S338" s="314">
        <v>0</v>
      </c>
      <c r="T338" s="314">
        <v>0</v>
      </c>
      <c r="U338" s="314">
        <v>6.8497674447268064</v>
      </c>
      <c r="V338" s="309"/>
    </row>
    <row r="339" spans="1:22">
      <c r="A339" s="304"/>
      <c r="B339" s="50" t="s">
        <v>548</v>
      </c>
      <c r="C339" s="301">
        <v>2.7703031648676669E-5</v>
      </c>
      <c r="D339" s="302">
        <v>4.9895324860581953E-4</v>
      </c>
      <c r="E339" s="302">
        <v>1.123875859075863E-4</v>
      </c>
      <c r="F339" s="302">
        <v>1.9990271401251392E-4</v>
      </c>
      <c r="G339" s="302">
        <v>7.1466625086084805E-5</v>
      </c>
      <c r="H339" s="302">
        <v>1.4774197942919419E-2</v>
      </c>
      <c r="I339" s="302">
        <v>0</v>
      </c>
      <c r="J339" s="303">
        <v>5.3605664044518921E-4</v>
      </c>
      <c r="K339" s="303">
        <v>0</v>
      </c>
      <c r="L339" s="302">
        <v>0</v>
      </c>
      <c r="M339" s="302">
        <v>0</v>
      </c>
      <c r="N339" s="302">
        <v>0</v>
      </c>
      <c r="O339" s="303">
        <v>0</v>
      </c>
      <c r="P339" s="303">
        <v>0</v>
      </c>
      <c r="Q339" s="302">
        <v>0</v>
      </c>
      <c r="R339" s="303">
        <v>0</v>
      </c>
      <c r="S339" s="303">
        <v>0</v>
      </c>
      <c r="T339" s="303">
        <v>0</v>
      </c>
      <c r="U339" s="303">
        <v>2.933190254928452E-4</v>
      </c>
      <c r="V339" s="309"/>
    </row>
    <row r="340" spans="1:22">
      <c r="A340" s="304"/>
      <c r="B340" s="305" t="s">
        <v>549</v>
      </c>
      <c r="C340" s="306">
        <v>7.4839609362185663E-6</v>
      </c>
      <c r="D340" s="307">
        <v>3.8010293483934564E-4</v>
      </c>
      <c r="E340" s="307">
        <v>3.824687293062248E-4</v>
      </c>
      <c r="F340" s="307">
        <v>7.9439705312136483E-2</v>
      </c>
      <c r="G340" s="307">
        <v>1.2142673127443918E-4</v>
      </c>
      <c r="H340" s="307">
        <v>1.1712889684123599E-2</v>
      </c>
      <c r="I340" s="307">
        <v>0</v>
      </c>
      <c r="J340" s="308">
        <v>2.6353381308015771E-3</v>
      </c>
      <c r="K340" s="308">
        <v>0</v>
      </c>
      <c r="L340" s="307">
        <v>0</v>
      </c>
      <c r="M340" s="307">
        <v>0</v>
      </c>
      <c r="N340" s="307">
        <v>0</v>
      </c>
      <c r="O340" s="308">
        <v>0</v>
      </c>
      <c r="P340" s="308">
        <v>0</v>
      </c>
      <c r="Q340" s="307">
        <v>0</v>
      </c>
      <c r="R340" s="308">
        <v>0</v>
      </c>
      <c r="S340" s="308">
        <v>0</v>
      </c>
      <c r="T340" s="308">
        <v>0</v>
      </c>
      <c r="U340" s="308">
        <v>1.4715532943043847E-3</v>
      </c>
      <c r="V340" s="309"/>
    </row>
    <row r="341" spans="1:22">
      <c r="A341" s="304"/>
      <c r="B341" s="310" t="s">
        <v>550</v>
      </c>
      <c r="C341" s="311">
        <v>-2.0219070712458103E-3</v>
      </c>
      <c r="D341" s="312">
        <v>-1.1885031376647389E-2</v>
      </c>
      <c r="E341" s="312">
        <v>2.7008114339863849E-2</v>
      </c>
      <c r="F341" s="312">
        <v>7.9239802598123967</v>
      </c>
      <c r="G341" s="312">
        <v>4.9960106188354381E-3</v>
      </c>
      <c r="H341" s="312">
        <v>-0.30613082587958201</v>
      </c>
      <c r="I341" s="312">
        <v>0</v>
      </c>
      <c r="J341" s="314">
        <v>0.20992814903563881</v>
      </c>
      <c r="K341" s="314">
        <v>0</v>
      </c>
      <c r="L341" s="312">
        <v>0</v>
      </c>
      <c r="M341" s="312">
        <v>0</v>
      </c>
      <c r="N341" s="312">
        <v>0</v>
      </c>
      <c r="O341" s="314">
        <v>0</v>
      </c>
      <c r="P341" s="314">
        <v>0</v>
      </c>
      <c r="Q341" s="312">
        <v>0</v>
      </c>
      <c r="R341" s="314">
        <v>0</v>
      </c>
      <c r="S341" s="314">
        <v>0</v>
      </c>
      <c r="T341" s="314">
        <v>0</v>
      </c>
      <c r="U341" s="314">
        <v>0.11782342688115395</v>
      </c>
      <c r="V341" s="309"/>
    </row>
    <row r="342" spans="1:22">
      <c r="A342" s="304"/>
      <c r="B342" s="50" t="s">
        <v>551</v>
      </c>
      <c r="C342" s="301">
        <v>0</v>
      </c>
      <c r="D342" s="302">
        <v>0</v>
      </c>
      <c r="E342" s="302">
        <v>0</v>
      </c>
      <c r="F342" s="302">
        <v>0</v>
      </c>
      <c r="G342" s="302">
        <v>1.9234267597032187E-2</v>
      </c>
      <c r="H342" s="302">
        <v>0</v>
      </c>
      <c r="I342" s="302">
        <v>0</v>
      </c>
      <c r="J342" s="303">
        <v>1.0858677277030332E-3</v>
      </c>
      <c r="K342" s="303">
        <v>0</v>
      </c>
      <c r="L342" s="302">
        <v>0</v>
      </c>
      <c r="M342" s="302">
        <v>0</v>
      </c>
      <c r="N342" s="302">
        <v>0</v>
      </c>
      <c r="O342" s="303">
        <v>0</v>
      </c>
      <c r="P342" s="303">
        <v>0</v>
      </c>
      <c r="Q342" s="302">
        <v>0</v>
      </c>
      <c r="R342" s="303">
        <v>0</v>
      </c>
      <c r="S342" s="303">
        <v>0</v>
      </c>
      <c r="T342" s="303">
        <v>0</v>
      </c>
      <c r="U342" s="303">
        <v>5.9416419772259199E-4</v>
      </c>
      <c r="V342" s="309"/>
    </row>
    <row r="343" spans="1:22">
      <c r="A343" s="304"/>
      <c r="B343" s="305" t="s">
        <v>552</v>
      </c>
      <c r="C343" s="306">
        <v>0</v>
      </c>
      <c r="D343" s="307">
        <v>0</v>
      </c>
      <c r="E343" s="307">
        <v>0</v>
      </c>
      <c r="F343" s="307">
        <v>0</v>
      </c>
      <c r="G343" s="307">
        <v>1.0445980693149727E-2</v>
      </c>
      <c r="H343" s="307">
        <v>0</v>
      </c>
      <c r="I343" s="307">
        <v>0</v>
      </c>
      <c r="J343" s="308">
        <v>5.940919487475775E-4</v>
      </c>
      <c r="K343" s="308">
        <v>0</v>
      </c>
      <c r="L343" s="307">
        <v>0</v>
      </c>
      <c r="M343" s="307">
        <v>0</v>
      </c>
      <c r="N343" s="307">
        <v>0</v>
      </c>
      <c r="O343" s="308">
        <v>0</v>
      </c>
      <c r="P343" s="308">
        <v>0</v>
      </c>
      <c r="Q343" s="307">
        <v>0</v>
      </c>
      <c r="R343" s="308">
        <v>0</v>
      </c>
      <c r="S343" s="308">
        <v>0</v>
      </c>
      <c r="T343" s="308">
        <v>0</v>
      </c>
      <c r="U343" s="308">
        <v>3.3173654419567665E-4</v>
      </c>
      <c r="V343" s="309"/>
    </row>
    <row r="344" spans="1:22">
      <c r="A344" s="304"/>
      <c r="B344" s="310" t="s">
        <v>553</v>
      </c>
      <c r="C344" s="311">
        <v>0</v>
      </c>
      <c r="D344" s="312">
        <v>0</v>
      </c>
      <c r="E344" s="312">
        <v>0</v>
      </c>
      <c r="F344" s="312">
        <v>0</v>
      </c>
      <c r="G344" s="312">
        <v>-0.87882869038824596</v>
      </c>
      <c r="H344" s="312">
        <v>0</v>
      </c>
      <c r="I344" s="312">
        <v>0</v>
      </c>
      <c r="J344" s="314">
        <v>-4.9177577895545568E-2</v>
      </c>
      <c r="K344" s="314">
        <v>0</v>
      </c>
      <c r="L344" s="312">
        <v>0</v>
      </c>
      <c r="M344" s="312">
        <v>0</v>
      </c>
      <c r="N344" s="312">
        <v>0</v>
      </c>
      <c r="O344" s="314">
        <v>0</v>
      </c>
      <c r="P344" s="314">
        <v>0</v>
      </c>
      <c r="Q344" s="312">
        <v>0</v>
      </c>
      <c r="R344" s="314">
        <v>0</v>
      </c>
      <c r="S344" s="314">
        <v>0</v>
      </c>
      <c r="T344" s="314">
        <v>0</v>
      </c>
      <c r="U344" s="314">
        <v>-2.6242765352691533E-2</v>
      </c>
      <c r="V344" s="309"/>
    </row>
    <row r="345" spans="1:22">
      <c r="A345" s="304"/>
      <c r="B345" s="50" t="s">
        <v>554</v>
      </c>
      <c r="C345" s="301">
        <v>0</v>
      </c>
      <c r="D345" s="302">
        <v>0</v>
      </c>
      <c r="E345" s="302">
        <v>0</v>
      </c>
      <c r="F345" s="302">
        <v>0</v>
      </c>
      <c r="G345" s="302">
        <v>0</v>
      </c>
      <c r="H345" s="302">
        <v>0</v>
      </c>
      <c r="I345" s="302">
        <v>0</v>
      </c>
      <c r="J345" s="303">
        <v>0</v>
      </c>
      <c r="K345" s="303">
        <v>0</v>
      </c>
      <c r="L345" s="302">
        <v>0</v>
      </c>
      <c r="M345" s="302">
        <v>0</v>
      </c>
      <c r="N345" s="302">
        <v>0</v>
      </c>
      <c r="O345" s="303">
        <v>0</v>
      </c>
      <c r="P345" s="303">
        <v>0</v>
      </c>
      <c r="Q345" s="302">
        <v>0</v>
      </c>
      <c r="R345" s="303">
        <v>0</v>
      </c>
      <c r="S345" s="303">
        <v>0</v>
      </c>
      <c r="T345" s="303">
        <v>0</v>
      </c>
      <c r="U345" s="303">
        <v>0</v>
      </c>
      <c r="V345" s="309"/>
    </row>
    <row r="346" spans="1:22">
      <c r="A346" s="304"/>
      <c r="B346" s="305" t="s">
        <v>555</v>
      </c>
      <c r="C346" s="306">
        <v>0</v>
      </c>
      <c r="D346" s="307">
        <v>0</v>
      </c>
      <c r="E346" s="307">
        <v>0</v>
      </c>
      <c r="F346" s="307">
        <v>0</v>
      </c>
      <c r="G346" s="307">
        <v>0</v>
      </c>
      <c r="H346" s="307">
        <v>0</v>
      </c>
      <c r="I346" s="307">
        <v>0</v>
      </c>
      <c r="J346" s="308">
        <v>0</v>
      </c>
      <c r="K346" s="308">
        <v>0</v>
      </c>
      <c r="L346" s="307">
        <v>0</v>
      </c>
      <c r="M346" s="307">
        <v>0</v>
      </c>
      <c r="N346" s="307">
        <v>0</v>
      </c>
      <c r="O346" s="308">
        <v>0</v>
      </c>
      <c r="P346" s="308">
        <v>0</v>
      </c>
      <c r="Q346" s="307">
        <v>0</v>
      </c>
      <c r="R346" s="308">
        <v>0</v>
      </c>
      <c r="S346" s="308">
        <v>0</v>
      </c>
      <c r="T346" s="308">
        <v>0</v>
      </c>
      <c r="U346" s="308">
        <v>0</v>
      </c>
      <c r="V346" s="309"/>
    </row>
    <row r="347" spans="1:22" ht="15.75" thickBot="1">
      <c r="A347" s="304"/>
      <c r="B347" s="316" t="s">
        <v>556</v>
      </c>
      <c r="C347" s="317">
        <v>0</v>
      </c>
      <c r="D347" s="318">
        <v>0</v>
      </c>
      <c r="E347" s="318">
        <v>0</v>
      </c>
      <c r="F347" s="318">
        <v>0</v>
      </c>
      <c r="G347" s="318">
        <v>0</v>
      </c>
      <c r="H347" s="318">
        <v>0</v>
      </c>
      <c r="I347" s="318">
        <v>0</v>
      </c>
      <c r="J347" s="319">
        <v>0</v>
      </c>
      <c r="K347" s="319">
        <v>0</v>
      </c>
      <c r="L347" s="318">
        <v>0</v>
      </c>
      <c r="M347" s="318">
        <v>0</v>
      </c>
      <c r="N347" s="318">
        <v>0</v>
      </c>
      <c r="O347" s="319">
        <v>0</v>
      </c>
      <c r="P347" s="319">
        <v>0</v>
      </c>
      <c r="Q347" s="318">
        <v>0</v>
      </c>
      <c r="R347" s="319">
        <v>0</v>
      </c>
      <c r="S347" s="319">
        <v>0</v>
      </c>
      <c r="T347" s="319">
        <v>0</v>
      </c>
      <c r="U347" s="319">
        <v>0</v>
      </c>
      <c r="V347" s="309"/>
    </row>
    <row r="348" spans="1:22" ht="15.75" thickTop="1">
      <c r="A348" s="304"/>
      <c r="B348" s="305" t="s">
        <v>557</v>
      </c>
      <c r="C348" s="306">
        <v>0.52042528724430626</v>
      </c>
      <c r="D348" s="307">
        <v>0.30595199972304205</v>
      </c>
      <c r="E348" s="307">
        <v>0.26501978948400301</v>
      </c>
      <c r="F348" s="307">
        <v>0.21893659368780211</v>
      </c>
      <c r="G348" s="307">
        <v>0.16336122047244095</v>
      </c>
      <c r="H348" s="307">
        <v>0.32489451476793246</v>
      </c>
      <c r="I348" s="307">
        <v>0.87745098039215685</v>
      </c>
      <c r="J348" s="308">
        <v>0.42071126283055482</v>
      </c>
      <c r="K348" s="308">
        <v>0</v>
      </c>
      <c r="L348" s="307">
        <v>0</v>
      </c>
      <c r="M348" s="307">
        <v>0</v>
      </c>
      <c r="N348" s="307">
        <v>0</v>
      </c>
      <c r="O348" s="308">
        <v>0</v>
      </c>
      <c r="P348" s="308">
        <v>0</v>
      </c>
      <c r="Q348" s="307">
        <v>0</v>
      </c>
      <c r="R348" s="308">
        <v>0</v>
      </c>
      <c r="S348" s="308">
        <v>0</v>
      </c>
      <c r="T348" s="308">
        <v>0</v>
      </c>
      <c r="U348" s="308">
        <v>0.42071126283055482</v>
      </c>
      <c r="V348" s="309"/>
    </row>
    <row r="349" spans="1:22">
      <c r="A349" s="304"/>
      <c r="B349" s="305" t="s">
        <v>558</v>
      </c>
      <c r="C349" s="306">
        <v>0.46693258001903437</v>
      </c>
      <c r="D349" s="307">
        <v>0.30807854161198278</v>
      </c>
      <c r="E349" s="307">
        <v>0.26057284170382244</v>
      </c>
      <c r="F349" s="307">
        <v>0.20027000363466432</v>
      </c>
      <c r="G349" s="307">
        <v>0.1237443766561903</v>
      </c>
      <c r="H349" s="307">
        <v>0.21665660832830416</v>
      </c>
      <c r="I349" s="307">
        <v>0.88283582089552237</v>
      </c>
      <c r="J349" s="308">
        <v>0.38390387643660262</v>
      </c>
      <c r="K349" s="308">
        <v>0</v>
      </c>
      <c r="L349" s="307">
        <v>0</v>
      </c>
      <c r="M349" s="307">
        <v>0</v>
      </c>
      <c r="N349" s="307">
        <v>0</v>
      </c>
      <c r="O349" s="308">
        <v>0</v>
      </c>
      <c r="P349" s="308">
        <v>0</v>
      </c>
      <c r="Q349" s="307">
        <v>0</v>
      </c>
      <c r="R349" s="308">
        <v>0</v>
      </c>
      <c r="S349" s="308">
        <v>0</v>
      </c>
      <c r="T349" s="308">
        <v>0</v>
      </c>
      <c r="U349" s="308">
        <v>0.38390387643660262</v>
      </c>
      <c r="V349" s="309"/>
    </row>
    <row r="350" spans="1:22">
      <c r="A350" s="304"/>
      <c r="B350" s="310" t="s">
        <v>559</v>
      </c>
      <c r="C350" s="311">
        <v>-5.3492707225271889</v>
      </c>
      <c r="D350" s="312">
        <v>0.21265418889407361</v>
      </c>
      <c r="E350" s="312">
        <v>-0.44469477801805657</v>
      </c>
      <c r="F350" s="312">
        <v>-1.8666590053137782</v>
      </c>
      <c r="G350" s="312">
        <v>-3.9616843816250649</v>
      </c>
      <c r="H350" s="312">
        <v>-10.82379064396283</v>
      </c>
      <c r="I350" s="312">
        <v>0.53848405033655178</v>
      </c>
      <c r="J350" s="314">
        <v>-3.6807386393952202</v>
      </c>
      <c r="K350" s="314">
        <v>0</v>
      </c>
      <c r="L350" s="312">
        <v>0</v>
      </c>
      <c r="M350" s="312">
        <v>0</v>
      </c>
      <c r="N350" s="312">
        <v>0</v>
      </c>
      <c r="O350" s="314">
        <v>0</v>
      </c>
      <c r="P350" s="314">
        <v>0</v>
      </c>
      <c r="Q350" s="312">
        <v>0</v>
      </c>
      <c r="R350" s="314">
        <v>0</v>
      </c>
      <c r="S350" s="314">
        <v>0</v>
      </c>
      <c r="T350" s="314">
        <v>0</v>
      </c>
      <c r="U350" s="314">
        <v>-3.6807386393952202</v>
      </c>
      <c r="V350" s="309"/>
    </row>
    <row r="351" spans="1:22">
      <c r="A351" s="304"/>
      <c r="B351" s="50" t="s">
        <v>560</v>
      </c>
      <c r="C351" s="301">
        <v>1.5308001910089365E-2</v>
      </c>
      <c r="D351" s="302">
        <v>9.2434720142633344E-3</v>
      </c>
      <c r="E351" s="302">
        <v>9.5645088164295608E-2</v>
      </c>
      <c r="F351" s="302">
        <v>0</v>
      </c>
      <c r="G351" s="302">
        <v>1.6535433070866142E-2</v>
      </c>
      <c r="H351" s="302">
        <v>0</v>
      </c>
      <c r="I351" s="302">
        <v>0</v>
      </c>
      <c r="J351" s="303">
        <v>2.9466435969978257E-2</v>
      </c>
      <c r="K351" s="303">
        <v>0</v>
      </c>
      <c r="L351" s="302">
        <v>0</v>
      </c>
      <c r="M351" s="302">
        <v>0</v>
      </c>
      <c r="N351" s="302">
        <v>0</v>
      </c>
      <c r="O351" s="303">
        <v>0</v>
      </c>
      <c r="P351" s="303">
        <v>0</v>
      </c>
      <c r="Q351" s="302">
        <v>0</v>
      </c>
      <c r="R351" s="303">
        <v>0</v>
      </c>
      <c r="S351" s="303">
        <v>0</v>
      </c>
      <c r="T351" s="303">
        <v>0</v>
      </c>
      <c r="U351" s="303">
        <v>2.9466435969978257E-2</v>
      </c>
      <c r="V351" s="309"/>
    </row>
    <row r="352" spans="1:22">
      <c r="A352" s="304"/>
      <c r="B352" s="305" t="s">
        <v>561</v>
      </c>
      <c r="C352" s="306">
        <v>1.225784526829036E-2</v>
      </c>
      <c r="D352" s="307">
        <v>2.4173814382361158E-2</v>
      </c>
      <c r="E352" s="307">
        <v>0.10747330559913473</v>
      </c>
      <c r="F352" s="307">
        <v>0</v>
      </c>
      <c r="G352" s="307">
        <v>1.1256958566997391E-2</v>
      </c>
      <c r="H352" s="307">
        <v>0</v>
      </c>
      <c r="I352" s="307">
        <v>0</v>
      </c>
      <c r="J352" s="308">
        <v>3.1879273472750859E-2</v>
      </c>
      <c r="K352" s="308">
        <v>0</v>
      </c>
      <c r="L352" s="307">
        <v>0</v>
      </c>
      <c r="M352" s="307">
        <v>0</v>
      </c>
      <c r="N352" s="307">
        <v>0</v>
      </c>
      <c r="O352" s="308">
        <v>0</v>
      </c>
      <c r="P352" s="308">
        <v>0</v>
      </c>
      <c r="Q352" s="307">
        <v>0</v>
      </c>
      <c r="R352" s="308">
        <v>0</v>
      </c>
      <c r="S352" s="308">
        <v>0</v>
      </c>
      <c r="T352" s="308">
        <v>0</v>
      </c>
      <c r="U352" s="308">
        <v>3.1879273472750859E-2</v>
      </c>
      <c r="V352" s="309"/>
    </row>
    <row r="353" spans="1:22">
      <c r="A353" s="304"/>
      <c r="B353" s="310" t="s">
        <v>562</v>
      </c>
      <c r="C353" s="311">
        <v>-0.30501566417990045</v>
      </c>
      <c r="D353" s="312">
        <v>1.4930342368097824</v>
      </c>
      <c r="E353" s="312">
        <v>1.1828217434839126</v>
      </c>
      <c r="F353" s="312">
        <v>0</v>
      </c>
      <c r="G353" s="312">
        <v>-0.52784745038687508</v>
      </c>
      <c r="H353" s="312">
        <v>0</v>
      </c>
      <c r="I353" s="312">
        <v>0</v>
      </c>
      <c r="J353" s="314">
        <v>0.24128375027726023</v>
      </c>
      <c r="K353" s="314">
        <v>0</v>
      </c>
      <c r="L353" s="312">
        <v>0</v>
      </c>
      <c r="M353" s="312">
        <v>0</v>
      </c>
      <c r="N353" s="312">
        <v>0</v>
      </c>
      <c r="O353" s="314">
        <v>0</v>
      </c>
      <c r="P353" s="314">
        <v>0</v>
      </c>
      <c r="Q353" s="312">
        <v>0</v>
      </c>
      <c r="R353" s="314">
        <v>0</v>
      </c>
      <c r="S353" s="314">
        <v>0</v>
      </c>
      <c r="T353" s="314">
        <v>0</v>
      </c>
      <c r="U353" s="314">
        <v>0.24128375027726023</v>
      </c>
      <c r="V353" s="309"/>
    </row>
    <row r="354" spans="1:22">
      <c r="A354" s="304"/>
      <c r="B354" s="50" t="s">
        <v>563</v>
      </c>
      <c r="C354" s="301">
        <v>0.46414391938643251</v>
      </c>
      <c r="D354" s="302">
        <v>0.68430254195480389</v>
      </c>
      <c r="E354" s="302">
        <v>0.63933512235170142</v>
      </c>
      <c r="F354" s="302">
        <v>0.78089280636906455</v>
      </c>
      <c r="G354" s="302">
        <v>0.79424212598425192</v>
      </c>
      <c r="H354" s="302">
        <v>0.67510548523206748</v>
      </c>
      <c r="I354" s="302">
        <v>0.12254901960784313</v>
      </c>
      <c r="J354" s="303">
        <v>0.5484486427085038</v>
      </c>
      <c r="K354" s="303">
        <v>0</v>
      </c>
      <c r="L354" s="302">
        <v>0</v>
      </c>
      <c r="M354" s="302">
        <v>0</v>
      </c>
      <c r="N354" s="302">
        <v>0</v>
      </c>
      <c r="O354" s="303">
        <v>0</v>
      </c>
      <c r="P354" s="303">
        <v>0</v>
      </c>
      <c r="Q354" s="302">
        <v>0</v>
      </c>
      <c r="R354" s="303">
        <v>0</v>
      </c>
      <c r="S354" s="303">
        <v>0</v>
      </c>
      <c r="T354" s="303">
        <v>0</v>
      </c>
      <c r="U354" s="303">
        <v>0.5484486427085038</v>
      </c>
      <c r="V354" s="309"/>
    </row>
    <row r="355" spans="1:22">
      <c r="A355" s="304"/>
      <c r="B355" s="305" t="s">
        <v>564</v>
      </c>
      <c r="C355" s="306">
        <v>0.52078209486227556</v>
      </c>
      <c r="D355" s="307">
        <v>0.66718034258232217</v>
      </c>
      <c r="E355" s="307">
        <v>0.62838239394767303</v>
      </c>
      <c r="F355" s="307">
        <v>0.7610467833220832</v>
      </c>
      <c r="G355" s="307">
        <v>0.83743144142478587</v>
      </c>
      <c r="H355" s="307">
        <v>0.78334339167169587</v>
      </c>
      <c r="I355" s="307">
        <v>0.11716417910447761</v>
      </c>
      <c r="J355" s="308">
        <v>0.58115377344160646</v>
      </c>
      <c r="K355" s="308">
        <v>0</v>
      </c>
      <c r="L355" s="307">
        <v>0</v>
      </c>
      <c r="M355" s="307">
        <v>0</v>
      </c>
      <c r="N355" s="307">
        <v>0</v>
      </c>
      <c r="O355" s="308">
        <v>0</v>
      </c>
      <c r="P355" s="308">
        <v>0</v>
      </c>
      <c r="Q355" s="307">
        <v>0</v>
      </c>
      <c r="R355" s="308">
        <v>0</v>
      </c>
      <c r="S355" s="308">
        <v>0</v>
      </c>
      <c r="T355" s="308">
        <v>0</v>
      </c>
      <c r="U355" s="308">
        <v>0.58115377344160646</v>
      </c>
      <c r="V355" s="309"/>
    </row>
    <row r="356" spans="1:22">
      <c r="A356" s="304"/>
      <c r="B356" s="310" t="s">
        <v>565</v>
      </c>
      <c r="C356" s="311">
        <v>5.6638175475843049</v>
      </c>
      <c r="D356" s="312">
        <v>-1.7122199372481717</v>
      </c>
      <c r="E356" s="312">
        <v>-1.0952728404028389</v>
      </c>
      <c r="F356" s="312">
        <v>-1.9846023046981354</v>
      </c>
      <c r="G356" s="312">
        <v>4.3189315440533953</v>
      </c>
      <c r="H356" s="312">
        <v>10.823790643962838</v>
      </c>
      <c r="I356" s="312">
        <v>-0.53848405033655178</v>
      </c>
      <c r="J356" s="314">
        <v>3.2705130733102661</v>
      </c>
      <c r="K356" s="314">
        <v>0</v>
      </c>
      <c r="L356" s="312">
        <v>0</v>
      </c>
      <c r="M356" s="312">
        <v>0</v>
      </c>
      <c r="N356" s="312">
        <v>0</v>
      </c>
      <c r="O356" s="314">
        <v>0</v>
      </c>
      <c r="P356" s="314">
        <v>0</v>
      </c>
      <c r="Q356" s="312">
        <v>0</v>
      </c>
      <c r="R356" s="314">
        <v>0</v>
      </c>
      <c r="S356" s="314">
        <v>0</v>
      </c>
      <c r="T356" s="314">
        <v>0</v>
      </c>
      <c r="U356" s="314">
        <v>3.2705130733102661</v>
      </c>
      <c r="V356" s="309"/>
    </row>
    <row r="357" spans="1:22">
      <c r="A357" s="304"/>
      <c r="B357" s="50" t="s">
        <v>566</v>
      </c>
      <c r="C357" s="301">
        <v>1.2279145917183982E-4</v>
      </c>
      <c r="D357" s="302">
        <v>5.019863078907055E-4</v>
      </c>
      <c r="E357" s="302">
        <v>0</v>
      </c>
      <c r="F357" s="302">
        <v>1.705999431333523E-4</v>
      </c>
      <c r="G357" s="302">
        <v>7.3818897637795275E-5</v>
      </c>
      <c r="H357" s="302">
        <v>0</v>
      </c>
      <c r="I357" s="302">
        <v>0</v>
      </c>
      <c r="J357" s="303">
        <v>1.484720241296266E-4</v>
      </c>
      <c r="K357" s="303">
        <v>0</v>
      </c>
      <c r="L357" s="302">
        <v>0</v>
      </c>
      <c r="M357" s="302">
        <v>0</v>
      </c>
      <c r="N357" s="302">
        <v>0</v>
      </c>
      <c r="O357" s="303">
        <v>0</v>
      </c>
      <c r="P357" s="303">
        <v>0</v>
      </c>
      <c r="Q357" s="302">
        <v>0</v>
      </c>
      <c r="R357" s="303">
        <v>0</v>
      </c>
      <c r="S357" s="303">
        <v>0</v>
      </c>
      <c r="T357" s="303">
        <v>0</v>
      </c>
      <c r="U357" s="303">
        <v>1.484720241296266E-4</v>
      </c>
      <c r="V357" s="309"/>
    </row>
    <row r="358" spans="1:22">
      <c r="A358" s="304"/>
      <c r="B358" s="305" t="s">
        <v>567</v>
      </c>
      <c r="C358" s="306">
        <v>2.7479850399694425E-5</v>
      </c>
      <c r="D358" s="307">
        <v>5.6730142333386957E-4</v>
      </c>
      <c r="E358" s="307">
        <v>3.5714587493697841E-3</v>
      </c>
      <c r="F358" s="307">
        <v>3.8683213043252507E-2</v>
      </c>
      <c r="G358" s="307">
        <v>6.1625685585752139E-4</v>
      </c>
      <c r="H358" s="307">
        <v>0</v>
      </c>
      <c r="I358" s="307">
        <v>0</v>
      </c>
      <c r="J358" s="308">
        <v>1.6293425914087421E-3</v>
      </c>
      <c r="K358" s="308">
        <v>0</v>
      </c>
      <c r="L358" s="307">
        <v>0</v>
      </c>
      <c r="M358" s="307">
        <v>0</v>
      </c>
      <c r="N358" s="307">
        <v>0</v>
      </c>
      <c r="O358" s="308">
        <v>0</v>
      </c>
      <c r="P358" s="308">
        <v>0</v>
      </c>
      <c r="Q358" s="307">
        <v>0</v>
      </c>
      <c r="R358" s="308">
        <v>0</v>
      </c>
      <c r="S358" s="308">
        <v>0</v>
      </c>
      <c r="T358" s="308">
        <v>0</v>
      </c>
      <c r="U358" s="308">
        <v>1.6293425914087421E-3</v>
      </c>
      <c r="V358" s="309"/>
    </row>
    <row r="359" spans="1:22">
      <c r="A359" s="304"/>
      <c r="B359" s="310" t="s">
        <v>568</v>
      </c>
      <c r="C359" s="311">
        <v>-9.5311608772145392E-3</v>
      </c>
      <c r="D359" s="312">
        <v>6.5315115443164064E-3</v>
      </c>
      <c r="E359" s="312">
        <v>0</v>
      </c>
      <c r="F359" s="312">
        <v>3.8512613100119157</v>
      </c>
      <c r="G359" s="312">
        <v>5.4243795821972612E-2</v>
      </c>
      <c r="H359" s="312">
        <v>0</v>
      </c>
      <c r="I359" s="312">
        <v>0</v>
      </c>
      <c r="J359" s="314">
        <v>0.14808705672791153</v>
      </c>
      <c r="K359" s="314">
        <v>0</v>
      </c>
      <c r="L359" s="312">
        <v>0</v>
      </c>
      <c r="M359" s="312">
        <v>0</v>
      </c>
      <c r="N359" s="312">
        <v>0</v>
      </c>
      <c r="O359" s="314">
        <v>0</v>
      </c>
      <c r="P359" s="314">
        <v>0</v>
      </c>
      <c r="Q359" s="312">
        <v>0</v>
      </c>
      <c r="R359" s="314">
        <v>0</v>
      </c>
      <c r="S359" s="314">
        <v>0</v>
      </c>
      <c r="T359" s="314">
        <v>0</v>
      </c>
      <c r="U359" s="314">
        <v>0.14808705672791153</v>
      </c>
      <c r="V359" s="309"/>
    </row>
    <row r="360" spans="1:22">
      <c r="A360" s="304"/>
      <c r="B360" s="50" t="s">
        <v>569</v>
      </c>
      <c r="C360" s="301">
        <v>0</v>
      </c>
      <c r="D360" s="302">
        <v>0</v>
      </c>
      <c r="E360" s="302">
        <v>0</v>
      </c>
      <c r="F360" s="302">
        <v>0</v>
      </c>
      <c r="G360" s="302">
        <v>2.5787401574803151E-2</v>
      </c>
      <c r="H360" s="302">
        <v>0</v>
      </c>
      <c r="I360" s="302">
        <v>0</v>
      </c>
      <c r="J360" s="303">
        <v>1.2251864668334541E-3</v>
      </c>
      <c r="K360" s="303">
        <v>0</v>
      </c>
      <c r="L360" s="302">
        <v>0</v>
      </c>
      <c r="M360" s="302">
        <v>0</v>
      </c>
      <c r="N360" s="302">
        <v>0</v>
      </c>
      <c r="O360" s="303">
        <v>0</v>
      </c>
      <c r="P360" s="303">
        <v>0</v>
      </c>
      <c r="Q360" s="302">
        <v>0</v>
      </c>
      <c r="R360" s="303">
        <v>0</v>
      </c>
      <c r="S360" s="303">
        <v>0</v>
      </c>
      <c r="T360" s="303">
        <v>0</v>
      </c>
      <c r="U360" s="303">
        <v>1.2251864668334541E-3</v>
      </c>
      <c r="V360" s="309"/>
    </row>
    <row r="361" spans="1:22">
      <c r="A361" s="304"/>
      <c r="B361" s="305" t="s">
        <v>570</v>
      </c>
      <c r="C361" s="306">
        <v>0</v>
      </c>
      <c r="D361" s="307">
        <v>0</v>
      </c>
      <c r="E361" s="307">
        <v>0</v>
      </c>
      <c r="F361" s="307">
        <v>0</v>
      </c>
      <c r="G361" s="307">
        <v>2.6950966496168936E-2</v>
      </c>
      <c r="H361" s="307">
        <v>0</v>
      </c>
      <c r="I361" s="307">
        <v>0</v>
      </c>
      <c r="J361" s="308">
        <v>1.4337340576313009E-3</v>
      </c>
      <c r="K361" s="308">
        <v>0</v>
      </c>
      <c r="L361" s="307">
        <v>0</v>
      </c>
      <c r="M361" s="307">
        <v>0</v>
      </c>
      <c r="N361" s="307">
        <v>0</v>
      </c>
      <c r="O361" s="308">
        <v>0</v>
      </c>
      <c r="P361" s="308">
        <v>0</v>
      </c>
      <c r="Q361" s="307">
        <v>0</v>
      </c>
      <c r="R361" s="308">
        <v>0</v>
      </c>
      <c r="S361" s="308">
        <v>0</v>
      </c>
      <c r="T361" s="308">
        <v>0</v>
      </c>
      <c r="U361" s="308">
        <v>1.4337340576313009E-3</v>
      </c>
      <c r="V361" s="309"/>
    </row>
    <row r="362" spans="1:22">
      <c r="A362" s="304"/>
      <c r="B362" s="310" t="s">
        <v>571</v>
      </c>
      <c r="C362" s="311">
        <v>0</v>
      </c>
      <c r="D362" s="312">
        <v>0</v>
      </c>
      <c r="E362" s="312">
        <v>0</v>
      </c>
      <c r="F362" s="312">
        <v>0</v>
      </c>
      <c r="G362" s="312">
        <v>0.11635649213657846</v>
      </c>
      <c r="H362" s="312">
        <v>0</v>
      </c>
      <c r="I362" s="312">
        <v>0</v>
      </c>
      <c r="J362" s="314">
        <v>2.0854759079784672E-2</v>
      </c>
      <c r="K362" s="314">
        <v>0</v>
      </c>
      <c r="L362" s="312">
        <v>0</v>
      </c>
      <c r="M362" s="312">
        <v>0</v>
      </c>
      <c r="N362" s="312">
        <v>0</v>
      </c>
      <c r="O362" s="314">
        <v>0</v>
      </c>
      <c r="P362" s="314">
        <v>0</v>
      </c>
      <c r="Q362" s="312">
        <v>0</v>
      </c>
      <c r="R362" s="314">
        <v>0</v>
      </c>
      <c r="S362" s="314">
        <v>0</v>
      </c>
      <c r="T362" s="314">
        <v>0</v>
      </c>
      <c r="U362" s="314">
        <v>2.0854759079784672E-2</v>
      </c>
      <c r="V362" s="309"/>
    </row>
    <row r="363" spans="1:22">
      <c r="A363" s="304"/>
      <c r="B363" s="50" t="s">
        <v>572</v>
      </c>
      <c r="C363" s="301">
        <v>0</v>
      </c>
      <c r="D363" s="302">
        <v>0</v>
      </c>
      <c r="E363" s="302">
        <v>0</v>
      </c>
      <c r="F363" s="302">
        <v>0</v>
      </c>
      <c r="G363" s="302">
        <v>0</v>
      </c>
      <c r="H363" s="302">
        <v>0</v>
      </c>
      <c r="I363" s="302">
        <v>0</v>
      </c>
      <c r="J363" s="303">
        <v>0</v>
      </c>
      <c r="K363" s="303">
        <v>0</v>
      </c>
      <c r="L363" s="302">
        <v>0</v>
      </c>
      <c r="M363" s="302">
        <v>0</v>
      </c>
      <c r="N363" s="302">
        <v>0</v>
      </c>
      <c r="O363" s="303">
        <v>0</v>
      </c>
      <c r="P363" s="303">
        <v>0</v>
      </c>
      <c r="Q363" s="302">
        <v>0</v>
      </c>
      <c r="R363" s="303">
        <v>0</v>
      </c>
      <c r="S363" s="303">
        <v>0</v>
      </c>
      <c r="T363" s="303">
        <v>0</v>
      </c>
      <c r="U363" s="303">
        <v>0</v>
      </c>
      <c r="V363" s="309"/>
    </row>
    <row r="364" spans="1:22">
      <c r="A364" s="304"/>
      <c r="B364" s="305" t="s">
        <v>573</v>
      </c>
      <c r="C364" s="306">
        <v>0</v>
      </c>
      <c r="D364" s="307">
        <v>0</v>
      </c>
      <c r="E364" s="307">
        <v>0</v>
      </c>
      <c r="F364" s="307">
        <v>0</v>
      </c>
      <c r="G364" s="307">
        <v>0</v>
      </c>
      <c r="H364" s="307">
        <v>0</v>
      </c>
      <c r="I364" s="307">
        <v>0</v>
      </c>
      <c r="J364" s="308">
        <v>0</v>
      </c>
      <c r="K364" s="308">
        <v>0</v>
      </c>
      <c r="L364" s="307">
        <v>0</v>
      </c>
      <c r="M364" s="307">
        <v>0</v>
      </c>
      <c r="N364" s="307">
        <v>0</v>
      </c>
      <c r="O364" s="308">
        <v>0</v>
      </c>
      <c r="P364" s="308">
        <v>0</v>
      </c>
      <c r="Q364" s="307">
        <v>0</v>
      </c>
      <c r="R364" s="308">
        <v>0</v>
      </c>
      <c r="S364" s="308">
        <v>0</v>
      </c>
      <c r="T364" s="308">
        <v>0</v>
      </c>
      <c r="U364" s="308">
        <v>0</v>
      </c>
      <c r="V364" s="309"/>
    </row>
    <row r="365" spans="1:22" ht="15.75" thickBot="1">
      <c r="A365" s="320"/>
      <c r="B365" s="321" t="s">
        <v>574</v>
      </c>
      <c r="C365" s="322">
        <v>0</v>
      </c>
      <c r="D365" s="323">
        <v>0</v>
      </c>
      <c r="E365" s="323">
        <v>0</v>
      </c>
      <c r="F365" s="323">
        <v>0</v>
      </c>
      <c r="G365" s="323">
        <v>0</v>
      </c>
      <c r="H365" s="323">
        <v>0</v>
      </c>
      <c r="I365" s="323">
        <v>0</v>
      </c>
      <c r="J365" s="324">
        <v>0</v>
      </c>
      <c r="K365" s="324">
        <v>0</v>
      </c>
      <c r="L365" s="323">
        <v>0</v>
      </c>
      <c r="M365" s="323">
        <v>0</v>
      </c>
      <c r="N365" s="323">
        <v>0</v>
      </c>
      <c r="O365" s="324">
        <v>0</v>
      </c>
      <c r="P365" s="324">
        <v>0</v>
      </c>
      <c r="Q365" s="323">
        <v>0</v>
      </c>
      <c r="R365" s="324">
        <v>0</v>
      </c>
      <c r="S365" s="324">
        <v>0</v>
      </c>
      <c r="T365" s="324">
        <v>0</v>
      </c>
      <c r="U365" s="324">
        <v>0</v>
      </c>
      <c r="V365" s="309"/>
    </row>
    <row r="366" spans="1:22">
      <c r="A366" s="300" t="s">
        <v>352</v>
      </c>
      <c r="B366" s="50" t="s">
        <v>539</v>
      </c>
      <c r="C366" s="301">
        <v>0</v>
      </c>
      <c r="D366" s="302">
        <v>0</v>
      </c>
      <c r="E366" s="302">
        <v>0</v>
      </c>
      <c r="F366" s="302">
        <v>0</v>
      </c>
      <c r="G366" s="302">
        <v>0</v>
      </c>
      <c r="H366" s="302">
        <v>0</v>
      </c>
      <c r="I366" s="302">
        <v>0</v>
      </c>
      <c r="J366" s="303">
        <v>0</v>
      </c>
      <c r="K366" s="303">
        <v>0</v>
      </c>
      <c r="L366" s="302">
        <v>0</v>
      </c>
      <c r="M366" s="302">
        <v>0</v>
      </c>
      <c r="N366" s="302">
        <v>0</v>
      </c>
      <c r="O366" s="303">
        <v>0</v>
      </c>
      <c r="P366" s="303">
        <v>0</v>
      </c>
      <c r="Q366" s="302">
        <v>0</v>
      </c>
      <c r="R366" s="303">
        <v>0</v>
      </c>
      <c r="S366" s="303">
        <v>0</v>
      </c>
      <c r="T366" s="303">
        <v>0</v>
      </c>
      <c r="U366" s="303">
        <v>0</v>
      </c>
      <c r="V366" s="309"/>
    </row>
    <row r="367" spans="1:22">
      <c r="A367" s="304"/>
      <c r="B367" s="305" t="s">
        <v>540</v>
      </c>
      <c r="C367" s="306">
        <v>0</v>
      </c>
      <c r="D367" s="307">
        <v>0</v>
      </c>
      <c r="E367" s="307">
        <v>0</v>
      </c>
      <c r="F367" s="307">
        <v>0</v>
      </c>
      <c r="G367" s="307">
        <v>0</v>
      </c>
      <c r="H367" s="307">
        <v>0</v>
      </c>
      <c r="I367" s="307">
        <v>0</v>
      </c>
      <c r="J367" s="308">
        <v>0</v>
      </c>
      <c r="K367" s="308">
        <v>0</v>
      </c>
      <c r="L367" s="307">
        <v>0</v>
      </c>
      <c r="M367" s="307">
        <v>0</v>
      </c>
      <c r="N367" s="307">
        <v>0</v>
      </c>
      <c r="O367" s="308">
        <v>0</v>
      </c>
      <c r="P367" s="308">
        <v>0</v>
      </c>
      <c r="Q367" s="307">
        <v>0</v>
      </c>
      <c r="R367" s="308">
        <v>0</v>
      </c>
      <c r="S367" s="308">
        <v>0</v>
      </c>
      <c r="T367" s="308">
        <v>0</v>
      </c>
      <c r="U367" s="308">
        <v>0</v>
      </c>
      <c r="V367" s="309"/>
    </row>
    <row r="368" spans="1:22">
      <c r="A368" s="304"/>
      <c r="B368" s="310" t="s">
        <v>541</v>
      </c>
      <c r="C368" s="311">
        <v>0</v>
      </c>
      <c r="D368" s="312">
        <v>0</v>
      </c>
      <c r="E368" s="312">
        <v>0</v>
      </c>
      <c r="F368" s="312">
        <v>0</v>
      </c>
      <c r="G368" s="312">
        <v>0</v>
      </c>
      <c r="H368" s="312">
        <v>0</v>
      </c>
      <c r="I368" s="312">
        <v>0</v>
      </c>
      <c r="J368" s="314">
        <v>0</v>
      </c>
      <c r="K368" s="314">
        <v>0</v>
      </c>
      <c r="L368" s="312">
        <v>0</v>
      </c>
      <c r="M368" s="312">
        <v>0</v>
      </c>
      <c r="N368" s="312">
        <v>0</v>
      </c>
      <c r="O368" s="314">
        <v>0</v>
      </c>
      <c r="P368" s="314">
        <v>0</v>
      </c>
      <c r="Q368" s="312">
        <v>0</v>
      </c>
      <c r="R368" s="314">
        <v>0</v>
      </c>
      <c r="S368" s="314">
        <v>0</v>
      </c>
      <c r="T368" s="314">
        <v>0</v>
      </c>
      <c r="U368" s="314">
        <v>0</v>
      </c>
      <c r="V368" s="309"/>
    </row>
    <row r="369" spans="1:22">
      <c r="A369" s="304"/>
      <c r="B369" s="50" t="s">
        <v>542</v>
      </c>
      <c r="C369" s="301">
        <v>0</v>
      </c>
      <c r="D369" s="302">
        <v>0</v>
      </c>
      <c r="E369" s="302">
        <v>0</v>
      </c>
      <c r="F369" s="302">
        <v>0</v>
      </c>
      <c r="G369" s="302">
        <v>0</v>
      </c>
      <c r="H369" s="302">
        <v>0</v>
      </c>
      <c r="I369" s="302">
        <v>0</v>
      </c>
      <c r="J369" s="303">
        <v>0</v>
      </c>
      <c r="K369" s="303">
        <v>0</v>
      </c>
      <c r="L369" s="302">
        <v>0</v>
      </c>
      <c r="M369" s="302">
        <v>0</v>
      </c>
      <c r="N369" s="302">
        <v>0</v>
      </c>
      <c r="O369" s="303">
        <v>0</v>
      </c>
      <c r="P369" s="303">
        <v>0</v>
      </c>
      <c r="Q369" s="302">
        <v>0</v>
      </c>
      <c r="R369" s="303">
        <v>0</v>
      </c>
      <c r="S369" s="303">
        <v>0</v>
      </c>
      <c r="T369" s="303">
        <v>0</v>
      </c>
      <c r="U369" s="303">
        <v>0</v>
      </c>
      <c r="V369" s="309"/>
    </row>
    <row r="370" spans="1:22">
      <c r="A370" s="304"/>
      <c r="B370" s="305" t="s">
        <v>543</v>
      </c>
      <c r="C370" s="306">
        <v>0</v>
      </c>
      <c r="D370" s="307">
        <v>0</v>
      </c>
      <c r="E370" s="307">
        <v>0</v>
      </c>
      <c r="F370" s="307">
        <v>0</v>
      </c>
      <c r="G370" s="307">
        <v>0</v>
      </c>
      <c r="H370" s="307">
        <v>0</v>
      </c>
      <c r="I370" s="307">
        <v>0</v>
      </c>
      <c r="J370" s="308">
        <v>0</v>
      </c>
      <c r="K370" s="308">
        <v>0</v>
      </c>
      <c r="L370" s="307">
        <v>0</v>
      </c>
      <c r="M370" s="307">
        <v>0</v>
      </c>
      <c r="N370" s="307">
        <v>0</v>
      </c>
      <c r="O370" s="308">
        <v>0</v>
      </c>
      <c r="P370" s="308">
        <v>0</v>
      </c>
      <c r="Q370" s="307">
        <v>0</v>
      </c>
      <c r="R370" s="308">
        <v>0</v>
      </c>
      <c r="S370" s="308">
        <v>0</v>
      </c>
      <c r="T370" s="308">
        <v>0</v>
      </c>
      <c r="U370" s="308">
        <v>0</v>
      </c>
      <c r="V370" s="309"/>
    </row>
    <row r="371" spans="1:22">
      <c r="A371" s="304"/>
      <c r="B371" s="310" t="s">
        <v>544</v>
      </c>
      <c r="C371" s="311">
        <v>0</v>
      </c>
      <c r="D371" s="312">
        <v>0</v>
      </c>
      <c r="E371" s="312">
        <v>0</v>
      </c>
      <c r="F371" s="312">
        <v>0</v>
      </c>
      <c r="G371" s="312">
        <v>0</v>
      </c>
      <c r="H371" s="312">
        <v>0</v>
      </c>
      <c r="I371" s="312">
        <v>0</v>
      </c>
      <c r="J371" s="314">
        <v>0</v>
      </c>
      <c r="K371" s="314">
        <v>0</v>
      </c>
      <c r="L371" s="312">
        <v>0</v>
      </c>
      <c r="M371" s="312">
        <v>0</v>
      </c>
      <c r="N371" s="312">
        <v>0</v>
      </c>
      <c r="O371" s="314">
        <v>0</v>
      </c>
      <c r="P371" s="314">
        <v>0</v>
      </c>
      <c r="Q371" s="312">
        <v>0</v>
      </c>
      <c r="R371" s="314">
        <v>0</v>
      </c>
      <c r="S371" s="314">
        <v>0</v>
      </c>
      <c r="T371" s="314">
        <v>0</v>
      </c>
      <c r="U371" s="314">
        <v>0</v>
      </c>
      <c r="V371" s="309"/>
    </row>
    <row r="372" spans="1:22">
      <c r="A372" s="304"/>
      <c r="B372" s="50" t="s">
        <v>545</v>
      </c>
      <c r="C372" s="301">
        <v>0</v>
      </c>
      <c r="D372" s="302">
        <v>0</v>
      </c>
      <c r="E372" s="302">
        <v>0</v>
      </c>
      <c r="F372" s="302">
        <v>0</v>
      </c>
      <c r="G372" s="302">
        <v>0</v>
      </c>
      <c r="H372" s="302">
        <v>0</v>
      </c>
      <c r="I372" s="302">
        <v>0</v>
      </c>
      <c r="J372" s="303">
        <v>0</v>
      </c>
      <c r="K372" s="303">
        <v>0</v>
      </c>
      <c r="L372" s="302">
        <v>0</v>
      </c>
      <c r="M372" s="302">
        <v>0</v>
      </c>
      <c r="N372" s="302">
        <v>0</v>
      </c>
      <c r="O372" s="303">
        <v>0</v>
      </c>
      <c r="P372" s="303">
        <v>0</v>
      </c>
      <c r="Q372" s="302">
        <v>0</v>
      </c>
      <c r="R372" s="303">
        <v>0</v>
      </c>
      <c r="S372" s="303">
        <v>0</v>
      </c>
      <c r="T372" s="303">
        <v>0</v>
      </c>
      <c r="U372" s="303">
        <v>0</v>
      </c>
      <c r="V372" s="309"/>
    </row>
    <row r="373" spans="1:22">
      <c r="A373" s="304"/>
      <c r="B373" s="305" t="s">
        <v>546</v>
      </c>
      <c r="C373" s="306">
        <v>0</v>
      </c>
      <c r="D373" s="307">
        <v>0</v>
      </c>
      <c r="E373" s="307">
        <v>0</v>
      </c>
      <c r="F373" s="307">
        <v>0</v>
      </c>
      <c r="G373" s="307">
        <v>0</v>
      </c>
      <c r="H373" s="307">
        <v>0</v>
      </c>
      <c r="I373" s="307">
        <v>0</v>
      </c>
      <c r="J373" s="308">
        <v>0</v>
      </c>
      <c r="K373" s="308">
        <v>0</v>
      </c>
      <c r="L373" s="307">
        <v>0</v>
      </c>
      <c r="M373" s="307">
        <v>0</v>
      </c>
      <c r="N373" s="307">
        <v>0</v>
      </c>
      <c r="O373" s="308">
        <v>0</v>
      </c>
      <c r="P373" s="308">
        <v>0</v>
      </c>
      <c r="Q373" s="307">
        <v>0</v>
      </c>
      <c r="R373" s="308">
        <v>0</v>
      </c>
      <c r="S373" s="308">
        <v>0</v>
      </c>
      <c r="T373" s="308">
        <v>0</v>
      </c>
      <c r="U373" s="308">
        <v>0</v>
      </c>
      <c r="V373" s="309"/>
    </row>
    <row r="374" spans="1:22">
      <c r="A374" s="304"/>
      <c r="B374" s="310" t="s">
        <v>547</v>
      </c>
      <c r="C374" s="311">
        <v>0</v>
      </c>
      <c r="D374" s="312">
        <v>0</v>
      </c>
      <c r="E374" s="312">
        <v>0</v>
      </c>
      <c r="F374" s="312">
        <v>0</v>
      </c>
      <c r="G374" s="312">
        <v>0</v>
      </c>
      <c r="H374" s="312">
        <v>0</v>
      </c>
      <c r="I374" s="312">
        <v>0</v>
      </c>
      <c r="J374" s="314">
        <v>0</v>
      </c>
      <c r="K374" s="314">
        <v>0</v>
      </c>
      <c r="L374" s="312">
        <v>0</v>
      </c>
      <c r="M374" s="312">
        <v>0</v>
      </c>
      <c r="N374" s="312">
        <v>0</v>
      </c>
      <c r="O374" s="314">
        <v>0</v>
      </c>
      <c r="P374" s="314">
        <v>0</v>
      </c>
      <c r="Q374" s="312">
        <v>0</v>
      </c>
      <c r="R374" s="314">
        <v>0</v>
      </c>
      <c r="S374" s="314">
        <v>0</v>
      </c>
      <c r="T374" s="314">
        <v>0</v>
      </c>
      <c r="U374" s="314">
        <v>0</v>
      </c>
      <c r="V374" s="309"/>
    </row>
    <row r="375" spans="1:22">
      <c r="A375" s="304"/>
      <c r="B375" s="50" t="s">
        <v>548</v>
      </c>
      <c r="C375" s="301">
        <v>0</v>
      </c>
      <c r="D375" s="302">
        <v>0</v>
      </c>
      <c r="E375" s="302">
        <v>0</v>
      </c>
      <c r="F375" s="302">
        <v>0</v>
      </c>
      <c r="G375" s="302">
        <v>0</v>
      </c>
      <c r="H375" s="302">
        <v>0</v>
      </c>
      <c r="I375" s="302">
        <v>0</v>
      </c>
      <c r="J375" s="303">
        <v>0</v>
      </c>
      <c r="K375" s="303">
        <v>0</v>
      </c>
      <c r="L375" s="302">
        <v>0</v>
      </c>
      <c r="M375" s="302">
        <v>0</v>
      </c>
      <c r="N375" s="302">
        <v>0</v>
      </c>
      <c r="O375" s="303">
        <v>0</v>
      </c>
      <c r="P375" s="303">
        <v>0</v>
      </c>
      <c r="Q375" s="302">
        <v>0</v>
      </c>
      <c r="R375" s="303">
        <v>0</v>
      </c>
      <c r="S375" s="303">
        <v>0</v>
      </c>
      <c r="T375" s="303">
        <v>0</v>
      </c>
      <c r="U375" s="303">
        <v>0</v>
      </c>
      <c r="V375" s="309"/>
    </row>
    <row r="376" spans="1:22">
      <c r="A376" s="304"/>
      <c r="B376" s="305" t="s">
        <v>549</v>
      </c>
      <c r="C376" s="306">
        <v>0</v>
      </c>
      <c r="D376" s="307">
        <v>0</v>
      </c>
      <c r="E376" s="307">
        <v>0</v>
      </c>
      <c r="F376" s="307">
        <v>0</v>
      </c>
      <c r="G376" s="307">
        <v>0</v>
      </c>
      <c r="H376" s="307">
        <v>0</v>
      </c>
      <c r="I376" s="307">
        <v>0</v>
      </c>
      <c r="J376" s="308">
        <v>0</v>
      </c>
      <c r="K376" s="308">
        <v>0</v>
      </c>
      <c r="L376" s="307">
        <v>0</v>
      </c>
      <c r="M376" s="307">
        <v>0</v>
      </c>
      <c r="N376" s="307">
        <v>0</v>
      </c>
      <c r="O376" s="308">
        <v>0</v>
      </c>
      <c r="P376" s="308">
        <v>0</v>
      </c>
      <c r="Q376" s="307">
        <v>0</v>
      </c>
      <c r="R376" s="308">
        <v>0</v>
      </c>
      <c r="S376" s="308">
        <v>0</v>
      </c>
      <c r="T376" s="308">
        <v>0</v>
      </c>
      <c r="U376" s="308">
        <v>0</v>
      </c>
      <c r="V376" s="309"/>
    </row>
    <row r="377" spans="1:22">
      <c r="A377" s="304"/>
      <c r="B377" s="310" t="s">
        <v>550</v>
      </c>
      <c r="C377" s="311">
        <v>0</v>
      </c>
      <c r="D377" s="312">
        <v>0</v>
      </c>
      <c r="E377" s="312">
        <v>0</v>
      </c>
      <c r="F377" s="312">
        <v>0</v>
      </c>
      <c r="G377" s="312">
        <v>0</v>
      </c>
      <c r="H377" s="312">
        <v>0</v>
      </c>
      <c r="I377" s="312">
        <v>0</v>
      </c>
      <c r="J377" s="314">
        <v>0</v>
      </c>
      <c r="K377" s="314">
        <v>0</v>
      </c>
      <c r="L377" s="312">
        <v>0</v>
      </c>
      <c r="M377" s="312">
        <v>0</v>
      </c>
      <c r="N377" s="312">
        <v>0</v>
      </c>
      <c r="O377" s="314">
        <v>0</v>
      </c>
      <c r="P377" s="314">
        <v>0</v>
      </c>
      <c r="Q377" s="312">
        <v>0</v>
      </c>
      <c r="R377" s="314">
        <v>0</v>
      </c>
      <c r="S377" s="314">
        <v>0</v>
      </c>
      <c r="T377" s="314">
        <v>0</v>
      </c>
      <c r="U377" s="314">
        <v>0</v>
      </c>
      <c r="V377" s="309"/>
    </row>
    <row r="378" spans="1:22">
      <c r="A378" s="304"/>
      <c r="B378" s="50" t="s">
        <v>551</v>
      </c>
      <c r="C378" s="301">
        <v>0</v>
      </c>
      <c r="D378" s="302">
        <v>0</v>
      </c>
      <c r="E378" s="302">
        <v>0</v>
      </c>
      <c r="F378" s="302">
        <v>0</v>
      </c>
      <c r="G378" s="302">
        <v>0</v>
      </c>
      <c r="H378" s="302">
        <v>0</v>
      </c>
      <c r="I378" s="302">
        <v>0</v>
      </c>
      <c r="J378" s="303">
        <v>0</v>
      </c>
      <c r="K378" s="303">
        <v>0</v>
      </c>
      <c r="L378" s="302">
        <v>0</v>
      </c>
      <c r="M378" s="302">
        <v>0</v>
      </c>
      <c r="N378" s="302">
        <v>0</v>
      </c>
      <c r="O378" s="303">
        <v>0</v>
      </c>
      <c r="P378" s="303">
        <v>0</v>
      </c>
      <c r="Q378" s="302">
        <v>0</v>
      </c>
      <c r="R378" s="303">
        <v>0</v>
      </c>
      <c r="S378" s="303">
        <v>0</v>
      </c>
      <c r="T378" s="303">
        <v>0</v>
      </c>
      <c r="U378" s="303">
        <v>0</v>
      </c>
      <c r="V378" s="309"/>
    </row>
    <row r="379" spans="1:22">
      <c r="A379" s="304"/>
      <c r="B379" s="305" t="s">
        <v>552</v>
      </c>
      <c r="C379" s="306">
        <v>0</v>
      </c>
      <c r="D379" s="307">
        <v>0</v>
      </c>
      <c r="E379" s="307">
        <v>0</v>
      </c>
      <c r="F379" s="307">
        <v>0</v>
      </c>
      <c r="G379" s="307">
        <v>0</v>
      </c>
      <c r="H379" s="307">
        <v>0</v>
      </c>
      <c r="I379" s="307">
        <v>0</v>
      </c>
      <c r="J379" s="308">
        <v>0</v>
      </c>
      <c r="K379" s="308">
        <v>0</v>
      </c>
      <c r="L379" s="307">
        <v>0</v>
      </c>
      <c r="M379" s="307">
        <v>0</v>
      </c>
      <c r="N379" s="307">
        <v>0</v>
      </c>
      <c r="O379" s="308">
        <v>0</v>
      </c>
      <c r="P379" s="308">
        <v>0</v>
      </c>
      <c r="Q379" s="307">
        <v>0</v>
      </c>
      <c r="R379" s="308">
        <v>0</v>
      </c>
      <c r="S379" s="308">
        <v>0</v>
      </c>
      <c r="T379" s="308">
        <v>0</v>
      </c>
      <c r="U379" s="308">
        <v>0</v>
      </c>
      <c r="V379" s="309"/>
    </row>
    <row r="380" spans="1:22">
      <c r="A380" s="304"/>
      <c r="B380" s="310" t="s">
        <v>553</v>
      </c>
      <c r="C380" s="311">
        <v>0</v>
      </c>
      <c r="D380" s="312">
        <v>0</v>
      </c>
      <c r="E380" s="312">
        <v>0</v>
      </c>
      <c r="F380" s="312">
        <v>0</v>
      </c>
      <c r="G380" s="312">
        <v>0</v>
      </c>
      <c r="H380" s="312">
        <v>0</v>
      </c>
      <c r="I380" s="312">
        <v>0</v>
      </c>
      <c r="J380" s="314">
        <v>0</v>
      </c>
      <c r="K380" s="314">
        <v>0</v>
      </c>
      <c r="L380" s="312">
        <v>0</v>
      </c>
      <c r="M380" s="312">
        <v>0</v>
      </c>
      <c r="N380" s="312">
        <v>0</v>
      </c>
      <c r="O380" s="314">
        <v>0</v>
      </c>
      <c r="P380" s="314">
        <v>0</v>
      </c>
      <c r="Q380" s="312">
        <v>0</v>
      </c>
      <c r="R380" s="314">
        <v>0</v>
      </c>
      <c r="S380" s="314">
        <v>0</v>
      </c>
      <c r="T380" s="314">
        <v>0</v>
      </c>
      <c r="U380" s="314">
        <v>0</v>
      </c>
      <c r="V380" s="309"/>
    </row>
    <row r="381" spans="1:22">
      <c r="A381" s="304"/>
      <c r="B381" s="50" t="s">
        <v>554</v>
      </c>
      <c r="C381" s="301">
        <v>0</v>
      </c>
      <c r="D381" s="302">
        <v>0</v>
      </c>
      <c r="E381" s="302">
        <v>0</v>
      </c>
      <c r="F381" s="302">
        <v>0</v>
      </c>
      <c r="G381" s="302">
        <v>0</v>
      </c>
      <c r="H381" s="302">
        <v>0</v>
      </c>
      <c r="I381" s="302">
        <v>0</v>
      </c>
      <c r="J381" s="303">
        <v>0</v>
      </c>
      <c r="K381" s="303">
        <v>0</v>
      </c>
      <c r="L381" s="302">
        <v>0</v>
      </c>
      <c r="M381" s="302">
        <v>0</v>
      </c>
      <c r="N381" s="302">
        <v>0</v>
      </c>
      <c r="O381" s="303">
        <v>0</v>
      </c>
      <c r="P381" s="303">
        <v>0</v>
      </c>
      <c r="Q381" s="302">
        <v>0</v>
      </c>
      <c r="R381" s="303">
        <v>0</v>
      </c>
      <c r="S381" s="303">
        <v>0</v>
      </c>
      <c r="T381" s="303">
        <v>0</v>
      </c>
      <c r="U381" s="303">
        <v>0</v>
      </c>
      <c r="V381" s="309"/>
    </row>
    <row r="382" spans="1:22">
      <c r="A382" s="304"/>
      <c r="B382" s="305" t="s">
        <v>555</v>
      </c>
      <c r="C382" s="306">
        <v>0</v>
      </c>
      <c r="D382" s="307">
        <v>0</v>
      </c>
      <c r="E382" s="307">
        <v>0</v>
      </c>
      <c r="F382" s="307">
        <v>0</v>
      </c>
      <c r="G382" s="307">
        <v>0</v>
      </c>
      <c r="H382" s="307">
        <v>0</v>
      </c>
      <c r="I382" s="307">
        <v>0</v>
      </c>
      <c r="J382" s="308">
        <v>0</v>
      </c>
      <c r="K382" s="308">
        <v>0</v>
      </c>
      <c r="L382" s="307">
        <v>0</v>
      </c>
      <c r="M382" s="307">
        <v>0</v>
      </c>
      <c r="N382" s="307">
        <v>0</v>
      </c>
      <c r="O382" s="308">
        <v>0</v>
      </c>
      <c r="P382" s="308">
        <v>0</v>
      </c>
      <c r="Q382" s="307">
        <v>0</v>
      </c>
      <c r="R382" s="308">
        <v>0</v>
      </c>
      <c r="S382" s="308">
        <v>0</v>
      </c>
      <c r="T382" s="308">
        <v>0</v>
      </c>
      <c r="U382" s="308">
        <v>0</v>
      </c>
      <c r="V382" s="309"/>
    </row>
    <row r="383" spans="1:22" ht="15.75" thickBot="1">
      <c r="A383" s="304"/>
      <c r="B383" s="316" t="s">
        <v>556</v>
      </c>
      <c r="C383" s="317">
        <v>0</v>
      </c>
      <c r="D383" s="318">
        <v>0</v>
      </c>
      <c r="E383" s="318">
        <v>0</v>
      </c>
      <c r="F383" s="318">
        <v>0</v>
      </c>
      <c r="G383" s="318">
        <v>0</v>
      </c>
      <c r="H383" s="318">
        <v>0</v>
      </c>
      <c r="I383" s="318">
        <v>0</v>
      </c>
      <c r="J383" s="319">
        <v>0</v>
      </c>
      <c r="K383" s="319">
        <v>0</v>
      </c>
      <c r="L383" s="318">
        <v>0</v>
      </c>
      <c r="M383" s="318">
        <v>0</v>
      </c>
      <c r="N383" s="318">
        <v>0</v>
      </c>
      <c r="O383" s="319">
        <v>0</v>
      </c>
      <c r="P383" s="319">
        <v>0</v>
      </c>
      <c r="Q383" s="318">
        <v>0</v>
      </c>
      <c r="R383" s="319">
        <v>0</v>
      </c>
      <c r="S383" s="319">
        <v>0</v>
      </c>
      <c r="T383" s="319">
        <v>0</v>
      </c>
      <c r="U383" s="319">
        <v>0</v>
      </c>
      <c r="V383" s="309"/>
    </row>
    <row r="384" spans="1:22" ht="15.75" thickTop="1">
      <c r="A384" s="304"/>
      <c r="B384" s="305" t="s">
        <v>557</v>
      </c>
      <c r="C384" s="306">
        <v>0</v>
      </c>
      <c r="D384" s="307">
        <v>0</v>
      </c>
      <c r="E384" s="307">
        <v>0</v>
      </c>
      <c r="F384" s="307">
        <v>0</v>
      </c>
      <c r="G384" s="307">
        <v>0</v>
      </c>
      <c r="H384" s="307">
        <v>0</v>
      </c>
      <c r="I384" s="307">
        <v>0</v>
      </c>
      <c r="J384" s="308">
        <v>0</v>
      </c>
      <c r="K384" s="308">
        <v>0</v>
      </c>
      <c r="L384" s="307">
        <v>0</v>
      </c>
      <c r="M384" s="307">
        <v>0</v>
      </c>
      <c r="N384" s="307">
        <v>0</v>
      </c>
      <c r="O384" s="308">
        <v>0</v>
      </c>
      <c r="P384" s="308">
        <v>0</v>
      </c>
      <c r="Q384" s="307">
        <v>0</v>
      </c>
      <c r="R384" s="308">
        <v>0</v>
      </c>
      <c r="S384" s="308">
        <v>0</v>
      </c>
      <c r="T384" s="308">
        <v>0</v>
      </c>
      <c r="U384" s="308">
        <v>0</v>
      </c>
      <c r="V384" s="309"/>
    </row>
    <row r="385" spans="1:22">
      <c r="A385" s="304"/>
      <c r="B385" s="305" t="s">
        <v>558</v>
      </c>
      <c r="C385" s="306">
        <v>0</v>
      </c>
      <c r="D385" s="307">
        <v>0</v>
      </c>
      <c r="E385" s="307">
        <v>0</v>
      </c>
      <c r="F385" s="307">
        <v>0</v>
      </c>
      <c r="G385" s="307">
        <v>0</v>
      </c>
      <c r="H385" s="307">
        <v>0</v>
      </c>
      <c r="I385" s="307">
        <v>0</v>
      </c>
      <c r="J385" s="308">
        <v>0</v>
      </c>
      <c r="K385" s="308">
        <v>0</v>
      </c>
      <c r="L385" s="307">
        <v>0</v>
      </c>
      <c r="M385" s="307">
        <v>0</v>
      </c>
      <c r="N385" s="307">
        <v>0</v>
      </c>
      <c r="O385" s="308">
        <v>0</v>
      </c>
      <c r="P385" s="308">
        <v>0</v>
      </c>
      <c r="Q385" s="307">
        <v>0</v>
      </c>
      <c r="R385" s="308">
        <v>0</v>
      </c>
      <c r="S385" s="308">
        <v>0</v>
      </c>
      <c r="T385" s="308">
        <v>0</v>
      </c>
      <c r="U385" s="308">
        <v>0</v>
      </c>
      <c r="V385" s="309"/>
    </row>
    <row r="386" spans="1:22">
      <c r="A386" s="304"/>
      <c r="B386" s="310" t="s">
        <v>559</v>
      </c>
      <c r="C386" s="311">
        <v>0</v>
      </c>
      <c r="D386" s="312">
        <v>0</v>
      </c>
      <c r="E386" s="312">
        <v>0</v>
      </c>
      <c r="F386" s="312">
        <v>0</v>
      </c>
      <c r="G386" s="312">
        <v>0</v>
      </c>
      <c r="H386" s="312">
        <v>0</v>
      </c>
      <c r="I386" s="312">
        <v>0</v>
      </c>
      <c r="J386" s="314">
        <v>0</v>
      </c>
      <c r="K386" s="314">
        <v>0</v>
      </c>
      <c r="L386" s="312">
        <v>0</v>
      </c>
      <c r="M386" s="312">
        <v>0</v>
      </c>
      <c r="N386" s="312">
        <v>0</v>
      </c>
      <c r="O386" s="314">
        <v>0</v>
      </c>
      <c r="P386" s="314">
        <v>0</v>
      </c>
      <c r="Q386" s="312">
        <v>0</v>
      </c>
      <c r="R386" s="314">
        <v>0</v>
      </c>
      <c r="S386" s="314">
        <v>0</v>
      </c>
      <c r="T386" s="314">
        <v>0</v>
      </c>
      <c r="U386" s="314">
        <v>0</v>
      </c>
      <c r="V386" s="309"/>
    </row>
    <row r="387" spans="1:22">
      <c r="A387" s="304"/>
      <c r="B387" s="50" t="s">
        <v>560</v>
      </c>
      <c r="C387" s="301">
        <v>0</v>
      </c>
      <c r="D387" s="302">
        <v>0</v>
      </c>
      <c r="E387" s="302">
        <v>0</v>
      </c>
      <c r="F387" s="302">
        <v>0</v>
      </c>
      <c r="G387" s="302">
        <v>0</v>
      </c>
      <c r="H387" s="302">
        <v>0</v>
      </c>
      <c r="I387" s="302">
        <v>0</v>
      </c>
      <c r="J387" s="303">
        <v>0</v>
      </c>
      <c r="K387" s="303">
        <v>0</v>
      </c>
      <c r="L387" s="302">
        <v>0</v>
      </c>
      <c r="M387" s="302">
        <v>0</v>
      </c>
      <c r="N387" s="302">
        <v>0</v>
      </c>
      <c r="O387" s="303">
        <v>0</v>
      </c>
      <c r="P387" s="303">
        <v>0</v>
      </c>
      <c r="Q387" s="302">
        <v>0</v>
      </c>
      <c r="R387" s="303">
        <v>0</v>
      </c>
      <c r="S387" s="303">
        <v>0</v>
      </c>
      <c r="T387" s="303">
        <v>0</v>
      </c>
      <c r="U387" s="303">
        <v>0</v>
      </c>
      <c r="V387" s="309"/>
    </row>
    <row r="388" spans="1:22">
      <c r="A388" s="304"/>
      <c r="B388" s="305" t="s">
        <v>561</v>
      </c>
      <c r="C388" s="306">
        <v>0</v>
      </c>
      <c r="D388" s="307">
        <v>0</v>
      </c>
      <c r="E388" s="307">
        <v>0</v>
      </c>
      <c r="F388" s="307">
        <v>0</v>
      </c>
      <c r="G388" s="307">
        <v>0</v>
      </c>
      <c r="H388" s="307">
        <v>0</v>
      </c>
      <c r="I388" s="307">
        <v>0</v>
      </c>
      <c r="J388" s="308">
        <v>0</v>
      </c>
      <c r="K388" s="308">
        <v>0</v>
      </c>
      <c r="L388" s="307">
        <v>0</v>
      </c>
      <c r="M388" s="307">
        <v>0</v>
      </c>
      <c r="N388" s="307">
        <v>0</v>
      </c>
      <c r="O388" s="308">
        <v>0</v>
      </c>
      <c r="P388" s="308">
        <v>0</v>
      </c>
      <c r="Q388" s="307">
        <v>0</v>
      </c>
      <c r="R388" s="308">
        <v>0</v>
      </c>
      <c r="S388" s="308">
        <v>0</v>
      </c>
      <c r="T388" s="308">
        <v>0</v>
      </c>
      <c r="U388" s="308">
        <v>0</v>
      </c>
      <c r="V388" s="309"/>
    </row>
    <row r="389" spans="1:22">
      <c r="A389" s="304"/>
      <c r="B389" s="310" t="s">
        <v>562</v>
      </c>
      <c r="C389" s="311">
        <v>0</v>
      </c>
      <c r="D389" s="312">
        <v>0</v>
      </c>
      <c r="E389" s="312">
        <v>0</v>
      </c>
      <c r="F389" s="312">
        <v>0</v>
      </c>
      <c r="G389" s="312">
        <v>0</v>
      </c>
      <c r="H389" s="312">
        <v>0</v>
      </c>
      <c r="I389" s="312">
        <v>0</v>
      </c>
      <c r="J389" s="314">
        <v>0</v>
      </c>
      <c r="K389" s="314">
        <v>0</v>
      </c>
      <c r="L389" s="312">
        <v>0</v>
      </c>
      <c r="M389" s="312">
        <v>0</v>
      </c>
      <c r="N389" s="312">
        <v>0</v>
      </c>
      <c r="O389" s="314">
        <v>0</v>
      </c>
      <c r="P389" s="314">
        <v>0</v>
      </c>
      <c r="Q389" s="312">
        <v>0</v>
      </c>
      <c r="R389" s="314">
        <v>0</v>
      </c>
      <c r="S389" s="314">
        <v>0</v>
      </c>
      <c r="T389" s="314">
        <v>0</v>
      </c>
      <c r="U389" s="314">
        <v>0</v>
      </c>
      <c r="V389" s="309"/>
    </row>
    <row r="390" spans="1:22">
      <c r="A390" s="304"/>
      <c r="B390" s="50" t="s">
        <v>563</v>
      </c>
      <c r="C390" s="301">
        <v>0</v>
      </c>
      <c r="D390" s="302">
        <v>0</v>
      </c>
      <c r="E390" s="302">
        <v>0</v>
      </c>
      <c r="F390" s="302">
        <v>0</v>
      </c>
      <c r="G390" s="302">
        <v>0</v>
      </c>
      <c r="H390" s="302">
        <v>0</v>
      </c>
      <c r="I390" s="302">
        <v>0</v>
      </c>
      <c r="J390" s="303">
        <v>0</v>
      </c>
      <c r="K390" s="303">
        <v>0</v>
      </c>
      <c r="L390" s="302">
        <v>0</v>
      </c>
      <c r="M390" s="302">
        <v>0</v>
      </c>
      <c r="N390" s="302">
        <v>0</v>
      </c>
      <c r="O390" s="303">
        <v>0</v>
      </c>
      <c r="P390" s="303">
        <v>0</v>
      </c>
      <c r="Q390" s="302">
        <v>0</v>
      </c>
      <c r="R390" s="303">
        <v>0</v>
      </c>
      <c r="S390" s="303">
        <v>0</v>
      </c>
      <c r="T390" s="303">
        <v>0</v>
      </c>
      <c r="U390" s="303">
        <v>0</v>
      </c>
      <c r="V390" s="309"/>
    </row>
    <row r="391" spans="1:22">
      <c r="A391" s="304"/>
      <c r="B391" s="305" t="s">
        <v>564</v>
      </c>
      <c r="C391" s="306">
        <v>0</v>
      </c>
      <c r="D391" s="307">
        <v>0</v>
      </c>
      <c r="E391" s="307">
        <v>0</v>
      </c>
      <c r="F391" s="307">
        <v>0</v>
      </c>
      <c r="G391" s="307">
        <v>0</v>
      </c>
      <c r="H391" s="307">
        <v>0</v>
      </c>
      <c r="I391" s="307">
        <v>0</v>
      </c>
      <c r="J391" s="308">
        <v>0</v>
      </c>
      <c r="K391" s="308">
        <v>0</v>
      </c>
      <c r="L391" s="307">
        <v>0</v>
      </c>
      <c r="M391" s="307">
        <v>0</v>
      </c>
      <c r="N391" s="307">
        <v>0</v>
      </c>
      <c r="O391" s="308">
        <v>0</v>
      </c>
      <c r="P391" s="308">
        <v>0</v>
      </c>
      <c r="Q391" s="307">
        <v>0</v>
      </c>
      <c r="R391" s="308">
        <v>0</v>
      </c>
      <c r="S391" s="308">
        <v>0</v>
      </c>
      <c r="T391" s="308">
        <v>0</v>
      </c>
      <c r="U391" s="308">
        <v>0</v>
      </c>
      <c r="V391" s="309"/>
    </row>
    <row r="392" spans="1:22">
      <c r="A392" s="304"/>
      <c r="B392" s="310" t="s">
        <v>565</v>
      </c>
      <c r="C392" s="311">
        <v>0</v>
      </c>
      <c r="D392" s="312">
        <v>0</v>
      </c>
      <c r="E392" s="312">
        <v>0</v>
      </c>
      <c r="F392" s="312">
        <v>0</v>
      </c>
      <c r="G392" s="312">
        <v>0</v>
      </c>
      <c r="H392" s="312">
        <v>0</v>
      </c>
      <c r="I392" s="312">
        <v>0</v>
      </c>
      <c r="J392" s="314">
        <v>0</v>
      </c>
      <c r="K392" s="314">
        <v>0</v>
      </c>
      <c r="L392" s="312">
        <v>0</v>
      </c>
      <c r="M392" s="312">
        <v>0</v>
      </c>
      <c r="N392" s="312">
        <v>0</v>
      </c>
      <c r="O392" s="314">
        <v>0</v>
      </c>
      <c r="P392" s="314">
        <v>0</v>
      </c>
      <c r="Q392" s="312">
        <v>0</v>
      </c>
      <c r="R392" s="314">
        <v>0</v>
      </c>
      <c r="S392" s="314">
        <v>0</v>
      </c>
      <c r="T392" s="314">
        <v>0</v>
      </c>
      <c r="U392" s="314">
        <v>0</v>
      </c>
      <c r="V392" s="309"/>
    </row>
    <row r="393" spans="1:22">
      <c r="A393" s="304"/>
      <c r="B393" s="50" t="s">
        <v>566</v>
      </c>
      <c r="C393" s="301">
        <v>0</v>
      </c>
      <c r="D393" s="302">
        <v>0</v>
      </c>
      <c r="E393" s="302">
        <v>0</v>
      </c>
      <c r="F393" s="302">
        <v>0</v>
      </c>
      <c r="G393" s="302">
        <v>0</v>
      </c>
      <c r="H393" s="302">
        <v>0</v>
      </c>
      <c r="I393" s="302">
        <v>0</v>
      </c>
      <c r="J393" s="303">
        <v>0</v>
      </c>
      <c r="K393" s="303">
        <v>0</v>
      </c>
      <c r="L393" s="302">
        <v>0</v>
      </c>
      <c r="M393" s="302">
        <v>0</v>
      </c>
      <c r="N393" s="302">
        <v>0</v>
      </c>
      <c r="O393" s="303">
        <v>0</v>
      </c>
      <c r="P393" s="303">
        <v>0</v>
      </c>
      <c r="Q393" s="302">
        <v>0</v>
      </c>
      <c r="R393" s="303">
        <v>0</v>
      </c>
      <c r="S393" s="303">
        <v>0</v>
      </c>
      <c r="T393" s="303">
        <v>0</v>
      </c>
      <c r="U393" s="303">
        <v>0</v>
      </c>
      <c r="V393" s="309"/>
    </row>
    <row r="394" spans="1:22">
      <c r="A394" s="304"/>
      <c r="B394" s="305" t="s">
        <v>567</v>
      </c>
      <c r="C394" s="306">
        <v>0</v>
      </c>
      <c r="D394" s="307">
        <v>0</v>
      </c>
      <c r="E394" s="307">
        <v>0</v>
      </c>
      <c r="F394" s="307">
        <v>0</v>
      </c>
      <c r="G394" s="307">
        <v>0</v>
      </c>
      <c r="H394" s="307">
        <v>0</v>
      </c>
      <c r="I394" s="307">
        <v>0</v>
      </c>
      <c r="J394" s="308">
        <v>0</v>
      </c>
      <c r="K394" s="308">
        <v>0</v>
      </c>
      <c r="L394" s="307">
        <v>0</v>
      </c>
      <c r="M394" s="307">
        <v>0</v>
      </c>
      <c r="N394" s="307">
        <v>0</v>
      </c>
      <c r="O394" s="308">
        <v>0</v>
      </c>
      <c r="P394" s="308">
        <v>0</v>
      </c>
      <c r="Q394" s="307">
        <v>0</v>
      </c>
      <c r="R394" s="308">
        <v>0</v>
      </c>
      <c r="S394" s="308">
        <v>0</v>
      </c>
      <c r="T394" s="308">
        <v>0</v>
      </c>
      <c r="U394" s="308">
        <v>0</v>
      </c>
      <c r="V394" s="309"/>
    </row>
    <row r="395" spans="1:22">
      <c r="A395" s="304"/>
      <c r="B395" s="310" t="s">
        <v>568</v>
      </c>
      <c r="C395" s="311">
        <v>0</v>
      </c>
      <c r="D395" s="312">
        <v>0</v>
      </c>
      <c r="E395" s="312">
        <v>0</v>
      </c>
      <c r="F395" s="312">
        <v>0</v>
      </c>
      <c r="G395" s="312">
        <v>0</v>
      </c>
      <c r="H395" s="312">
        <v>0</v>
      </c>
      <c r="I395" s="312">
        <v>0</v>
      </c>
      <c r="J395" s="314">
        <v>0</v>
      </c>
      <c r="K395" s="314">
        <v>0</v>
      </c>
      <c r="L395" s="312">
        <v>0</v>
      </c>
      <c r="M395" s="312">
        <v>0</v>
      </c>
      <c r="N395" s="312">
        <v>0</v>
      </c>
      <c r="O395" s="314">
        <v>0</v>
      </c>
      <c r="P395" s="314">
        <v>0</v>
      </c>
      <c r="Q395" s="312">
        <v>0</v>
      </c>
      <c r="R395" s="314">
        <v>0</v>
      </c>
      <c r="S395" s="314">
        <v>0</v>
      </c>
      <c r="T395" s="314">
        <v>0</v>
      </c>
      <c r="U395" s="314">
        <v>0</v>
      </c>
      <c r="V395" s="309"/>
    </row>
    <row r="396" spans="1:22">
      <c r="A396" s="304"/>
      <c r="B396" s="50" t="s">
        <v>569</v>
      </c>
      <c r="C396" s="301">
        <v>0</v>
      </c>
      <c r="D396" s="302">
        <v>0</v>
      </c>
      <c r="E396" s="302">
        <v>0</v>
      </c>
      <c r="F396" s="302">
        <v>0</v>
      </c>
      <c r="G396" s="302">
        <v>0</v>
      </c>
      <c r="H396" s="302">
        <v>0</v>
      </c>
      <c r="I396" s="302">
        <v>0</v>
      </c>
      <c r="J396" s="303">
        <v>0</v>
      </c>
      <c r="K396" s="303">
        <v>0</v>
      </c>
      <c r="L396" s="302">
        <v>0</v>
      </c>
      <c r="M396" s="302">
        <v>0</v>
      </c>
      <c r="N396" s="302">
        <v>0</v>
      </c>
      <c r="O396" s="303">
        <v>0</v>
      </c>
      <c r="P396" s="303">
        <v>0</v>
      </c>
      <c r="Q396" s="302">
        <v>0</v>
      </c>
      <c r="R396" s="303">
        <v>0</v>
      </c>
      <c r="S396" s="303">
        <v>0</v>
      </c>
      <c r="T396" s="303">
        <v>0</v>
      </c>
      <c r="U396" s="303">
        <v>0</v>
      </c>
      <c r="V396" s="309"/>
    </row>
    <row r="397" spans="1:22">
      <c r="A397" s="304"/>
      <c r="B397" s="305" t="s">
        <v>570</v>
      </c>
      <c r="C397" s="306">
        <v>0</v>
      </c>
      <c r="D397" s="307">
        <v>0</v>
      </c>
      <c r="E397" s="307">
        <v>0</v>
      </c>
      <c r="F397" s="307">
        <v>0</v>
      </c>
      <c r="G397" s="307">
        <v>0</v>
      </c>
      <c r="H397" s="307">
        <v>0</v>
      </c>
      <c r="I397" s="307">
        <v>0</v>
      </c>
      <c r="J397" s="308">
        <v>0</v>
      </c>
      <c r="K397" s="308">
        <v>0</v>
      </c>
      <c r="L397" s="307">
        <v>0</v>
      </c>
      <c r="M397" s="307">
        <v>0</v>
      </c>
      <c r="N397" s="307">
        <v>0</v>
      </c>
      <c r="O397" s="308">
        <v>0</v>
      </c>
      <c r="P397" s="308">
        <v>0</v>
      </c>
      <c r="Q397" s="307">
        <v>0</v>
      </c>
      <c r="R397" s="308">
        <v>0</v>
      </c>
      <c r="S397" s="308">
        <v>0</v>
      </c>
      <c r="T397" s="308">
        <v>0</v>
      </c>
      <c r="U397" s="308">
        <v>0</v>
      </c>
      <c r="V397" s="309"/>
    </row>
    <row r="398" spans="1:22">
      <c r="A398" s="304"/>
      <c r="B398" s="310" t="s">
        <v>571</v>
      </c>
      <c r="C398" s="311">
        <v>0</v>
      </c>
      <c r="D398" s="312">
        <v>0</v>
      </c>
      <c r="E398" s="312">
        <v>0</v>
      </c>
      <c r="F398" s="312">
        <v>0</v>
      </c>
      <c r="G398" s="312">
        <v>0</v>
      </c>
      <c r="H398" s="312">
        <v>0</v>
      </c>
      <c r="I398" s="312">
        <v>0</v>
      </c>
      <c r="J398" s="314">
        <v>0</v>
      </c>
      <c r="K398" s="314">
        <v>0</v>
      </c>
      <c r="L398" s="312">
        <v>0</v>
      </c>
      <c r="M398" s="312">
        <v>0</v>
      </c>
      <c r="N398" s="312">
        <v>0</v>
      </c>
      <c r="O398" s="314">
        <v>0</v>
      </c>
      <c r="P398" s="314">
        <v>0</v>
      </c>
      <c r="Q398" s="312">
        <v>0</v>
      </c>
      <c r="R398" s="314">
        <v>0</v>
      </c>
      <c r="S398" s="314">
        <v>0</v>
      </c>
      <c r="T398" s="314">
        <v>0</v>
      </c>
      <c r="U398" s="314">
        <v>0</v>
      </c>
      <c r="V398" s="309"/>
    </row>
    <row r="399" spans="1:22">
      <c r="A399" s="304"/>
      <c r="B399" s="50" t="s">
        <v>572</v>
      </c>
      <c r="C399" s="301">
        <v>0</v>
      </c>
      <c r="D399" s="302">
        <v>0</v>
      </c>
      <c r="E399" s="302">
        <v>0</v>
      </c>
      <c r="F399" s="302">
        <v>0</v>
      </c>
      <c r="G399" s="302">
        <v>0</v>
      </c>
      <c r="H399" s="302">
        <v>0</v>
      </c>
      <c r="I399" s="302">
        <v>0</v>
      </c>
      <c r="J399" s="303">
        <v>0</v>
      </c>
      <c r="K399" s="303">
        <v>0</v>
      </c>
      <c r="L399" s="302">
        <v>0</v>
      </c>
      <c r="M399" s="302">
        <v>0</v>
      </c>
      <c r="N399" s="302">
        <v>0</v>
      </c>
      <c r="O399" s="303">
        <v>0</v>
      </c>
      <c r="P399" s="303">
        <v>0</v>
      </c>
      <c r="Q399" s="302">
        <v>0</v>
      </c>
      <c r="R399" s="303">
        <v>0</v>
      </c>
      <c r="S399" s="303">
        <v>0</v>
      </c>
      <c r="T399" s="303">
        <v>0</v>
      </c>
      <c r="U399" s="303">
        <v>0</v>
      </c>
      <c r="V399" s="309"/>
    </row>
    <row r="400" spans="1:22">
      <c r="A400" s="304"/>
      <c r="B400" s="305" t="s">
        <v>573</v>
      </c>
      <c r="C400" s="306">
        <v>0</v>
      </c>
      <c r="D400" s="307">
        <v>0</v>
      </c>
      <c r="E400" s="307">
        <v>0</v>
      </c>
      <c r="F400" s="307">
        <v>0</v>
      </c>
      <c r="G400" s="307">
        <v>0</v>
      </c>
      <c r="H400" s="307">
        <v>0</v>
      </c>
      <c r="I400" s="307">
        <v>0</v>
      </c>
      <c r="J400" s="308">
        <v>0</v>
      </c>
      <c r="K400" s="308">
        <v>0</v>
      </c>
      <c r="L400" s="307">
        <v>0</v>
      </c>
      <c r="M400" s="307">
        <v>0</v>
      </c>
      <c r="N400" s="307">
        <v>0</v>
      </c>
      <c r="O400" s="308">
        <v>0</v>
      </c>
      <c r="P400" s="308">
        <v>0</v>
      </c>
      <c r="Q400" s="307">
        <v>0</v>
      </c>
      <c r="R400" s="308">
        <v>0</v>
      </c>
      <c r="S400" s="308">
        <v>0</v>
      </c>
      <c r="T400" s="308">
        <v>0</v>
      </c>
      <c r="U400" s="308">
        <v>0</v>
      </c>
      <c r="V400" s="309"/>
    </row>
    <row r="401" spans="1:22" ht="15.75" thickBot="1">
      <c r="A401" s="320"/>
      <c r="B401" s="321" t="s">
        <v>574</v>
      </c>
      <c r="C401" s="322">
        <v>0</v>
      </c>
      <c r="D401" s="323">
        <v>0</v>
      </c>
      <c r="E401" s="323">
        <v>0</v>
      </c>
      <c r="F401" s="323">
        <v>0</v>
      </c>
      <c r="G401" s="323">
        <v>0</v>
      </c>
      <c r="H401" s="323">
        <v>0</v>
      </c>
      <c r="I401" s="323">
        <v>0</v>
      </c>
      <c r="J401" s="324">
        <v>0</v>
      </c>
      <c r="K401" s="324">
        <v>0</v>
      </c>
      <c r="L401" s="323">
        <v>0</v>
      </c>
      <c r="M401" s="323">
        <v>0</v>
      </c>
      <c r="N401" s="323">
        <v>0</v>
      </c>
      <c r="O401" s="324">
        <v>0</v>
      </c>
      <c r="P401" s="324">
        <v>0</v>
      </c>
      <c r="Q401" s="323">
        <v>0</v>
      </c>
      <c r="R401" s="324">
        <v>0</v>
      </c>
      <c r="S401" s="324">
        <v>0</v>
      </c>
      <c r="T401" s="324">
        <v>0</v>
      </c>
      <c r="U401" s="324">
        <v>0</v>
      </c>
      <c r="V401" s="309"/>
    </row>
    <row r="402" spans="1:22">
      <c r="A402" s="300" t="s">
        <v>353</v>
      </c>
      <c r="B402" s="50" t="s">
        <v>539</v>
      </c>
      <c r="C402" s="301">
        <v>0.56016524697619763</v>
      </c>
      <c r="D402" s="302">
        <v>0</v>
      </c>
      <c r="E402" s="302">
        <v>0.69137036257802087</v>
      </c>
      <c r="F402" s="302">
        <v>0.75762664032735993</v>
      </c>
      <c r="G402" s="302">
        <v>0.64815375429921707</v>
      </c>
      <c r="H402" s="302">
        <v>0.50059449027090563</v>
      </c>
      <c r="I402" s="302">
        <v>0</v>
      </c>
      <c r="J402" s="303">
        <v>0.60515599361863681</v>
      </c>
      <c r="K402" s="303">
        <v>0</v>
      </c>
      <c r="L402" s="302">
        <v>0.30917703957692494</v>
      </c>
      <c r="M402" s="302">
        <v>0.29383868090207121</v>
      </c>
      <c r="N402" s="302">
        <v>0.318706505556902</v>
      </c>
      <c r="O402" s="303">
        <v>0.30557314096123711</v>
      </c>
      <c r="P402" s="303">
        <v>0</v>
      </c>
      <c r="Q402" s="302">
        <v>0</v>
      </c>
      <c r="R402" s="303">
        <v>0</v>
      </c>
      <c r="S402" s="303">
        <v>0</v>
      </c>
      <c r="T402" s="303">
        <v>0</v>
      </c>
      <c r="U402" s="303">
        <v>0.49317955015906112</v>
      </c>
      <c r="V402" s="309"/>
    </row>
    <row r="403" spans="1:22">
      <c r="A403" s="304"/>
      <c r="B403" s="305" t="s">
        <v>540</v>
      </c>
      <c r="C403" s="306">
        <v>0.51661496637515469</v>
      </c>
      <c r="D403" s="307">
        <v>0</v>
      </c>
      <c r="E403" s="307">
        <v>0.62203221482935234</v>
      </c>
      <c r="F403" s="307">
        <v>0.63255437166588846</v>
      </c>
      <c r="G403" s="307">
        <v>0.63617253773001159</v>
      </c>
      <c r="H403" s="307">
        <v>0.43900437496473871</v>
      </c>
      <c r="I403" s="307">
        <v>0</v>
      </c>
      <c r="J403" s="308">
        <v>0.54895554393145995</v>
      </c>
      <c r="K403" s="308">
        <v>0</v>
      </c>
      <c r="L403" s="307">
        <v>0.19260359127644233</v>
      </c>
      <c r="M403" s="307">
        <v>0.25394894957488184</v>
      </c>
      <c r="N403" s="307">
        <v>0.22344979630277043</v>
      </c>
      <c r="O403" s="308">
        <v>0.21908658610309562</v>
      </c>
      <c r="P403" s="308">
        <v>0</v>
      </c>
      <c r="Q403" s="307">
        <v>0</v>
      </c>
      <c r="R403" s="308">
        <v>0</v>
      </c>
      <c r="S403" s="308">
        <v>0</v>
      </c>
      <c r="T403" s="308">
        <v>0</v>
      </c>
      <c r="U403" s="308">
        <v>0.42846640280304166</v>
      </c>
      <c r="V403" s="309"/>
    </row>
    <row r="404" spans="1:22">
      <c r="A404" s="304"/>
      <c r="B404" s="310" t="s">
        <v>541</v>
      </c>
      <c r="C404" s="311">
        <v>-4.3550280601042939</v>
      </c>
      <c r="D404" s="312">
        <v>0</v>
      </c>
      <c r="E404" s="312">
        <v>-6.9338147748668533</v>
      </c>
      <c r="F404" s="312">
        <v>-12.507226866147148</v>
      </c>
      <c r="G404" s="312">
        <v>-1.1981216569205477</v>
      </c>
      <c r="H404" s="312">
        <v>-6.1590115306166924</v>
      </c>
      <c r="I404" s="312">
        <v>0</v>
      </c>
      <c r="J404" s="314">
        <v>-5.6200449687176857</v>
      </c>
      <c r="K404" s="314">
        <v>0</v>
      </c>
      <c r="L404" s="312">
        <v>-11.657344830048261</v>
      </c>
      <c r="M404" s="312">
        <v>-3.9889731327189368</v>
      </c>
      <c r="N404" s="312">
        <v>-9.5256709254131575</v>
      </c>
      <c r="O404" s="314">
        <v>-8.6486554858141496</v>
      </c>
      <c r="P404" s="314">
        <v>0</v>
      </c>
      <c r="Q404" s="312">
        <v>0</v>
      </c>
      <c r="R404" s="314">
        <v>0</v>
      </c>
      <c r="S404" s="314">
        <v>0</v>
      </c>
      <c r="T404" s="314">
        <v>0</v>
      </c>
      <c r="U404" s="314">
        <v>-6.471314735601946</v>
      </c>
      <c r="V404" s="309"/>
    </row>
    <row r="405" spans="1:22">
      <c r="A405" s="304"/>
      <c r="B405" s="50" t="s">
        <v>542</v>
      </c>
      <c r="C405" s="301">
        <v>1.2682388211608457E-2</v>
      </c>
      <c r="D405" s="302">
        <v>0</v>
      </c>
      <c r="E405" s="302">
        <v>1.1544365741714784E-2</v>
      </c>
      <c r="F405" s="302">
        <v>4.8433751940172142E-3</v>
      </c>
      <c r="G405" s="302">
        <v>3.2203133277832439E-2</v>
      </c>
      <c r="H405" s="302">
        <v>2.6797533117992003E-2</v>
      </c>
      <c r="I405" s="302">
        <v>0</v>
      </c>
      <c r="J405" s="303">
        <v>1.4824796885530742E-2</v>
      </c>
      <c r="K405" s="303">
        <v>0</v>
      </c>
      <c r="L405" s="302">
        <v>6.8819527899361632E-2</v>
      </c>
      <c r="M405" s="302">
        <v>7.562616731246341E-2</v>
      </c>
      <c r="N405" s="302">
        <v>9.141363431776478E-2</v>
      </c>
      <c r="O405" s="303">
        <v>7.5032740617482982E-2</v>
      </c>
      <c r="P405" s="303">
        <v>0</v>
      </c>
      <c r="Q405" s="302">
        <v>0</v>
      </c>
      <c r="R405" s="303">
        <v>0</v>
      </c>
      <c r="S405" s="303">
        <v>0</v>
      </c>
      <c r="T405" s="303">
        <v>0</v>
      </c>
      <c r="U405" s="303">
        <v>3.7328993461922283E-2</v>
      </c>
      <c r="V405" s="309"/>
    </row>
    <row r="406" spans="1:22">
      <c r="A406" s="304"/>
      <c r="B406" s="305" t="s">
        <v>543</v>
      </c>
      <c r="C406" s="306">
        <v>1.0387007513446232E-2</v>
      </c>
      <c r="D406" s="307">
        <v>0</v>
      </c>
      <c r="E406" s="307">
        <v>1.1414404927161616E-2</v>
      </c>
      <c r="F406" s="307">
        <v>2.6248390428888794E-3</v>
      </c>
      <c r="G406" s="307">
        <v>2.5606817952420032E-2</v>
      </c>
      <c r="H406" s="307">
        <v>1.5639772344546853E-2</v>
      </c>
      <c r="I406" s="307">
        <v>0</v>
      </c>
      <c r="J406" s="308">
        <v>1.1579583680845771E-2</v>
      </c>
      <c r="K406" s="308">
        <v>0</v>
      </c>
      <c r="L406" s="307">
        <v>5.358952883105518E-2</v>
      </c>
      <c r="M406" s="307">
        <v>8.3537388826760969E-2</v>
      </c>
      <c r="N406" s="307">
        <v>0.13343060381423955</v>
      </c>
      <c r="O406" s="308">
        <v>7.7835877172754642E-2</v>
      </c>
      <c r="P406" s="308">
        <v>0</v>
      </c>
      <c r="Q406" s="307">
        <v>0</v>
      </c>
      <c r="R406" s="308">
        <v>0</v>
      </c>
      <c r="S406" s="308">
        <v>0</v>
      </c>
      <c r="T406" s="308">
        <v>0</v>
      </c>
      <c r="U406" s="308">
        <v>3.578059959258327E-2</v>
      </c>
      <c r="V406" s="309"/>
    </row>
    <row r="407" spans="1:22">
      <c r="A407" s="304"/>
      <c r="B407" s="310" t="s">
        <v>544</v>
      </c>
      <c r="C407" s="311">
        <v>-0.22953806981622255</v>
      </c>
      <c r="D407" s="312">
        <v>0</v>
      </c>
      <c r="E407" s="312">
        <v>-1.2996081455316812E-2</v>
      </c>
      <c r="F407" s="312">
        <v>-0.22185361511283347</v>
      </c>
      <c r="G407" s="312">
        <v>-0.65963153254124074</v>
      </c>
      <c r="H407" s="312">
        <v>-1.1157760773445151</v>
      </c>
      <c r="I407" s="312">
        <v>0</v>
      </c>
      <c r="J407" s="314">
        <v>-0.32452132046849708</v>
      </c>
      <c r="K407" s="314">
        <v>0</v>
      </c>
      <c r="L407" s="312">
        <v>-1.5229999068306452</v>
      </c>
      <c r="M407" s="312">
        <v>0.79112215142975595</v>
      </c>
      <c r="N407" s="312">
        <v>4.2016969496474763</v>
      </c>
      <c r="O407" s="314">
        <v>0.28031365552716597</v>
      </c>
      <c r="P407" s="314">
        <v>0</v>
      </c>
      <c r="Q407" s="312">
        <v>0</v>
      </c>
      <c r="R407" s="314">
        <v>0</v>
      </c>
      <c r="S407" s="314">
        <v>0</v>
      </c>
      <c r="T407" s="314">
        <v>0</v>
      </c>
      <c r="U407" s="314">
        <v>-0.15483938693390126</v>
      </c>
      <c r="V407" s="309"/>
    </row>
    <row r="408" spans="1:22">
      <c r="A408" s="304"/>
      <c r="B408" s="50" t="s">
        <v>545</v>
      </c>
      <c r="C408" s="301">
        <v>0.42713481693855748</v>
      </c>
      <c r="D408" s="302">
        <v>0</v>
      </c>
      <c r="E408" s="302">
        <v>0.29708527168026433</v>
      </c>
      <c r="F408" s="302">
        <v>0.23752998447862284</v>
      </c>
      <c r="G408" s="302">
        <v>0.31964311242295046</v>
      </c>
      <c r="H408" s="302">
        <v>0.47260797661110232</v>
      </c>
      <c r="I408" s="302">
        <v>0</v>
      </c>
      <c r="J408" s="303">
        <v>0.38000996732537273</v>
      </c>
      <c r="K408" s="303">
        <v>0</v>
      </c>
      <c r="L408" s="302">
        <v>0.62200343252371348</v>
      </c>
      <c r="M408" s="302">
        <v>0.62253296351016085</v>
      </c>
      <c r="N408" s="302">
        <v>0.56864591628293459</v>
      </c>
      <c r="O408" s="303">
        <v>0.61300619912846532</v>
      </c>
      <c r="P408" s="303">
        <v>0</v>
      </c>
      <c r="Q408" s="302">
        <v>0</v>
      </c>
      <c r="R408" s="303">
        <v>0</v>
      </c>
      <c r="S408" s="303">
        <v>0</v>
      </c>
      <c r="T408" s="303">
        <v>0</v>
      </c>
      <c r="U408" s="303">
        <v>0.46709802709036063</v>
      </c>
      <c r="V408" s="309"/>
    </row>
    <row r="409" spans="1:22">
      <c r="A409" s="304"/>
      <c r="B409" s="305" t="s">
        <v>546</v>
      </c>
      <c r="C409" s="306">
        <v>0.47272306996623026</v>
      </c>
      <c r="D409" s="307">
        <v>0</v>
      </c>
      <c r="E409" s="307">
        <v>0.36655338024348605</v>
      </c>
      <c r="F409" s="307">
        <v>0.36482078929122269</v>
      </c>
      <c r="G409" s="307">
        <v>0.33822064431756843</v>
      </c>
      <c r="H409" s="307">
        <v>0.53576136182958667</v>
      </c>
      <c r="I409" s="307">
        <v>0</v>
      </c>
      <c r="J409" s="308">
        <v>0.43831218610683076</v>
      </c>
      <c r="K409" s="308">
        <v>0</v>
      </c>
      <c r="L409" s="307">
        <v>0.7538068798925025</v>
      </c>
      <c r="M409" s="307">
        <v>0.65610109310911702</v>
      </c>
      <c r="N409" s="307">
        <v>0.64240255709586969</v>
      </c>
      <c r="O409" s="308">
        <v>0.70074725932204451</v>
      </c>
      <c r="P409" s="308">
        <v>0</v>
      </c>
      <c r="Q409" s="307">
        <v>0</v>
      </c>
      <c r="R409" s="308">
        <v>0</v>
      </c>
      <c r="S409" s="308">
        <v>0</v>
      </c>
      <c r="T409" s="308">
        <v>0</v>
      </c>
      <c r="U409" s="308">
        <v>0.53417018008675332</v>
      </c>
      <c r="V409" s="309"/>
    </row>
    <row r="410" spans="1:22">
      <c r="A410" s="304"/>
      <c r="B410" s="310" t="s">
        <v>547</v>
      </c>
      <c r="C410" s="311">
        <v>4.5588253027672776</v>
      </c>
      <c r="D410" s="312">
        <v>0</v>
      </c>
      <c r="E410" s="312">
        <v>6.9468108563221715</v>
      </c>
      <c r="F410" s="312">
        <v>12.729080481259986</v>
      </c>
      <c r="G410" s="312">
        <v>1.8577531894617971</v>
      </c>
      <c r="H410" s="312">
        <v>6.3153385218484352</v>
      </c>
      <c r="I410" s="312">
        <v>0</v>
      </c>
      <c r="J410" s="314">
        <v>5.8302218781458031</v>
      </c>
      <c r="K410" s="314">
        <v>0</v>
      </c>
      <c r="L410" s="312">
        <v>13.180344736878901</v>
      </c>
      <c r="M410" s="312">
        <v>3.3568129598956165</v>
      </c>
      <c r="N410" s="312">
        <v>7.3756640812935093</v>
      </c>
      <c r="O410" s="314">
        <v>8.7741060193579195</v>
      </c>
      <c r="P410" s="314">
        <v>0</v>
      </c>
      <c r="Q410" s="312">
        <v>0</v>
      </c>
      <c r="R410" s="314">
        <v>0</v>
      </c>
      <c r="S410" s="314">
        <v>0</v>
      </c>
      <c r="T410" s="314">
        <v>0</v>
      </c>
      <c r="U410" s="314">
        <v>6.7072152996392687</v>
      </c>
      <c r="V410" s="309"/>
    </row>
    <row r="411" spans="1:22">
      <c r="A411" s="304"/>
      <c r="B411" s="50" t="s">
        <v>548</v>
      </c>
      <c r="C411" s="301">
        <v>1.7547873636412108E-5</v>
      </c>
      <c r="D411" s="302">
        <v>0</v>
      </c>
      <c r="E411" s="302">
        <v>0</v>
      </c>
      <c r="F411" s="302">
        <v>0</v>
      </c>
      <c r="G411" s="302">
        <v>0</v>
      </c>
      <c r="H411" s="302">
        <v>0</v>
      </c>
      <c r="I411" s="302">
        <v>0</v>
      </c>
      <c r="J411" s="303">
        <v>9.2421704597482154E-6</v>
      </c>
      <c r="K411" s="303">
        <v>0</v>
      </c>
      <c r="L411" s="302">
        <v>0</v>
      </c>
      <c r="M411" s="302">
        <v>8.0021882753045469E-3</v>
      </c>
      <c r="N411" s="302">
        <v>2.0011771630370806E-3</v>
      </c>
      <c r="O411" s="303">
        <v>3.0796131515144656E-3</v>
      </c>
      <c r="P411" s="303">
        <v>0</v>
      </c>
      <c r="Q411" s="302">
        <v>0</v>
      </c>
      <c r="R411" s="303">
        <v>0</v>
      </c>
      <c r="S411" s="303">
        <v>0</v>
      </c>
      <c r="T411" s="303">
        <v>0</v>
      </c>
      <c r="U411" s="303">
        <v>1.1568686768178166E-3</v>
      </c>
      <c r="V411" s="309"/>
    </row>
    <row r="412" spans="1:22">
      <c r="A412" s="304"/>
      <c r="B412" s="305" t="s">
        <v>549</v>
      </c>
      <c r="C412" s="306">
        <v>2.0217363615349832E-5</v>
      </c>
      <c r="D412" s="307">
        <v>0</v>
      </c>
      <c r="E412" s="307">
        <v>0</v>
      </c>
      <c r="F412" s="307">
        <v>0</v>
      </c>
      <c r="G412" s="307">
        <v>0</v>
      </c>
      <c r="H412" s="307">
        <v>9.5944908611277809E-3</v>
      </c>
      <c r="I412" s="307">
        <v>0</v>
      </c>
      <c r="J412" s="308">
        <v>1.0171183237488342E-3</v>
      </c>
      <c r="K412" s="308">
        <v>0</v>
      </c>
      <c r="L412" s="307">
        <v>0</v>
      </c>
      <c r="M412" s="307">
        <v>6.4125684892401887E-3</v>
      </c>
      <c r="N412" s="307">
        <v>7.1704278712034187E-4</v>
      </c>
      <c r="O412" s="308">
        <v>2.3302774021052896E-3</v>
      </c>
      <c r="P412" s="308">
        <v>0</v>
      </c>
      <c r="Q412" s="307">
        <v>0</v>
      </c>
      <c r="R412" s="308">
        <v>0</v>
      </c>
      <c r="S412" s="308">
        <v>0</v>
      </c>
      <c r="T412" s="308">
        <v>0</v>
      </c>
      <c r="U412" s="308">
        <v>1.4967676079912138E-3</v>
      </c>
      <c r="V412" s="309"/>
    </row>
    <row r="413" spans="1:22">
      <c r="A413" s="304"/>
      <c r="B413" s="310" t="s">
        <v>550</v>
      </c>
      <c r="C413" s="311">
        <v>2.6694899789377242E-4</v>
      </c>
      <c r="D413" s="312">
        <v>0</v>
      </c>
      <c r="E413" s="312">
        <v>0</v>
      </c>
      <c r="F413" s="312">
        <v>0</v>
      </c>
      <c r="G413" s="312">
        <v>0</v>
      </c>
      <c r="H413" s="312">
        <v>0</v>
      </c>
      <c r="I413" s="312">
        <v>0</v>
      </c>
      <c r="J413" s="314">
        <v>0.10078761532890861</v>
      </c>
      <c r="K413" s="314">
        <v>0</v>
      </c>
      <c r="L413" s="312">
        <v>0</v>
      </c>
      <c r="M413" s="312">
        <v>-0.15896197860643582</v>
      </c>
      <c r="N413" s="312">
        <v>-0.1284134375916739</v>
      </c>
      <c r="O413" s="314">
        <v>-7.4933574940917611E-2</v>
      </c>
      <c r="P413" s="314">
        <v>0</v>
      </c>
      <c r="Q413" s="312">
        <v>0</v>
      </c>
      <c r="R413" s="314">
        <v>0</v>
      </c>
      <c r="S413" s="314">
        <v>0</v>
      </c>
      <c r="T413" s="314">
        <v>0</v>
      </c>
      <c r="U413" s="314">
        <v>3.3989893117339721E-2</v>
      </c>
      <c r="V413" s="309"/>
    </row>
    <row r="414" spans="1:22">
      <c r="A414" s="304"/>
      <c r="B414" s="50" t="s">
        <v>551</v>
      </c>
      <c r="C414" s="301">
        <v>0</v>
      </c>
      <c r="D414" s="302">
        <v>0</v>
      </c>
      <c r="E414" s="302">
        <v>0</v>
      </c>
      <c r="F414" s="302">
        <v>0</v>
      </c>
      <c r="G414" s="302">
        <v>0</v>
      </c>
      <c r="H414" s="302">
        <v>0</v>
      </c>
      <c r="I414" s="302">
        <v>0</v>
      </c>
      <c r="J414" s="303">
        <v>0</v>
      </c>
      <c r="K414" s="303">
        <v>0</v>
      </c>
      <c r="L414" s="302">
        <v>0</v>
      </c>
      <c r="M414" s="302">
        <v>0</v>
      </c>
      <c r="N414" s="302">
        <v>1.9232766679361562E-2</v>
      </c>
      <c r="O414" s="303">
        <v>3.3083061413001079E-3</v>
      </c>
      <c r="P414" s="303">
        <v>0</v>
      </c>
      <c r="Q414" s="302">
        <v>0</v>
      </c>
      <c r="R414" s="303">
        <v>0</v>
      </c>
      <c r="S414" s="303">
        <v>0</v>
      </c>
      <c r="T414" s="303">
        <v>0</v>
      </c>
      <c r="U414" s="303">
        <v>1.2365606118381702E-3</v>
      </c>
      <c r="V414" s="309"/>
    </row>
    <row r="415" spans="1:22">
      <c r="A415" s="304"/>
      <c r="B415" s="305" t="s">
        <v>552</v>
      </c>
      <c r="C415" s="306">
        <v>2.5473878155340789E-4</v>
      </c>
      <c r="D415" s="307">
        <v>0</v>
      </c>
      <c r="E415" s="307">
        <v>0</v>
      </c>
      <c r="F415" s="307">
        <v>0</v>
      </c>
      <c r="G415" s="307">
        <v>0</v>
      </c>
      <c r="H415" s="307">
        <v>0</v>
      </c>
      <c r="I415" s="307">
        <v>0</v>
      </c>
      <c r="J415" s="308">
        <v>1.3556795711461894E-4</v>
      </c>
      <c r="K415" s="308">
        <v>0</v>
      </c>
      <c r="L415" s="307">
        <v>0</v>
      </c>
      <c r="M415" s="307">
        <v>0</v>
      </c>
      <c r="N415" s="307">
        <v>0</v>
      </c>
      <c r="O415" s="308">
        <v>0</v>
      </c>
      <c r="P415" s="308">
        <v>0</v>
      </c>
      <c r="Q415" s="307">
        <v>0</v>
      </c>
      <c r="R415" s="308">
        <v>0</v>
      </c>
      <c r="S415" s="308">
        <v>0</v>
      </c>
      <c r="T415" s="308">
        <v>0</v>
      </c>
      <c r="U415" s="308">
        <v>8.6049909630521489E-5</v>
      </c>
      <c r="V415" s="309"/>
    </row>
    <row r="416" spans="1:22">
      <c r="A416" s="304"/>
      <c r="B416" s="310" t="s">
        <v>553</v>
      </c>
      <c r="C416" s="311">
        <v>0</v>
      </c>
      <c r="D416" s="312">
        <v>0</v>
      </c>
      <c r="E416" s="312">
        <v>0</v>
      </c>
      <c r="F416" s="312">
        <v>0</v>
      </c>
      <c r="G416" s="312">
        <v>0</v>
      </c>
      <c r="H416" s="312">
        <v>0</v>
      </c>
      <c r="I416" s="312">
        <v>0</v>
      </c>
      <c r="J416" s="314">
        <v>0</v>
      </c>
      <c r="K416" s="314">
        <v>0</v>
      </c>
      <c r="L416" s="312">
        <v>0</v>
      </c>
      <c r="M416" s="312">
        <v>0</v>
      </c>
      <c r="N416" s="312">
        <v>-1.9232766679361561</v>
      </c>
      <c r="O416" s="314">
        <v>-0.3308306141300108</v>
      </c>
      <c r="P416" s="314">
        <v>0</v>
      </c>
      <c r="Q416" s="312">
        <v>0</v>
      </c>
      <c r="R416" s="314">
        <v>0</v>
      </c>
      <c r="S416" s="314">
        <v>0</v>
      </c>
      <c r="T416" s="314">
        <v>0</v>
      </c>
      <c r="U416" s="314">
        <v>-0.11505107022076488</v>
      </c>
      <c r="V416" s="309"/>
    </row>
    <row r="417" spans="1:22">
      <c r="A417" s="304"/>
      <c r="B417" s="50" t="s">
        <v>554</v>
      </c>
      <c r="C417" s="301">
        <v>0</v>
      </c>
      <c r="D417" s="302">
        <v>0</v>
      </c>
      <c r="E417" s="302">
        <v>0</v>
      </c>
      <c r="F417" s="302">
        <v>0</v>
      </c>
      <c r="G417" s="302">
        <v>0</v>
      </c>
      <c r="H417" s="302">
        <v>0</v>
      </c>
      <c r="I417" s="302">
        <v>0</v>
      </c>
      <c r="J417" s="303">
        <v>0</v>
      </c>
      <c r="K417" s="303">
        <v>0</v>
      </c>
      <c r="L417" s="302">
        <v>0</v>
      </c>
      <c r="M417" s="302">
        <v>0</v>
      </c>
      <c r="N417" s="302">
        <v>0</v>
      </c>
      <c r="O417" s="303">
        <v>0</v>
      </c>
      <c r="P417" s="303">
        <v>0</v>
      </c>
      <c r="Q417" s="302">
        <v>0</v>
      </c>
      <c r="R417" s="303">
        <v>0</v>
      </c>
      <c r="S417" s="303">
        <v>0</v>
      </c>
      <c r="T417" s="303">
        <v>0</v>
      </c>
      <c r="U417" s="303">
        <v>0</v>
      </c>
      <c r="V417" s="309"/>
    </row>
    <row r="418" spans="1:22">
      <c r="A418" s="304"/>
      <c r="B418" s="305" t="s">
        <v>555</v>
      </c>
      <c r="C418" s="306">
        <v>0</v>
      </c>
      <c r="D418" s="307">
        <v>0</v>
      </c>
      <c r="E418" s="307">
        <v>0</v>
      </c>
      <c r="F418" s="307">
        <v>0</v>
      </c>
      <c r="G418" s="307">
        <v>0</v>
      </c>
      <c r="H418" s="307">
        <v>0</v>
      </c>
      <c r="I418" s="307">
        <v>0</v>
      </c>
      <c r="J418" s="308">
        <v>0</v>
      </c>
      <c r="K418" s="308">
        <v>0</v>
      </c>
      <c r="L418" s="307">
        <v>0</v>
      </c>
      <c r="M418" s="307">
        <v>0</v>
      </c>
      <c r="N418" s="307">
        <v>0</v>
      </c>
      <c r="O418" s="308">
        <v>0</v>
      </c>
      <c r="P418" s="308">
        <v>0</v>
      </c>
      <c r="Q418" s="307">
        <v>0</v>
      </c>
      <c r="R418" s="308">
        <v>0</v>
      </c>
      <c r="S418" s="308">
        <v>0</v>
      </c>
      <c r="T418" s="308">
        <v>0</v>
      </c>
      <c r="U418" s="308">
        <v>0</v>
      </c>
      <c r="V418" s="309"/>
    </row>
    <row r="419" spans="1:22" ht="15.75" thickBot="1">
      <c r="A419" s="304"/>
      <c r="B419" s="316" t="s">
        <v>556</v>
      </c>
      <c r="C419" s="317">
        <v>0</v>
      </c>
      <c r="D419" s="318">
        <v>0</v>
      </c>
      <c r="E419" s="318">
        <v>0</v>
      </c>
      <c r="F419" s="318">
        <v>0</v>
      </c>
      <c r="G419" s="318">
        <v>0</v>
      </c>
      <c r="H419" s="318">
        <v>0</v>
      </c>
      <c r="I419" s="318">
        <v>0</v>
      </c>
      <c r="J419" s="319">
        <v>0</v>
      </c>
      <c r="K419" s="319">
        <v>0</v>
      </c>
      <c r="L419" s="318">
        <v>0</v>
      </c>
      <c r="M419" s="318">
        <v>0</v>
      </c>
      <c r="N419" s="318">
        <v>0</v>
      </c>
      <c r="O419" s="319">
        <v>0</v>
      </c>
      <c r="P419" s="319">
        <v>0</v>
      </c>
      <c r="Q419" s="318">
        <v>0</v>
      </c>
      <c r="R419" s="319">
        <v>0</v>
      </c>
      <c r="S419" s="319">
        <v>0</v>
      </c>
      <c r="T419" s="319">
        <v>0</v>
      </c>
      <c r="U419" s="319">
        <v>0</v>
      </c>
      <c r="V419" s="309"/>
    </row>
    <row r="420" spans="1:22" ht="15.75" thickTop="1">
      <c r="A420" s="304"/>
      <c r="B420" s="305" t="s">
        <v>557</v>
      </c>
      <c r="C420" s="306">
        <v>0.47973456265377429</v>
      </c>
      <c r="D420" s="307">
        <v>0</v>
      </c>
      <c r="E420" s="307">
        <v>0.31419108917078048</v>
      </c>
      <c r="F420" s="307">
        <v>0.33677979479084452</v>
      </c>
      <c r="G420" s="307">
        <v>0.3509690008426094</v>
      </c>
      <c r="H420" s="307">
        <v>0.27883525946068433</v>
      </c>
      <c r="I420" s="307">
        <v>0</v>
      </c>
      <c r="J420" s="308">
        <v>0.43953381511341327</v>
      </c>
      <c r="K420" s="308">
        <v>0</v>
      </c>
      <c r="L420" s="307">
        <v>0</v>
      </c>
      <c r="M420" s="307">
        <v>0</v>
      </c>
      <c r="N420" s="307">
        <v>0</v>
      </c>
      <c r="O420" s="308">
        <v>0</v>
      </c>
      <c r="P420" s="308">
        <v>0</v>
      </c>
      <c r="Q420" s="307">
        <v>0</v>
      </c>
      <c r="R420" s="308">
        <v>0</v>
      </c>
      <c r="S420" s="308">
        <v>0</v>
      </c>
      <c r="T420" s="308">
        <v>0</v>
      </c>
      <c r="U420" s="308">
        <v>0.43953381511341327</v>
      </c>
      <c r="V420" s="309"/>
    </row>
    <row r="421" spans="1:22">
      <c r="A421" s="304"/>
      <c r="B421" s="305" t="s">
        <v>558</v>
      </c>
      <c r="C421" s="306">
        <v>0.50917023599258693</v>
      </c>
      <c r="D421" s="307">
        <v>0</v>
      </c>
      <c r="E421" s="307">
        <v>0.3062808338045746</v>
      </c>
      <c r="F421" s="307">
        <v>0.30865468366458154</v>
      </c>
      <c r="G421" s="307">
        <v>0.28995768229166669</v>
      </c>
      <c r="H421" s="307">
        <v>4.9311239768416851E-2</v>
      </c>
      <c r="I421" s="307">
        <v>0</v>
      </c>
      <c r="J421" s="308">
        <v>0.44789503921332852</v>
      </c>
      <c r="K421" s="308">
        <v>0</v>
      </c>
      <c r="L421" s="307">
        <v>0</v>
      </c>
      <c r="M421" s="307">
        <v>0</v>
      </c>
      <c r="N421" s="307">
        <v>0</v>
      </c>
      <c r="O421" s="308">
        <v>0</v>
      </c>
      <c r="P421" s="308">
        <v>0</v>
      </c>
      <c r="Q421" s="307">
        <v>0</v>
      </c>
      <c r="R421" s="308">
        <v>0</v>
      </c>
      <c r="S421" s="308">
        <v>0</v>
      </c>
      <c r="T421" s="308">
        <v>0</v>
      </c>
      <c r="U421" s="308">
        <v>0.44789503921332852</v>
      </c>
      <c r="V421" s="309"/>
    </row>
    <row r="422" spans="1:22">
      <c r="A422" s="304"/>
      <c r="B422" s="310" t="s">
        <v>559</v>
      </c>
      <c r="C422" s="311">
        <v>2.9435673338812638</v>
      </c>
      <c r="D422" s="312">
        <v>0</v>
      </c>
      <c r="E422" s="312">
        <v>-0.79102553662058761</v>
      </c>
      <c r="F422" s="312">
        <v>-2.8125111126262983</v>
      </c>
      <c r="G422" s="312">
        <v>-6.1011318550942715</v>
      </c>
      <c r="H422" s="312">
        <v>-22.952401969226749</v>
      </c>
      <c r="I422" s="312">
        <v>0</v>
      </c>
      <c r="J422" s="314">
        <v>0.83612240999152432</v>
      </c>
      <c r="K422" s="314">
        <v>0</v>
      </c>
      <c r="L422" s="312">
        <v>0</v>
      </c>
      <c r="M422" s="312">
        <v>0</v>
      </c>
      <c r="N422" s="312">
        <v>0</v>
      </c>
      <c r="O422" s="314">
        <v>0</v>
      </c>
      <c r="P422" s="314">
        <v>0</v>
      </c>
      <c r="Q422" s="312">
        <v>0</v>
      </c>
      <c r="R422" s="314">
        <v>0</v>
      </c>
      <c r="S422" s="314">
        <v>0</v>
      </c>
      <c r="T422" s="314">
        <v>0</v>
      </c>
      <c r="U422" s="314">
        <v>0.83612240999152432</v>
      </c>
      <c r="V422" s="309"/>
    </row>
    <row r="423" spans="1:22">
      <c r="A423" s="304"/>
      <c r="B423" s="50" t="s">
        <v>560</v>
      </c>
      <c r="C423" s="301">
        <v>7.4766600132568875E-2</v>
      </c>
      <c r="D423" s="302">
        <v>0</v>
      </c>
      <c r="E423" s="302">
        <v>3.4660167885188192E-2</v>
      </c>
      <c r="F423" s="302">
        <v>4.025256511444357E-2</v>
      </c>
      <c r="G423" s="302">
        <v>3.6453944742560647E-2</v>
      </c>
      <c r="H423" s="302">
        <v>1.3596193065941536E-2</v>
      </c>
      <c r="I423" s="302">
        <v>0</v>
      </c>
      <c r="J423" s="303">
        <v>6.4277260258713123E-2</v>
      </c>
      <c r="K423" s="303">
        <v>0</v>
      </c>
      <c r="L423" s="302">
        <v>0</v>
      </c>
      <c r="M423" s="302">
        <v>0</v>
      </c>
      <c r="N423" s="302">
        <v>0</v>
      </c>
      <c r="O423" s="303">
        <v>0</v>
      </c>
      <c r="P423" s="303">
        <v>0</v>
      </c>
      <c r="Q423" s="302">
        <v>0</v>
      </c>
      <c r="R423" s="303">
        <v>0</v>
      </c>
      <c r="S423" s="303">
        <v>0</v>
      </c>
      <c r="T423" s="303">
        <v>0</v>
      </c>
      <c r="U423" s="303">
        <v>6.4277260258713123E-2</v>
      </c>
      <c r="V423" s="309"/>
    </row>
    <row r="424" spans="1:22">
      <c r="A424" s="304"/>
      <c r="B424" s="305" t="s">
        <v>561</v>
      </c>
      <c r="C424" s="306">
        <v>7.4486180271208319E-2</v>
      </c>
      <c r="D424" s="307">
        <v>0</v>
      </c>
      <c r="E424" s="307">
        <v>2.8761967903593783E-2</v>
      </c>
      <c r="F424" s="307">
        <v>1.5836566632354105E-3</v>
      </c>
      <c r="G424" s="307">
        <v>3.3365885416666665E-3</v>
      </c>
      <c r="H424" s="307">
        <v>1.1678977839888201E-2</v>
      </c>
      <c r="I424" s="307">
        <v>0</v>
      </c>
      <c r="J424" s="308">
        <v>5.9406522639517949E-2</v>
      </c>
      <c r="K424" s="308">
        <v>0</v>
      </c>
      <c r="L424" s="307">
        <v>0</v>
      </c>
      <c r="M424" s="307">
        <v>0</v>
      </c>
      <c r="N424" s="307">
        <v>0</v>
      </c>
      <c r="O424" s="308">
        <v>0</v>
      </c>
      <c r="P424" s="308">
        <v>0</v>
      </c>
      <c r="Q424" s="307">
        <v>0</v>
      </c>
      <c r="R424" s="308">
        <v>0</v>
      </c>
      <c r="S424" s="308">
        <v>0</v>
      </c>
      <c r="T424" s="308">
        <v>0</v>
      </c>
      <c r="U424" s="308">
        <v>5.9406522639517949E-2</v>
      </c>
      <c r="V424" s="309"/>
    </row>
    <row r="425" spans="1:22">
      <c r="A425" s="304"/>
      <c r="B425" s="310" t="s">
        <v>562</v>
      </c>
      <c r="C425" s="311">
        <v>-2.804198613605563E-2</v>
      </c>
      <c r="D425" s="312">
        <v>0</v>
      </c>
      <c r="E425" s="312">
        <v>-0.58981999815944097</v>
      </c>
      <c r="F425" s="312">
        <v>-3.8668908451208157</v>
      </c>
      <c r="G425" s="312">
        <v>-3.3117356200893981</v>
      </c>
      <c r="H425" s="312">
        <v>-0.19172152260533357</v>
      </c>
      <c r="I425" s="312">
        <v>0</v>
      </c>
      <c r="J425" s="314">
        <v>-0.48707376191951746</v>
      </c>
      <c r="K425" s="314">
        <v>0</v>
      </c>
      <c r="L425" s="312">
        <v>0</v>
      </c>
      <c r="M425" s="312">
        <v>0</v>
      </c>
      <c r="N425" s="312">
        <v>0</v>
      </c>
      <c r="O425" s="314">
        <v>0</v>
      </c>
      <c r="P425" s="314">
        <v>0</v>
      </c>
      <c r="Q425" s="312">
        <v>0</v>
      </c>
      <c r="R425" s="314">
        <v>0</v>
      </c>
      <c r="S425" s="314">
        <v>0</v>
      </c>
      <c r="T425" s="314">
        <v>0</v>
      </c>
      <c r="U425" s="314">
        <v>-0.48707376191951746</v>
      </c>
      <c r="V425" s="309"/>
    </row>
    <row r="426" spans="1:22">
      <c r="A426" s="304"/>
      <c r="B426" s="50" t="s">
        <v>563</v>
      </c>
      <c r="C426" s="301">
        <v>0.42087622785369488</v>
      </c>
      <c r="D426" s="302">
        <v>0</v>
      </c>
      <c r="E426" s="302">
        <v>0.65114874294403136</v>
      </c>
      <c r="F426" s="302">
        <v>0.62296764009471195</v>
      </c>
      <c r="G426" s="302">
        <v>0.6125770544148299</v>
      </c>
      <c r="H426" s="302">
        <v>0.70756854747337417</v>
      </c>
      <c r="I426" s="302">
        <v>0</v>
      </c>
      <c r="J426" s="303">
        <v>0.47787849673475641</v>
      </c>
      <c r="K426" s="303">
        <v>0</v>
      </c>
      <c r="L426" s="302">
        <v>0</v>
      </c>
      <c r="M426" s="302">
        <v>0</v>
      </c>
      <c r="N426" s="302">
        <v>0</v>
      </c>
      <c r="O426" s="303">
        <v>0</v>
      </c>
      <c r="P426" s="303">
        <v>0</v>
      </c>
      <c r="Q426" s="302">
        <v>0</v>
      </c>
      <c r="R426" s="303">
        <v>0</v>
      </c>
      <c r="S426" s="303">
        <v>0</v>
      </c>
      <c r="T426" s="303">
        <v>0</v>
      </c>
      <c r="U426" s="303">
        <v>0.47787849673475641</v>
      </c>
      <c r="V426" s="309"/>
    </row>
    <row r="427" spans="1:22">
      <c r="A427" s="304"/>
      <c r="B427" s="305" t="s">
        <v>564</v>
      </c>
      <c r="C427" s="306">
        <v>0.3928567542768443</v>
      </c>
      <c r="D427" s="307">
        <v>0</v>
      </c>
      <c r="E427" s="307">
        <v>0.66495719829183164</v>
      </c>
      <c r="F427" s="307">
        <v>0.68976165967218306</v>
      </c>
      <c r="G427" s="307">
        <v>0.70670572916666663</v>
      </c>
      <c r="H427" s="307">
        <v>0.93900978239169497</v>
      </c>
      <c r="I427" s="307">
        <v>0</v>
      </c>
      <c r="J427" s="308">
        <v>0.47539380335885206</v>
      </c>
      <c r="K427" s="308">
        <v>0</v>
      </c>
      <c r="L427" s="307">
        <v>0</v>
      </c>
      <c r="M427" s="307">
        <v>0</v>
      </c>
      <c r="N427" s="307">
        <v>0</v>
      </c>
      <c r="O427" s="308">
        <v>0</v>
      </c>
      <c r="P427" s="308">
        <v>0</v>
      </c>
      <c r="Q427" s="307">
        <v>0</v>
      </c>
      <c r="R427" s="308">
        <v>0</v>
      </c>
      <c r="S427" s="308">
        <v>0</v>
      </c>
      <c r="T427" s="308">
        <v>0</v>
      </c>
      <c r="U427" s="308">
        <v>0.47539380335885206</v>
      </c>
      <c r="V427" s="309"/>
    </row>
    <row r="428" spans="1:22">
      <c r="A428" s="304"/>
      <c r="B428" s="310" t="s">
        <v>565</v>
      </c>
      <c r="C428" s="311">
        <v>-2.8019473576850586</v>
      </c>
      <c r="D428" s="312">
        <v>0</v>
      </c>
      <c r="E428" s="312">
        <v>1.3808455347800286</v>
      </c>
      <c r="F428" s="312">
        <v>6.6794019577471104</v>
      </c>
      <c r="G428" s="312">
        <v>9.4128674751836723</v>
      </c>
      <c r="H428" s="312">
        <v>23.14412349183208</v>
      </c>
      <c r="I428" s="312">
        <v>0</v>
      </c>
      <c r="J428" s="314">
        <v>-0.24846933759043455</v>
      </c>
      <c r="K428" s="314">
        <v>0</v>
      </c>
      <c r="L428" s="312">
        <v>0</v>
      </c>
      <c r="M428" s="312">
        <v>0</v>
      </c>
      <c r="N428" s="312">
        <v>0</v>
      </c>
      <c r="O428" s="314">
        <v>0</v>
      </c>
      <c r="P428" s="314">
        <v>0</v>
      </c>
      <c r="Q428" s="312">
        <v>0</v>
      </c>
      <c r="R428" s="314">
        <v>0</v>
      </c>
      <c r="S428" s="314">
        <v>0</v>
      </c>
      <c r="T428" s="314">
        <v>0</v>
      </c>
      <c r="U428" s="314">
        <v>-0.24846933759043455</v>
      </c>
      <c r="V428" s="309"/>
    </row>
    <row r="429" spans="1:22">
      <c r="A429" s="304"/>
      <c r="B429" s="50" t="s">
        <v>566</v>
      </c>
      <c r="C429" s="301">
        <v>2.4622609359961953E-2</v>
      </c>
      <c r="D429" s="302">
        <v>0</v>
      </c>
      <c r="E429" s="302">
        <v>0</v>
      </c>
      <c r="F429" s="302">
        <v>0</v>
      </c>
      <c r="G429" s="302">
        <v>0</v>
      </c>
      <c r="H429" s="302">
        <v>0</v>
      </c>
      <c r="I429" s="302">
        <v>0</v>
      </c>
      <c r="J429" s="303">
        <v>1.831042789311723E-2</v>
      </c>
      <c r="K429" s="303">
        <v>0</v>
      </c>
      <c r="L429" s="302">
        <v>0</v>
      </c>
      <c r="M429" s="302">
        <v>0</v>
      </c>
      <c r="N429" s="302">
        <v>0</v>
      </c>
      <c r="O429" s="303">
        <v>0</v>
      </c>
      <c r="P429" s="303">
        <v>0</v>
      </c>
      <c r="Q429" s="302">
        <v>0</v>
      </c>
      <c r="R429" s="303">
        <v>0</v>
      </c>
      <c r="S429" s="303">
        <v>0</v>
      </c>
      <c r="T429" s="303">
        <v>0</v>
      </c>
      <c r="U429" s="303">
        <v>1.831042789311723E-2</v>
      </c>
      <c r="V429" s="309"/>
    </row>
    <row r="430" spans="1:22">
      <c r="A430" s="304"/>
      <c r="B430" s="305" t="s">
        <v>567</v>
      </c>
      <c r="C430" s="306">
        <v>2.3436054967014713E-2</v>
      </c>
      <c r="D430" s="307">
        <v>0</v>
      </c>
      <c r="E430" s="307">
        <v>0</v>
      </c>
      <c r="F430" s="307">
        <v>0</v>
      </c>
      <c r="G430" s="307">
        <v>0</v>
      </c>
      <c r="H430" s="307">
        <v>0</v>
      </c>
      <c r="I430" s="307">
        <v>0</v>
      </c>
      <c r="J430" s="308">
        <v>1.726722513928414E-2</v>
      </c>
      <c r="K430" s="308">
        <v>0</v>
      </c>
      <c r="L430" s="307">
        <v>0</v>
      </c>
      <c r="M430" s="307">
        <v>0</v>
      </c>
      <c r="N430" s="307">
        <v>0</v>
      </c>
      <c r="O430" s="308">
        <v>0</v>
      </c>
      <c r="P430" s="308">
        <v>0</v>
      </c>
      <c r="Q430" s="307">
        <v>0</v>
      </c>
      <c r="R430" s="308">
        <v>0</v>
      </c>
      <c r="S430" s="308">
        <v>0</v>
      </c>
      <c r="T430" s="308">
        <v>0</v>
      </c>
      <c r="U430" s="308">
        <v>1.726722513928414E-2</v>
      </c>
      <c r="V430" s="309"/>
    </row>
    <row r="431" spans="1:22">
      <c r="A431" s="304"/>
      <c r="B431" s="310" t="s">
        <v>568</v>
      </c>
      <c r="C431" s="311">
        <v>-0.11865543929472401</v>
      </c>
      <c r="D431" s="312">
        <v>0</v>
      </c>
      <c r="E431" s="312">
        <v>0</v>
      </c>
      <c r="F431" s="312">
        <v>0</v>
      </c>
      <c r="G431" s="312">
        <v>0</v>
      </c>
      <c r="H431" s="312">
        <v>0</v>
      </c>
      <c r="I431" s="312">
        <v>0</v>
      </c>
      <c r="J431" s="314">
        <v>-0.10432027538330897</v>
      </c>
      <c r="K431" s="314">
        <v>0</v>
      </c>
      <c r="L431" s="312">
        <v>0</v>
      </c>
      <c r="M431" s="312">
        <v>0</v>
      </c>
      <c r="N431" s="312">
        <v>0</v>
      </c>
      <c r="O431" s="314">
        <v>0</v>
      </c>
      <c r="P431" s="314">
        <v>0</v>
      </c>
      <c r="Q431" s="312">
        <v>0</v>
      </c>
      <c r="R431" s="314">
        <v>0</v>
      </c>
      <c r="S431" s="314">
        <v>0</v>
      </c>
      <c r="T431" s="314">
        <v>0</v>
      </c>
      <c r="U431" s="314">
        <v>-0.10432027538330897</v>
      </c>
      <c r="V431" s="309"/>
    </row>
    <row r="432" spans="1:22">
      <c r="A432" s="304"/>
      <c r="B432" s="50" t="s">
        <v>569</v>
      </c>
      <c r="C432" s="301">
        <v>0</v>
      </c>
      <c r="D432" s="302">
        <v>0</v>
      </c>
      <c r="E432" s="302">
        <v>0</v>
      </c>
      <c r="F432" s="302">
        <v>0</v>
      </c>
      <c r="G432" s="302">
        <v>0</v>
      </c>
      <c r="H432" s="302">
        <v>0</v>
      </c>
      <c r="I432" s="302">
        <v>0</v>
      </c>
      <c r="J432" s="303">
        <v>0</v>
      </c>
      <c r="K432" s="303">
        <v>0</v>
      </c>
      <c r="L432" s="302">
        <v>0</v>
      </c>
      <c r="M432" s="302">
        <v>0</v>
      </c>
      <c r="N432" s="302">
        <v>0</v>
      </c>
      <c r="O432" s="303">
        <v>0</v>
      </c>
      <c r="P432" s="303">
        <v>0</v>
      </c>
      <c r="Q432" s="302">
        <v>0</v>
      </c>
      <c r="R432" s="303">
        <v>0</v>
      </c>
      <c r="S432" s="303">
        <v>0</v>
      </c>
      <c r="T432" s="303">
        <v>0</v>
      </c>
      <c r="U432" s="303">
        <v>0</v>
      </c>
      <c r="V432" s="309"/>
    </row>
    <row r="433" spans="1:22">
      <c r="A433" s="304"/>
      <c r="B433" s="305" t="s">
        <v>570</v>
      </c>
      <c r="C433" s="306">
        <v>5.0774492345745281E-5</v>
      </c>
      <c r="D433" s="307">
        <v>0</v>
      </c>
      <c r="E433" s="307">
        <v>0</v>
      </c>
      <c r="F433" s="307">
        <v>0</v>
      </c>
      <c r="G433" s="307">
        <v>0</v>
      </c>
      <c r="H433" s="307">
        <v>0</v>
      </c>
      <c r="I433" s="307">
        <v>0</v>
      </c>
      <c r="J433" s="308">
        <v>3.7409649017328684E-5</v>
      </c>
      <c r="K433" s="308">
        <v>0</v>
      </c>
      <c r="L433" s="307">
        <v>0</v>
      </c>
      <c r="M433" s="307">
        <v>0</v>
      </c>
      <c r="N433" s="307">
        <v>0</v>
      </c>
      <c r="O433" s="308">
        <v>0</v>
      </c>
      <c r="P433" s="308">
        <v>0</v>
      </c>
      <c r="Q433" s="307">
        <v>0</v>
      </c>
      <c r="R433" s="308">
        <v>0</v>
      </c>
      <c r="S433" s="308">
        <v>0</v>
      </c>
      <c r="T433" s="308">
        <v>0</v>
      </c>
      <c r="U433" s="308">
        <v>3.7409649017328684E-5</v>
      </c>
      <c r="V433" s="309"/>
    </row>
    <row r="434" spans="1:22">
      <c r="A434" s="304"/>
      <c r="B434" s="310" t="s">
        <v>571</v>
      </c>
      <c r="C434" s="311">
        <v>0</v>
      </c>
      <c r="D434" s="312">
        <v>0</v>
      </c>
      <c r="E434" s="312">
        <v>0</v>
      </c>
      <c r="F434" s="312">
        <v>0</v>
      </c>
      <c r="G434" s="312">
        <v>0</v>
      </c>
      <c r="H434" s="312">
        <v>0</v>
      </c>
      <c r="I434" s="312">
        <v>0</v>
      </c>
      <c r="J434" s="314">
        <v>0</v>
      </c>
      <c r="K434" s="314">
        <v>0</v>
      </c>
      <c r="L434" s="312">
        <v>0</v>
      </c>
      <c r="M434" s="312">
        <v>0</v>
      </c>
      <c r="N434" s="312">
        <v>0</v>
      </c>
      <c r="O434" s="314">
        <v>0</v>
      </c>
      <c r="P434" s="314">
        <v>0</v>
      </c>
      <c r="Q434" s="312">
        <v>0</v>
      </c>
      <c r="R434" s="314">
        <v>0</v>
      </c>
      <c r="S434" s="314">
        <v>0</v>
      </c>
      <c r="T434" s="314">
        <v>0</v>
      </c>
      <c r="U434" s="314">
        <v>0</v>
      </c>
      <c r="V434" s="309"/>
    </row>
    <row r="435" spans="1:22">
      <c r="A435" s="304"/>
      <c r="B435" s="50" t="s">
        <v>572</v>
      </c>
      <c r="C435" s="301">
        <v>0</v>
      </c>
      <c r="D435" s="302">
        <v>0</v>
      </c>
      <c r="E435" s="302">
        <v>0</v>
      </c>
      <c r="F435" s="302">
        <v>0</v>
      </c>
      <c r="G435" s="302">
        <v>0</v>
      </c>
      <c r="H435" s="302">
        <v>0</v>
      </c>
      <c r="I435" s="302">
        <v>0</v>
      </c>
      <c r="J435" s="303">
        <v>0</v>
      </c>
      <c r="K435" s="303">
        <v>0</v>
      </c>
      <c r="L435" s="302">
        <v>0</v>
      </c>
      <c r="M435" s="302">
        <v>0</v>
      </c>
      <c r="N435" s="302">
        <v>0</v>
      </c>
      <c r="O435" s="303">
        <v>0</v>
      </c>
      <c r="P435" s="303">
        <v>0</v>
      </c>
      <c r="Q435" s="302">
        <v>0</v>
      </c>
      <c r="R435" s="303">
        <v>0</v>
      </c>
      <c r="S435" s="303">
        <v>0</v>
      </c>
      <c r="T435" s="303">
        <v>0</v>
      </c>
      <c r="U435" s="303">
        <v>0</v>
      </c>
      <c r="V435" s="309"/>
    </row>
    <row r="436" spans="1:22">
      <c r="A436" s="304"/>
      <c r="B436" s="305" t="s">
        <v>573</v>
      </c>
      <c r="C436" s="306">
        <v>0</v>
      </c>
      <c r="D436" s="307">
        <v>0</v>
      </c>
      <c r="E436" s="307">
        <v>0</v>
      </c>
      <c r="F436" s="307">
        <v>0</v>
      </c>
      <c r="G436" s="307">
        <v>0</v>
      </c>
      <c r="H436" s="307">
        <v>0</v>
      </c>
      <c r="I436" s="307">
        <v>0</v>
      </c>
      <c r="J436" s="308">
        <v>0</v>
      </c>
      <c r="K436" s="308">
        <v>0</v>
      </c>
      <c r="L436" s="307">
        <v>0</v>
      </c>
      <c r="M436" s="307">
        <v>0</v>
      </c>
      <c r="N436" s="307">
        <v>0</v>
      </c>
      <c r="O436" s="308">
        <v>0</v>
      </c>
      <c r="P436" s="308">
        <v>0</v>
      </c>
      <c r="Q436" s="307">
        <v>0</v>
      </c>
      <c r="R436" s="308">
        <v>0</v>
      </c>
      <c r="S436" s="308">
        <v>0</v>
      </c>
      <c r="T436" s="308">
        <v>0</v>
      </c>
      <c r="U436" s="308">
        <v>0</v>
      </c>
      <c r="V436" s="309"/>
    </row>
    <row r="437" spans="1:22" ht="15.75" thickBot="1">
      <c r="A437" s="320"/>
      <c r="B437" s="321" t="s">
        <v>574</v>
      </c>
      <c r="C437" s="322">
        <v>0</v>
      </c>
      <c r="D437" s="323">
        <v>0</v>
      </c>
      <c r="E437" s="323">
        <v>0</v>
      </c>
      <c r="F437" s="323">
        <v>0</v>
      </c>
      <c r="G437" s="323">
        <v>0</v>
      </c>
      <c r="H437" s="323">
        <v>0</v>
      </c>
      <c r="I437" s="323">
        <v>0</v>
      </c>
      <c r="J437" s="324">
        <v>0</v>
      </c>
      <c r="K437" s="324">
        <v>0</v>
      </c>
      <c r="L437" s="323">
        <v>0</v>
      </c>
      <c r="M437" s="323">
        <v>0</v>
      </c>
      <c r="N437" s="323">
        <v>0</v>
      </c>
      <c r="O437" s="324">
        <v>0</v>
      </c>
      <c r="P437" s="324">
        <v>0</v>
      </c>
      <c r="Q437" s="323">
        <v>0</v>
      </c>
      <c r="R437" s="324">
        <v>0</v>
      </c>
      <c r="S437" s="324">
        <v>0</v>
      </c>
      <c r="T437" s="324">
        <v>0</v>
      </c>
      <c r="U437" s="324">
        <v>0</v>
      </c>
      <c r="V437" s="309"/>
    </row>
    <row r="438" spans="1:22">
      <c r="A438" s="300" t="s">
        <v>385</v>
      </c>
      <c r="B438" s="50" t="s">
        <v>539</v>
      </c>
      <c r="C438" s="301">
        <v>0.75382897343957256</v>
      </c>
      <c r="D438" s="302">
        <v>0.53213890060452695</v>
      </c>
      <c r="E438" s="302">
        <v>0.39360936691048598</v>
      </c>
      <c r="F438" s="302">
        <v>0.48496981450780441</v>
      </c>
      <c r="G438" s="302">
        <v>0</v>
      </c>
      <c r="H438" s="302">
        <v>0</v>
      </c>
      <c r="I438" s="302">
        <v>0</v>
      </c>
      <c r="J438" s="303">
        <v>0.57682273550668206</v>
      </c>
      <c r="K438" s="303">
        <v>0</v>
      </c>
      <c r="L438" s="302">
        <v>0.19391538620493365</v>
      </c>
      <c r="M438" s="302">
        <v>0.1930927192584764</v>
      </c>
      <c r="N438" s="302">
        <v>0.27073371482323433</v>
      </c>
      <c r="O438" s="303">
        <v>0.19619739132314945</v>
      </c>
      <c r="P438" s="303">
        <v>0</v>
      </c>
      <c r="Q438" s="302">
        <v>0</v>
      </c>
      <c r="R438" s="303">
        <v>0</v>
      </c>
      <c r="S438" s="303">
        <v>0</v>
      </c>
      <c r="T438" s="303">
        <v>0</v>
      </c>
      <c r="U438" s="303">
        <v>0.44789751336011074</v>
      </c>
      <c r="V438" s="309"/>
    </row>
    <row r="439" spans="1:22">
      <c r="A439" s="304"/>
      <c r="B439" s="305" t="s">
        <v>540</v>
      </c>
      <c r="C439" s="306">
        <v>0.60666219135238486</v>
      </c>
      <c r="D439" s="307">
        <v>0.58705520673356093</v>
      </c>
      <c r="E439" s="307">
        <v>0.37899816402760289</v>
      </c>
      <c r="F439" s="307">
        <v>0.48953315231672068</v>
      </c>
      <c r="G439" s="307">
        <v>0</v>
      </c>
      <c r="H439" s="307">
        <v>0</v>
      </c>
      <c r="I439" s="307">
        <v>0</v>
      </c>
      <c r="J439" s="308">
        <v>0.53319742435542494</v>
      </c>
      <c r="K439" s="308">
        <v>0</v>
      </c>
      <c r="L439" s="307">
        <v>0.12707357124099461</v>
      </c>
      <c r="M439" s="307">
        <v>0.11639403249467187</v>
      </c>
      <c r="N439" s="307">
        <v>0.22347424755732312</v>
      </c>
      <c r="O439" s="308">
        <v>0.12554175985828014</v>
      </c>
      <c r="P439" s="308">
        <v>0</v>
      </c>
      <c r="Q439" s="307">
        <v>0</v>
      </c>
      <c r="R439" s="308">
        <v>0</v>
      </c>
      <c r="S439" s="308">
        <v>0</v>
      </c>
      <c r="T439" s="308">
        <v>0</v>
      </c>
      <c r="U439" s="308">
        <v>0.4045988061396012</v>
      </c>
      <c r="V439" s="309"/>
    </row>
    <row r="440" spans="1:22">
      <c r="A440" s="304"/>
      <c r="B440" s="310" t="s">
        <v>541</v>
      </c>
      <c r="C440" s="311">
        <v>-14.71667820871877</v>
      </c>
      <c r="D440" s="312">
        <v>5.491630612903398</v>
      </c>
      <c r="E440" s="312">
        <v>-1.461120288288309</v>
      </c>
      <c r="F440" s="312">
        <v>0.45633378089162679</v>
      </c>
      <c r="G440" s="312">
        <v>0</v>
      </c>
      <c r="H440" s="312">
        <v>0</v>
      </c>
      <c r="I440" s="312">
        <v>0</v>
      </c>
      <c r="J440" s="314">
        <v>-4.3625311151257122</v>
      </c>
      <c r="K440" s="314">
        <v>0</v>
      </c>
      <c r="L440" s="312">
        <v>-6.6841814963939044</v>
      </c>
      <c r="M440" s="312">
        <v>-7.6698686763804531</v>
      </c>
      <c r="N440" s="312">
        <v>-4.725946726591121</v>
      </c>
      <c r="O440" s="314">
        <v>-7.0655631464869302</v>
      </c>
      <c r="P440" s="314">
        <v>0</v>
      </c>
      <c r="Q440" s="312">
        <v>0</v>
      </c>
      <c r="R440" s="314">
        <v>0</v>
      </c>
      <c r="S440" s="314">
        <v>0</v>
      </c>
      <c r="T440" s="314">
        <v>0</v>
      </c>
      <c r="U440" s="314">
        <v>-4.3298707220509547</v>
      </c>
      <c r="V440" s="309"/>
    </row>
    <row r="441" spans="1:22">
      <c r="A441" s="304"/>
      <c r="B441" s="50" t="s">
        <v>542</v>
      </c>
      <c r="C441" s="301">
        <v>1.8676191650124276E-2</v>
      </c>
      <c r="D441" s="302">
        <v>3.0986644172641641E-2</v>
      </c>
      <c r="E441" s="302">
        <v>1.650493169961104E-2</v>
      </c>
      <c r="F441" s="302">
        <v>6.9223310081641592E-2</v>
      </c>
      <c r="G441" s="302">
        <v>0</v>
      </c>
      <c r="H441" s="302">
        <v>0</v>
      </c>
      <c r="I441" s="302">
        <v>0</v>
      </c>
      <c r="J441" s="303">
        <v>2.4694690807602775E-2</v>
      </c>
      <c r="K441" s="303">
        <v>0</v>
      </c>
      <c r="L441" s="302">
        <v>0.15418305826636983</v>
      </c>
      <c r="M441" s="302">
        <v>0.24266459643339647</v>
      </c>
      <c r="N441" s="302">
        <v>0.32493924903974286</v>
      </c>
      <c r="O441" s="303">
        <v>0.19949945404815186</v>
      </c>
      <c r="P441" s="303">
        <v>0</v>
      </c>
      <c r="Q441" s="302">
        <v>0</v>
      </c>
      <c r="R441" s="303">
        <v>0</v>
      </c>
      <c r="S441" s="303">
        <v>0</v>
      </c>
      <c r="T441" s="303">
        <v>0</v>
      </c>
      <c r="U441" s="303">
        <v>8.3904470916726745E-2</v>
      </c>
      <c r="V441" s="309"/>
    </row>
    <row r="442" spans="1:22">
      <c r="A442" s="304"/>
      <c r="B442" s="305" t="s">
        <v>543</v>
      </c>
      <c r="C442" s="306">
        <v>1.8066356472246959E-2</v>
      </c>
      <c r="D442" s="307">
        <v>2.8918006631537246E-2</v>
      </c>
      <c r="E442" s="307">
        <v>1.3297786281557974E-2</v>
      </c>
      <c r="F442" s="307">
        <v>7.1000734397423548E-2</v>
      </c>
      <c r="G442" s="307">
        <v>0</v>
      </c>
      <c r="H442" s="307">
        <v>0</v>
      </c>
      <c r="I442" s="307">
        <v>0</v>
      </c>
      <c r="J442" s="308">
        <v>2.2795228365776733E-2</v>
      </c>
      <c r="K442" s="308">
        <v>0</v>
      </c>
      <c r="L442" s="307">
        <v>8.8462353786136219E-2</v>
      </c>
      <c r="M442" s="307">
        <v>0.18482105787594452</v>
      </c>
      <c r="N442" s="307">
        <v>0.27399715225610055</v>
      </c>
      <c r="O442" s="308">
        <v>0.13767059518880204</v>
      </c>
      <c r="P442" s="308">
        <v>0</v>
      </c>
      <c r="Q442" s="307">
        <v>0</v>
      </c>
      <c r="R442" s="308">
        <v>0</v>
      </c>
      <c r="S442" s="308">
        <v>0</v>
      </c>
      <c r="T442" s="308">
        <v>0</v>
      </c>
      <c r="U442" s="308">
        <v>5.903368824023876E-2</v>
      </c>
      <c r="V442" s="309"/>
    </row>
    <row r="443" spans="1:22">
      <c r="A443" s="304"/>
      <c r="B443" s="310" t="s">
        <v>544</v>
      </c>
      <c r="C443" s="311">
        <v>-6.0983517787731659E-2</v>
      </c>
      <c r="D443" s="312">
        <v>-0.20686375411043956</v>
      </c>
      <c r="E443" s="312">
        <v>-0.32071454180530656</v>
      </c>
      <c r="F443" s="312">
        <v>0.17774243157819558</v>
      </c>
      <c r="G443" s="312">
        <v>0</v>
      </c>
      <c r="H443" s="312">
        <v>0</v>
      </c>
      <c r="I443" s="312">
        <v>0</v>
      </c>
      <c r="J443" s="314">
        <v>-0.1899462441826042</v>
      </c>
      <c r="K443" s="314">
        <v>0</v>
      </c>
      <c r="L443" s="312">
        <v>-6.5720704480233607</v>
      </c>
      <c r="M443" s="312">
        <v>-5.784353855745195</v>
      </c>
      <c r="N443" s="312">
        <v>-5.0942096783642308</v>
      </c>
      <c r="O443" s="314">
        <v>-6.1828858859349829</v>
      </c>
      <c r="P443" s="314">
        <v>0</v>
      </c>
      <c r="Q443" s="312">
        <v>0</v>
      </c>
      <c r="R443" s="314">
        <v>0</v>
      </c>
      <c r="S443" s="314">
        <v>0</v>
      </c>
      <c r="T443" s="314">
        <v>0</v>
      </c>
      <c r="U443" s="314">
        <v>-2.4870782676487986</v>
      </c>
      <c r="V443" s="309"/>
    </row>
    <row r="444" spans="1:22">
      <c r="A444" s="304"/>
      <c r="B444" s="50" t="s">
        <v>545</v>
      </c>
      <c r="C444" s="301">
        <v>0.19638287342724628</v>
      </c>
      <c r="D444" s="302">
        <v>0.38335442148179388</v>
      </c>
      <c r="E444" s="302">
        <v>0.42279998406988012</v>
      </c>
      <c r="F444" s="302">
        <v>0.4306046482529951</v>
      </c>
      <c r="G444" s="302">
        <v>0</v>
      </c>
      <c r="H444" s="302">
        <v>0</v>
      </c>
      <c r="I444" s="302">
        <v>0</v>
      </c>
      <c r="J444" s="303">
        <v>0.32590540623790826</v>
      </c>
      <c r="K444" s="303">
        <v>0</v>
      </c>
      <c r="L444" s="302">
        <v>0.5141367394070302</v>
      </c>
      <c r="M444" s="302">
        <v>0.39873268972126147</v>
      </c>
      <c r="N444" s="302">
        <v>0.32429254526926393</v>
      </c>
      <c r="O444" s="303">
        <v>0.45616506664936918</v>
      </c>
      <c r="P444" s="303">
        <v>0</v>
      </c>
      <c r="Q444" s="302">
        <v>0</v>
      </c>
      <c r="R444" s="303">
        <v>0</v>
      </c>
      <c r="S444" s="303">
        <v>0</v>
      </c>
      <c r="T444" s="303">
        <v>0</v>
      </c>
      <c r="U444" s="303">
        <v>0.37002689187178872</v>
      </c>
      <c r="V444" s="309"/>
    </row>
    <row r="445" spans="1:22">
      <c r="A445" s="304"/>
      <c r="B445" s="305" t="s">
        <v>546</v>
      </c>
      <c r="C445" s="306">
        <v>0.32959247070047643</v>
      </c>
      <c r="D445" s="307">
        <v>0.33125396834010779</v>
      </c>
      <c r="E445" s="307">
        <v>0.4612145555328892</v>
      </c>
      <c r="F445" s="307">
        <v>0.42346433456182075</v>
      </c>
      <c r="G445" s="307">
        <v>0</v>
      </c>
      <c r="H445" s="307">
        <v>0</v>
      </c>
      <c r="I445" s="307">
        <v>0</v>
      </c>
      <c r="J445" s="308">
        <v>0.370833108883728</v>
      </c>
      <c r="K445" s="308">
        <v>0</v>
      </c>
      <c r="L445" s="307">
        <v>0.5574920664049029</v>
      </c>
      <c r="M445" s="307">
        <v>0.53096589074335487</v>
      </c>
      <c r="N445" s="307">
        <v>0.47444395345411694</v>
      </c>
      <c r="O445" s="308">
        <v>0.54287363011415135</v>
      </c>
      <c r="P445" s="308">
        <v>0</v>
      </c>
      <c r="Q445" s="307">
        <v>0</v>
      </c>
      <c r="R445" s="308">
        <v>0</v>
      </c>
      <c r="S445" s="308">
        <v>0</v>
      </c>
      <c r="T445" s="308">
        <v>0</v>
      </c>
      <c r="U445" s="308">
        <v>0.42510482698840185</v>
      </c>
      <c r="V445" s="309"/>
    </row>
    <row r="446" spans="1:22">
      <c r="A446" s="304"/>
      <c r="B446" s="310" t="s">
        <v>547</v>
      </c>
      <c r="C446" s="311">
        <v>13.320959727323014</v>
      </c>
      <c r="D446" s="312">
        <v>-5.2100453141686103</v>
      </c>
      <c r="E446" s="312">
        <v>3.8414571463009084</v>
      </c>
      <c r="F446" s="312">
        <v>-0.71403136911743492</v>
      </c>
      <c r="G446" s="312">
        <v>0</v>
      </c>
      <c r="H446" s="312">
        <v>0</v>
      </c>
      <c r="I446" s="312">
        <v>0</v>
      </c>
      <c r="J446" s="314">
        <v>4.4927702645819743</v>
      </c>
      <c r="K446" s="314">
        <v>0</v>
      </c>
      <c r="L446" s="312">
        <v>4.3355326997872705</v>
      </c>
      <c r="M446" s="312">
        <v>13.223320102209341</v>
      </c>
      <c r="N446" s="312">
        <v>15.015140818485301</v>
      </c>
      <c r="O446" s="314">
        <v>8.6708563464782173</v>
      </c>
      <c r="P446" s="314">
        <v>0</v>
      </c>
      <c r="Q446" s="312">
        <v>0</v>
      </c>
      <c r="R446" s="314">
        <v>0</v>
      </c>
      <c r="S446" s="314">
        <v>0</v>
      </c>
      <c r="T446" s="314">
        <v>0</v>
      </c>
      <c r="U446" s="314">
        <v>5.5077935116613128</v>
      </c>
      <c r="V446" s="309"/>
    </row>
    <row r="447" spans="1:22">
      <c r="A447" s="304"/>
      <c r="B447" s="50" t="s">
        <v>548</v>
      </c>
      <c r="C447" s="301">
        <v>0</v>
      </c>
      <c r="D447" s="302">
        <v>8.1428370589062288E-3</v>
      </c>
      <c r="E447" s="302">
        <v>0</v>
      </c>
      <c r="F447" s="302">
        <v>1.3600675654540336E-2</v>
      </c>
      <c r="G447" s="302">
        <v>0</v>
      </c>
      <c r="H447" s="302">
        <v>0</v>
      </c>
      <c r="I447" s="302">
        <v>0</v>
      </c>
      <c r="J447" s="303">
        <v>3.2581542109929996E-3</v>
      </c>
      <c r="K447" s="303">
        <v>0</v>
      </c>
      <c r="L447" s="302">
        <v>1.8779672206994875E-3</v>
      </c>
      <c r="M447" s="302">
        <v>1.7811789715651238E-2</v>
      </c>
      <c r="N447" s="302">
        <v>5.4832640903033629E-2</v>
      </c>
      <c r="O447" s="303">
        <v>1.0804170855901145E-2</v>
      </c>
      <c r="P447" s="303">
        <v>0</v>
      </c>
      <c r="Q447" s="302">
        <v>0</v>
      </c>
      <c r="R447" s="303">
        <v>0</v>
      </c>
      <c r="S447" s="303">
        <v>0</v>
      </c>
      <c r="T447" s="303">
        <v>0</v>
      </c>
      <c r="U447" s="303">
        <v>5.8141371142160737E-3</v>
      </c>
      <c r="V447" s="309"/>
    </row>
    <row r="448" spans="1:22">
      <c r="A448" s="304"/>
      <c r="B448" s="305" t="s">
        <v>549</v>
      </c>
      <c r="C448" s="306">
        <v>0</v>
      </c>
      <c r="D448" s="307">
        <v>7.8579917621329452E-3</v>
      </c>
      <c r="E448" s="307">
        <v>0</v>
      </c>
      <c r="F448" s="307">
        <v>1.4458870375485948E-2</v>
      </c>
      <c r="G448" s="307">
        <v>0</v>
      </c>
      <c r="H448" s="307">
        <v>0</v>
      </c>
      <c r="I448" s="307">
        <v>0</v>
      </c>
      <c r="J448" s="308">
        <v>3.0112917751295674E-3</v>
      </c>
      <c r="K448" s="308">
        <v>0</v>
      </c>
      <c r="L448" s="307">
        <v>7.4036341086056168E-4</v>
      </c>
      <c r="M448" s="307">
        <v>5.790362312823494E-3</v>
      </c>
      <c r="N448" s="307">
        <v>0</v>
      </c>
      <c r="O448" s="308">
        <v>2.9684118502688941E-3</v>
      </c>
      <c r="P448" s="308">
        <v>0</v>
      </c>
      <c r="Q448" s="307">
        <v>0</v>
      </c>
      <c r="R448" s="308">
        <v>0</v>
      </c>
      <c r="S448" s="308">
        <v>0</v>
      </c>
      <c r="T448" s="308">
        <v>0</v>
      </c>
      <c r="U448" s="308">
        <v>2.9977649200738847E-3</v>
      </c>
      <c r="V448" s="309"/>
    </row>
    <row r="449" spans="1:22">
      <c r="A449" s="304"/>
      <c r="B449" s="310" t="s">
        <v>550</v>
      </c>
      <c r="C449" s="311">
        <v>0</v>
      </c>
      <c r="D449" s="312">
        <v>-2.8484529677328362E-2</v>
      </c>
      <c r="E449" s="312">
        <v>0</v>
      </c>
      <c r="F449" s="312">
        <v>8.5819472094561186E-2</v>
      </c>
      <c r="G449" s="312">
        <v>0</v>
      </c>
      <c r="H449" s="312">
        <v>0</v>
      </c>
      <c r="I449" s="312">
        <v>0</v>
      </c>
      <c r="J449" s="314">
        <v>-2.4686243586343221E-2</v>
      </c>
      <c r="K449" s="314">
        <v>0</v>
      </c>
      <c r="L449" s="312">
        <v>-0.11376038098389257</v>
      </c>
      <c r="M449" s="312">
        <v>-1.2021427402827745</v>
      </c>
      <c r="N449" s="312">
        <v>-5.4832640903033631</v>
      </c>
      <c r="O449" s="314">
        <v>-0.78357590056322513</v>
      </c>
      <c r="P449" s="314">
        <v>0</v>
      </c>
      <c r="Q449" s="312">
        <v>0</v>
      </c>
      <c r="R449" s="314">
        <v>0</v>
      </c>
      <c r="S449" s="314">
        <v>0</v>
      </c>
      <c r="T449" s="314">
        <v>0</v>
      </c>
      <c r="U449" s="314">
        <v>-0.28163721941421888</v>
      </c>
      <c r="V449" s="309"/>
    </row>
    <row r="450" spans="1:22">
      <c r="A450" s="304"/>
      <c r="B450" s="50" t="s">
        <v>551</v>
      </c>
      <c r="C450" s="301">
        <v>2.6095891293029382E-2</v>
      </c>
      <c r="D450" s="302">
        <v>3.9996625896246307E-2</v>
      </c>
      <c r="E450" s="302">
        <v>0.16046542500232314</v>
      </c>
      <c r="F450" s="302">
        <v>4.5043636022396694E-4</v>
      </c>
      <c r="G450" s="302">
        <v>0</v>
      </c>
      <c r="H450" s="302">
        <v>0</v>
      </c>
      <c r="I450" s="302">
        <v>0</v>
      </c>
      <c r="J450" s="303">
        <v>6.3986355484213497E-2</v>
      </c>
      <c r="K450" s="303">
        <v>0</v>
      </c>
      <c r="L450" s="302">
        <v>0.13453263309199182</v>
      </c>
      <c r="M450" s="302">
        <v>0.14573613320252857</v>
      </c>
      <c r="N450" s="302">
        <v>1.998902563298581E-2</v>
      </c>
      <c r="O450" s="303">
        <v>0.13557579000854064</v>
      </c>
      <c r="P450" s="303">
        <v>0</v>
      </c>
      <c r="Q450" s="302">
        <v>0</v>
      </c>
      <c r="R450" s="303">
        <v>0</v>
      </c>
      <c r="S450" s="303">
        <v>0</v>
      </c>
      <c r="T450" s="303">
        <v>0</v>
      </c>
      <c r="U450" s="303">
        <v>8.8235092176181806E-2</v>
      </c>
      <c r="V450" s="309"/>
    </row>
    <row r="451" spans="1:22">
      <c r="A451" s="304"/>
      <c r="B451" s="305" t="s">
        <v>552</v>
      </c>
      <c r="C451" s="306">
        <v>4.0573083869826061E-2</v>
      </c>
      <c r="D451" s="307">
        <v>3.9384927633756804E-2</v>
      </c>
      <c r="E451" s="307">
        <v>0.13976603662096668</v>
      </c>
      <c r="F451" s="307">
        <v>2.0212773125096853E-5</v>
      </c>
      <c r="G451" s="307">
        <v>0</v>
      </c>
      <c r="H451" s="307">
        <v>0</v>
      </c>
      <c r="I451" s="307">
        <v>0</v>
      </c>
      <c r="J451" s="308">
        <v>6.4704079317835062E-2</v>
      </c>
      <c r="K451" s="308">
        <v>0</v>
      </c>
      <c r="L451" s="307">
        <v>0.22487589421029486</v>
      </c>
      <c r="M451" s="307">
        <v>0.15868692739904233</v>
      </c>
      <c r="N451" s="307">
        <v>2.3542986203171797E-2</v>
      </c>
      <c r="O451" s="308">
        <v>0.18859705085072248</v>
      </c>
      <c r="P451" s="308">
        <v>0</v>
      </c>
      <c r="Q451" s="307">
        <v>0</v>
      </c>
      <c r="R451" s="308">
        <v>0</v>
      </c>
      <c r="S451" s="308">
        <v>0</v>
      </c>
      <c r="T451" s="308">
        <v>0</v>
      </c>
      <c r="U451" s="308">
        <v>0.10378722309172293</v>
      </c>
      <c r="V451" s="309"/>
    </row>
    <row r="452" spans="1:22">
      <c r="A452" s="304"/>
      <c r="B452" s="310" t="s">
        <v>553</v>
      </c>
      <c r="C452" s="311">
        <v>1.447719257679668</v>
      </c>
      <c r="D452" s="312">
        <v>-6.1169826248950315E-2</v>
      </c>
      <c r="E452" s="312">
        <v>-2.0699388381356458</v>
      </c>
      <c r="F452" s="312">
        <v>-4.3022358709887007E-2</v>
      </c>
      <c r="G452" s="312">
        <v>0</v>
      </c>
      <c r="H452" s="312">
        <v>0</v>
      </c>
      <c r="I452" s="312">
        <v>0</v>
      </c>
      <c r="J452" s="314">
        <v>7.1772383362156411E-2</v>
      </c>
      <c r="K452" s="314">
        <v>0</v>
      </c>
      <c r="L452" s="312">
        <v>9.0343261118303033</v>
      </c>
      <c r="M452" s="312">
        <v>1.2950794196513766</v>
      </c>
      <c r="N452" s="312">
        <v>0.35539605701859872</v>
      </c>
      <c r="O452" s="314">
        <v>5.3021260842181839</v>
      </c>
      <c r="P452" s="314">
        <v>0</v>
      </c>
      <c r="Q452" s="312">
        <v>0</v>
      </c>
      <c r="R452" s="314">
        <v>0</v>
      </c>
      <c r="S452" s="314">
        <v>0</v>
      </c>
      <c r="T452" s="314">
        <v>0</v>
      </c>
      <c r="U452" s="314">
        <v>1.5552130915541127</v>
      </c>
      <c r="V452" s="309"/>
    </row>
    <row r="453" spans="1:22">
      <c r="A453" s="304"/>
      <c r="B453" s="50" t="s">
        <v>554</v>
      </c>
      <c r="C453" s="301">
        <v>5.0160701900274678E-3</v>
      </c>
      <c r="D453" s="302">
        <v>5.3805707858849989E-3</v>
      </c>
      <c r="E453" s="302">
        <v>6.6202923176996911E-3</v>
      </c>
      <c r="F453" s="302">
        <v>1.1511151427945822E-3</v>
      </c>
      <c r="G453" s="302">
        <v>0</v>
      </c>
      <c r="H453" s="302">
        <v>0</v>
      </c>
      <c r="I453" s="302">
        <v>0</v>
      </c>
      <c r="J453" s="303">
        <v>5.3326577526003971E-3</v>
      </c>
      <c r="K453" s="303">
        <v>0</v>
      </c>
      <c r="L453" s="302">
        <v>1.3542158089749937E-3</v>
      </c>
      <c r="M453" s="302">
        <v>1.9620716686858516E-3</v>
      </c>
      <c r="N453" s="302">
        <v>5.2128243317394376E-3</v>
      </c>
      <c r="O453" s="303">
        <v>1.7581271148877284E-3</v>
      </c>
      <c r="P453" s="303">
        <v>0</v>
      </c>
      <c r="Q453" s="302">
        <v>0</v>
      </c>
      <c r="R453" s="303">
        <v>0</v>
      </c>
      <c r="S453" s="303">
        <v>0</v>
      </c>
      <c r="T453" s="303">
        <v>0</v>
      </c>
      <c r="U453" s="303">
        <v>4.1218945609758891E-3</v>
      </c>
      <c r="V453" s="309"/>
    </row>
    <row r="454" spans="1:22">
      <c r="A454" s="304"/>
      <c r="B454" s="305" t="s">
        <v>555</v>
      </c>
      <c r="C454" s="306">
        <v>5.1058976050656971E-3</v>
      </c>
      <c r="D454" s="307">
        <v>5.5298988989043313E-3</v>
      </c>
      <c r="E454" s="307">
        <v>6.7234575369832369E-3</v>
      </c>
      <c r="F454" s="307">
        <v>1.5226955754239629E-3</v>
      </c>
      <c r="G454" s="307">
        <v>0</v>
      </c>
      <c r="H454" s="307">
        <v>0</v>
      </c>
      <c r="I454" s="307">
        <v>0</v>
      </c>
      <c r="J454" s="308">
        <v>5.4588673021056279E-3</v>
      </c>
      <c r="K454" s="308">
        <v>0</v>
      </c>
      <c r="L454" s="307">
        <v>1.3557509468109005E-3</v>
      </c>
      <c r="M454" s="307">
        <v>3.341729174162953E-3</v>
      </c>
      <c r="N454" s="307">
        <v>4.5416605292875733E-3</v>
      </c>
      <c r="O454" s="308">
        <v>2.3485521377751401E-3</v>
      </c>
      <c r="P454" s="308">
        <v>0</v>
      </c>
      <c r="Q454" s="307">
        <v>0</v>
      </c>
      <c r="R454" s="308">
        <v>0</v>
      </c>
      <c r="S454" s="308">
        <v>0</v>
      </c>
      <c r="T454" s="308">
        <v>0</v>
      </c>
      <c r="U454" s="308">
        <v>4.4776906199613647E-3</v>
      </c>
      <c r="V454" s="309"/>
    </row>
    <row r="455" spans="1:22" ht="15.75" thickBot="1">
      <c r="A455" s="304"/>
      <c r="B455" s="316" t="s">
        <v>556</v>
      </c>
      <c r="C455" s="317">
        <v>8.9827415038229268E-3</v>
      </c>
      <c r="D455" s="318">
        <v>1.493281130193324E-2</v>
      </c>
      <c r="E455" s="318">
        <v>1.0316521928354586E-2</v>
      </c>
      <c r="F455" s="318">
        <v>3.7158043262938069E-2</v>
      </c>
      <c r="G455" s="318">
        <v>0</v>
      </c>
      <c r="H455" s="318">
        <v>0</v>
      </c>
      <c r="I455" s="318">
        <v>0</v>
      </c>
      <c r="J455" s="319">
        <v>1.2620954950523077E-2</v>
      </c>
      <c r="K455" s="319">
        <v>0</v>
      </c>
      <c r="L455" s="318">
        <v>1.535137835906742E-4</v>
      </c>
      <c r="M455" s="318">
        <v>0.13796575054771015</v>
      </c>
      <c r="N455" s="318">
        <v>-6.711638024518643E-2</v>
      </c>
      <c r="O455" s="319">
        <v>5.9042502288741167E-2</v>
      </c>
      <c r="P455" s="319">
        <v>0</v>
      </c>
      <c r="Q455" s="318">
        <v>0</v>
      </c>
      <c r="R455" s="319">
        <v>0</v>
      </c>
      <c r="S455" s="319">
        <v>0</v>
      </c>
      <c r="T455" s="319">
        <v>0</v>
      </c>
      <c r="U455" s="319">
        <v>3.5579605898547556E-2</v>
      </c>
      <c r="V455" s="309"/>
    </row>
    <row r="456" spans="1:22" ht="15.75" thickTop="1">
      <c r="A456" s="304"/>
      <c r="B456" s="305" t="s">
        <v>557</v>
      </c>
      <c r="C456" s="306">
        <v>0.54294937970294965</v>
      </c>
      <c r="D456" s="307">
        <v>0.34479692547841806</v>
      </c>
      <c r="E456" s="307">
        <v>0.20328498616131521</v>
      </c>
      <c r="F456" s="307">
        <v>4.8190704853369917E-2</v>
      </c>
      <c r="G456" s="307">
        <v>0</v>
      </c>
      <c r="H456" s="307">
        <v>0</v>
      </c>
      <c r="I456" s="307">
        <v>0</v>
      </c>
      <c r="J456" s="308">
        <v>0.40363147431624929</v>
      </c>
      <c r="K456" s="308">
        <v>0</v>
      </c>
      <c r="L456" s="307">
        <v>0</v>
      </c>
      <c r="M456" s="307">
        <v>0</v>
      </c>
      <c r="N456" s="307">
        <v>0</v>
      </c>
      <c r="O456" s="308">
        <v>0</v>
      </c>
      <c r="P456" s="308">
        <v>0</v>
      </c>
      <c r="Q456" s="307">
        <v>0</v>
      </c>
      <c r="R456" s="308">
        <v>0</v>
      </c>
      <c r="S456" s="308">
        <v>0</v>
      </c>
      <c r="T456" s="308">
        <v>0</v>
      </c>
      <c r="U456" s="308">
        <v>0.40363147431624929</v>
      </c>
      <c r="V456" s="309"/>
    </row>
    <row r="457" spans="1:22">
      <c r="A457" s="304"/>
      <c r="B457" s="305" t="s">
        <v>558</v>
      </c>
      <c r="C457" s="306">
        <v>0.47507703569025161</v>
      </c>
      <c r="D457" s="307">
        <v>0.33565497734116001</v>
      </c>
      <c r="E457" s="307">
        <v>0.23411304372661582</v>
      </c>
      <c r="F457" s="307">
        <v>5.7885362694300516E-2</v>
      </c>
      <c r="G457" s="307">
        <v>0</v>
      </c>
      <c r="H457" s="307">
        <v>0</v>
      </c>
      <c r="I457" s="307">
        <v>0</v>
      </c>
      <c r="J457" s="308">
        <v>0.37297277243969329</v>
      </c>
      <c r="K457" s="308">
        <v>0</v>
      </c>
      <c r="L457" s="307">
        <v>0</v>
      </c>
      <c r="M457" s="307">
        <v>0</v>
      </c>
      <c r="N457" s="307">
        <v>0</v>
      </c>
      <c r="O457" s="308">
        <v>0</v>
      </c>
      <c r="P457" s="308">
        <v>0</v>
      </c>
      <c r="Q457" s="307">
        <v>0</v>
      </c>
      <c r="R457" s="308">
        <v>0</v>
      </c>
      <c r="S457" s="308">
        <v>0</v>
      </c>
      <c r="T457" s="308">
        <v>0</v>
      </c>
      <c r="U457" s="308">
        <v>0.37297277243969329</v>
      </c>
      <c r="V457" s="309"/>
    </row>
    <row r="458" spans="1:22">
      <c r="A458" s="304"/>
      <c r="B458" s="310" t="s">
        <v>559</v>
      </c>
      <c r="C458" s="311">
        <v>-6.7872344012698038</v>
      </c>
      <c r="D458" s="312">
        <v>-0.91419481372580491</v>
      </c>
      <c r="E458" s="312">
        <v>3.0828057565300604</v>
      </c>
      <c r="F458" s="312">
        <v>0.96946578409305983</v>
      </c>
      <c r="G458" s="312">
        <v>0</v>
      </c>
      <c r="H458" s="312">
        <v>0</v>
      </c>
      <c r="I458" s="312">
        <v>0</v>
      </c>
      <c r="J458" s="314">
        <v>-3.0658701876556007</v>
      </c>
      <c r="K458" s="314">
        <v>0</v>
      </c>
      <c r="L458" s="312">
        <v>0</v>
      </c>
      <c r="M458" s="312">
        <v>0</v>
      </c>
      <c r="N458" s="312">
        <v>0</v>
      </c>
      <c r="O458" s="314">
        <v>0</v>
      </c>
      <c r="P458" s="314">
        <v>0</v>
      </c>
      <c r="Q458" s="312">
        <v>0</v>
      </c>
      <c r="R458" s="314">
        <v>0</v>
      </c>
      <c r="S458" s="314">
        <v>0</v>
      </c>
      <c r="T458" s="314">
        <v>0</v>
      </c>
      <c r="U458" s="314">
        <v>-3.0658701876556007</v>
      </c>
      <c r="V458" s="309"/>
    </row>
    <row r="459" spans="1:22">
      <c r="A459" s="304"/>
      <c r="B459" s="50" t="s">
        <v>560</v>
      </c>
      <c r="C459" s="301">
        <v>1.10573394358549E-2</v>
      </c>
      <c r="D459" s="302">
        <v>2.8532192572540728E-2</v>
      </c>
      <c r="E459" s="302">
        <v>8.1670926662532706E-4</v>
      </c>
      <c r="F459" s="302">
        <v>0</v>
      </c>
      <c r="G459" s="302">
        <v>0</v>
      </c>
      <c r="H459" s="302">
        <v>0</v>
      </c>
      <c r="I459" s="302">
        <v>0</v>
      </c>
      <c r="J459" s="303">
        <v>1.3835149647557136E-2</v>
      </c>
      <c r="K459" s="303">
        <v>0</v>
      </c>
      <c r="L459" s="302">
        <v>0</v>
      </c>
      <c r="M459" s="302">
        <v>0</v>
      </c>
      <c r="N459" s="302">
        <v>0</v>
      </c>
      <c r="O459" s="303">
        <v>0</v>
      </c>
      <c r="P459" s="303">
        <v>0</v>
      </c>
      <c r="Q459" s="302">
        <v>0</v>
      </c>
      <c r="R459" s="303">
        <v>0</v>
      </c>
      <c r="S459" s="303">
        <v>0</v>
      </c>
      <c r="T459" s="303">
        <v>0</v>
      </c>
      <c r="U459" s="303">
        <v>1.3835149647557136E-2</v>
      </c>
      <c r="V459" s="309"/>
    </row>
    <row r="460" spans="1:22">
      <c r="A460" s="304"/>
      <c r="B460" s="305" t="s">
        <v>561</v>
      </c>
      <c r="C460" s="306">
        <v>5.1711313916010439E-3</v>
      </c>
      <c r="D460" s="307">
        <v>6.5796810527489688E-3</v>
      </c>
      <c r="E460" s="307">
        <v>2.1420615200068546E-4</v>
      </c>
      <c r="F460" s="307">
        <v>1.9430051813471502E-3</v>
      </c>
      <c r="G460" s="307">
        <v>0</v>
      </c>
      <c r="H460" s="307">
        <v>0</v>
      </c>
      <c r="I460" s="307">
        <v>0</v>
      </c>
      <c r="J460" s="308">
        <v>4.463253780495809E-3</v>
      </c>
      <c r="K460" s="308">
        <v>0</v>
      </c>
      <c r="L460" s="307">
        <v>0</v>
      </c>
      <c r="M460" s="307">
        <v>0</v>
      </c>
      <c r="N460" s="307">
        <v>0</v>
      </c>
      <c r="O460" s="308">
        <v>0</v>
      </c>
      <c r="P460" s="308">
        <v>0</v>
      </c>
      <c r="Q460" s="307">
        <v>0</v>
      </c>
      <c r="R460" s="308">
        <v>0</v>
      </c>
      <c r="S460" s="308">
        <v>0</v>
      </c>
      <c r="T460" s="308">
        <v>0</v>
      </c>
      <c r="U460" s="308">
        <v>4.463253780495809E-3</v>
      </c>
      <c r="V460" s="309"/>
    </row>
    <row r="461" spans="1:22">
      <c r="A461" s="304"/>
      <c r="B461" s="310" t="s">
        <v>562</v>
      </c>
      <c r="C461" s="311">
        <v>-0.58862080442538567</v>
      </c>
      <c r="D461" s="312">
        <v>-2.1952511519791758</v>
      </c>
      <c r="E461" s="312">
        <v>-6.0250311462464158E-2</v>
      </c>
      <c r="F461" s="312">
        <v>0</v>
      </c>
      <c r="G461" s="312">
        <v>0</v>
      </c>
      <c r="H461" s="312">
        <v>0</v>
      </c>
      <c r="I461" s="312">
        <v>0</v>
      </c>
      <c r="J461" s="314">
        <v>-0.93718958670613273</v>
      </c>
      <c r="K461" s="314">
        <v>0</v>
      </c>
      <c r="L461" s="312">
        <v>0</v>
      </c>
      <c r="M461" s="312">
        <v>0</v>
      </c>
      <c r="N461" s="312">
        <v>0</v>
      </c>
      <c r="O461" s="314">
        <v>0</v>
      </c>
      <c r="P461" s="314">
        <v>0</v>
      </c>
      <c r="Q461" s="312">
        <v>0</v>
      </c>
      <c r="R461" s="314">
        <v>0</v>
      </c>
      <c r="S461" s="314">
        <v>0</v>
      </c>
      <c r="T461" s="314">
        <v>0</v>
      </c>
      <c r="U461" s="314">
        <v>-0.93718958670613273</v>
      </c>
      <c r="V461" s="309"/>
    </row>
    <row r="462" spans="1:22">
      <c r="A462" s="304"/>
      <c r="B462" s="50" t="s">
        <v>563</v>
      </c>
      <c r="C462" s="301">
        <v>0.39084979800812741</v>
      </c>
      <c r="D462" s="302">
        <v>0.55289026763749893</v>
      </c>
      <c r="E462" s="302">
        <v>0.68850103601082902</v>
      </c>
      <c r="F462" s="302">
        <v>0.95180929514663004</v>
      </c>
      <c r="G462" s="302">
        <v>0</v>
      </c>
      <c r="H462" s="302">
        <v>0</v>
      </c>
      <c r="I462" s="302">
        <v>0</v>
      </c>
      <c r="J462" s="303">
        <v>0.51383370698336028</v>
      </c>
      <c r="K462" s="303">
        <v>0</v>
      </c>
      <c r="L462" s="302">
        <v>0</v>
      </c>
      <c r="M462" s="302">
        <v>0</v>
      </c>
      <c r="N462" s="302">
        <v>0</v>
      </c>
      <c r="O462" s="303">
        <v>0</v>
      </c>
      <c r="P462" s="303">
        <v>0</v>
      </c>
      <c r="Q462" s="302">
        <v>0</v>
      </c>
      <c r="R462" s="303">
        <v>0</v>
      </c>
      <c r="S462" s="303">
        <v>0</v>
      </c>
      <c r="T462" s="303">
        <v>0</v>
      </c>
      <c r="U462" s="303">
        <v>0.51383370698336028</v>
      </c>
      <c r="V462" s="309"/>
    </row>
    <row r="463" spans="1:22">
      <c r="A463" s="304"/>
      <c r="B463" s="305" t="s">
        <v>564</v>
      </c>
      <c r="C463" s="306">
        <v>0.44135252240233291</v>
      </c>
      <c r="D463" s="307">
        <v>0.56799172724231273</v>
      </c>
      <c r="E463" s="307">
        <v>0.65705595064690259</v>
      </c>
      <c r="F463" s="307">
        <v>0.92495142487046633</v>
      </c>
      <c r="G463" s="307">
        <v>0</v>
      </c>
      <c r="H463" s="307">
        <v>0</v>
      </c>
      <c r="I463" s="307">
        <v>0</v>
      </c>
      <c r="J463" s="308">
        <v>0.53715145098554007</v>
      </c>
      <c r="K463" s="308">
        <v>0</v>
      </c>
      <c r="L463" s="307">
        <v>0</v>
      </c>
      <c r="M463" s="307">
        <v>0</v>
      </c>
      <c r="N463" s="307">
        <v>0</v>
      </c>
      <c r="O463" s="308">
        <v>0</v>
      </c>
      <c r="P463" s="308">
        <v>0</v>
      </c>
      <c r="Q463" s="307">
        <v>0</v>
      </c>
      <c r="R463" s="308">
        <v>0</v>
      </c>
      <c r="S463" s="308">
        <v>0</v>
      </c>
      <c r="T463" s="308">
        <v>0</v>
      </c>
      <c r="U463" s="308">
        <v>0.53715145098554007</v>
      </c>
      <c r="V463" s="309"/>
    </row>
    <row r="464" spans="1:22">
      <c r="A464" s="304"/>
      <c r="B464" s="310" t="s">
        <v>565</v>
      </c>
      <c r="C464" s="311">
        <v>5.0502724394205503</v>
      </c>
      <c r="D464" s="312">
        <v>1.5101459604813794</v>
      </c>
      <c r="E464" s="312">
        <v>-3.1445085363926428</v>
      </c>
      <c r="F464" s="312">
        <v>-2.6857870276163709</v>
      </c>
      <c r="G464" s="312">
        <v>0</v>
      </c>
      <c r="H464" s="312">
        <v>0</v>
      </c>
      <c r="I464" s="312">
        <v>0</v>
      </c>
      <c r="J464" s="314">
        <v>2.3317744002179785</v>
      </c>
      <c r="K464" s="314">
        <v>0</v>
      </c>
      <c r="L464" s="312">
        <v>0</v>
      </c>
      <c r="M464" s="312">
        <v>0</v>
      </c>
      <c r="N464" s="312">
        <v>0</v>
      </c>
      <c r="O464" s="314">
        <v>0</v>
      </c>
      <c r="P464" s="314">
        <v>0</v>
      </c>
      <c r="Q464" s="312">
        <v>0</v>
      </c>
      <c r="R464" s="314">
        <v>0</v>
      </c>
      <c r="S464" s="314">
        <v>0</v>
      </c>
      <c r="T464" s="314">
        <v>0</v>
      </c>
      <c r="U464" s="314">
        <v>2.3317744002179785</v>
      </c>
      <c r="V464" s="309"/>
    </row>
    <row r="465" spans="1:22">
      <c r="A465" s="304"/>
      <c r="B465" s="50" t="s">
        <v>566</v>
      </c>
      <c r="C465" s="301">
        <v>1.7722772868045901E-3</v>
      </c>
      <c r="D465" s="302">
        <v>1.0077159426589868E-3</v>
      </c>
      <c r="E465" s="302">
        <v>0</v>
      </c>
      <c r="F465" s="302">
        <v>0</v>
      </c>
      <c r="G465" s="302">
        <v>0</v>
      </c>
      <c r="H465" s="302">
        <v>0</v>
      </c>
      <c r="I465" s="302">
        <v>0</v>
      </c>
      <c r="J465" s="303">
        <v>1.1512460290667983E-3</v>
      </c>
      <c r="K465" s="303">
        <v>0</v>
      </c>
      <c r="L465" s="302">
        <v>0</v>
      </c>
      <c r="M465" s="302">
        <v>0</v>
      </c>
      <c r="N465" s="302">
        <v>0</v>
      </c>
      <c r="O465" s="303">
        <v>0</v>
      </c>
      <c r="P465" s="303">
        <v>0</v>
      </c>
      <c r="Q465" s="302">
        <v>0</v>
      </c>
      <c r="R465" s="303">
        <v>0</v>
      </c>
      <c r="S465" s="303">
        <v>0</v>
      </c>
      <c r="T465" s="303">
        <v>0</v>
      </c>
      <c r="U465" s="303">
        <v>1.1512460290667983E-3</v>
      </c>
      <c r="V465" s="309"/>
    </row>
    <row r="466" spans="1:22">
      <c r="A466" s="304"/>
      <c r="B466" s="305" t="s">
        <v>567</v>
      </c>
      <c r="C466" s="306">
        <v>9.9172382852622757E-4</v>
      </c>
      <c r="D466" s="307">
        <v>0</v>
      </c>
      <c r="E466" s="307">
        <v>0</v>
      </c>
      <c r="F466" s="307">
        <v>1.5220207253886011E-2</v>
      </c>
      <c r="G466" s="307">
        <v>0</v>
      </c>
      <c r="H466" s="307">
        <v>0</v>
      </c>
      <c r="I466" s="307">
        <v>0</v>
      </c>
      <c r="J466" s="308">
        <v>1.0159324461998134E-3</v>
      </c>
      <c r="K466" s="308">
        <v>0</v>
      </c>
      <c r="L466" s="307">
        <v>0</v>
      </c>
      <c r="M466" s="307">
        <v>0</v>
      </c>
      <c r="N466" s="307">
        <v>0</v>
      </c>
      <c r="O466" s="308">
        <v>0</v>
      </c>
      <c r="P466" s="308">
        <v>0</v>
      </c>
      <c r="Q466" s="307">
        <v>0</v>
      </c>
      <c r="R466" s="308">
        <v>0</v>
      </c>
      <c r="S466" s="308">
        <v>0</v>
      </c>
      <c r="T466" s="308">
        <v>0</v>
      </c>
      <c r="U466" s="308">
        <v>1.0159324461998134E-3</v>
      </c>
      <c r="V466" s="309"/>
    </row>
    <row r="467" spans="1:22">
      <c r="A467" s="304"/>
      <c r="B467" s="310" t="s">
        <v>568</v>
      </c>
      <c r="C467" s="311">
        <v>-7.8055345827836256E-2</v>
      </c>
      <c r="D467" s="312">
        <v>-0.10077159426589868</v>
      </c>
      <c r="E467" s="312">
        <v>0</v>
      </c>
      <c r="F467" s="312">
        <v>0</v>
      </c>
      <c r="G467" s="312">
        <v>0</v>
      </c>
      <c r="H467" s="312">
        <v>0</v>
      </c>
      <c r="I467" s="312">
        <v>0</v>
      </c>
      <c r="J467" s="314">
        <v>-1.353135828669849E-2</v>
      </c>
      <c r="K467" s="314">
        <v>0</v>
      </c>
      <c r="L467" s="312">
        <v>0</v>
      </c>
      <c r="M467" s="312">
        <v>0</v>
      </c>
      <c r="N467" s="312">
        <v>0</v>
      </c>
      <c r="O467" s="314">
        <v>0</v>
      </c>
      <c r="P467" s="314">
        <v>0</v>
      </c>
      <c r="Q467" s="312">
        <v>0</v>
      </c>
      <c r="R467" s="314">
        <v>0</v>
      </c>
      <c r="S467" s="314">
        <v>0</v>
      </c>
      <c r="T467" s="314">
        <v>0</v>
      </c>
      <c r="U467" s="314">
        <v>-1.353135828669849E-2</v>
      </c>
      <c r="V467" s="309"/>
    </row>
    <row r="468" spans="1:22">
      <c r="A468" s="304"/>
      <c r="B468" s="50" t="s">
        <v>569</v>
      </c>
      <c r="C468" s="301">
        <v>2.4841718333223933E-2</v>
      </c>
      <c r="D468" s="302">
        <v>3.8480917614281906E-2</v>
      </c>
      <c r="E468" s="302">
        <v>8.1323069011933036E-2</v>
      </c>
      <c r="F468" s="302">
        <v>0</v>
      </c>
      <c r="G468" s="302">
        <v>0</v>
      </c>
      <c r="H468" s="302">
        <v>0</v>
      </c>
      <c r="I468" s="302">
        <v>0</v>
      </c>
      <c r="J468" s="303">
        <v>3.8764386968702845E-2</v>
      </c>
      <c r="K468" s="303">
        <v>0</v>
      </c>
      <c r="L468" s="302">
        <v>0</v>
      </c>
      <c r="M468" s="302">
        <v>0</v>
      </c>
      <c r="N468" s="302">
        <v>0</v>
      </c>
      <c r="O468" s="303">
        <v>0</v>
      </c>
      <c r="P468" s="303">
        <v>0</v>
      </c>
      <c r="Q468" s="302">
        <v>0</v>
      </c>
      <c r="R468" s="303">
        <v>0</v>
      </c>
      <c r="S468" s="303">
        <v>0</v>
      </c>
      <c r="T468" s="303">
        <v>0</v>
      </c>
      <c r="U468" s="303">
        <v>3.8764386968702845E-2</v>
      </c>
      <c r="V468" s="309"/>
    </row>
    <row r="469" spans="1:22">
      <c r="A469" s="304"/>
      <c r="B469" s="305" t="s">
        <v>570</v>
      </c>
      <c r="C469" s="306">
        <v>4.878927049267423E-2</v>
      </c>
      <c r="D469" s="307">
        <v>5.3935135902349017E-2</v>
      </c>
      <c r="E469" s="307">
        <v>7.8413732042384263E-2</v>
      </c>
      <c r="F469" s="307">
        <v>0</v>
      </c>
      <c r="G469" s="307">
        <v>0</v>
      </c>
      <c r="H469" s="307">
        <v>0</v>
      </c>
      <c r="I469" s="307">
        <v>0</v>
      </c>
      <c r="J469" s="308">
        <v>5.4437998156482134E-2</v>
      </c>
      <c r="K469" s="308">
        <v>0</v>
      </c>
      <c r="L469" s="307">
        <v>0</v>
      </c>
      <c r="M469" s="307">
        <v>0</v>
      </c>
      <c r="N469" s="307">
        <v>0</v>
      </c>
      <c r="O469" s="308">
        <v>0</v>
      </c>
      <c r="P469" s="308">
        <v>0</v>
      </c>
      <c r="Q469" s="307">
        <v>0</v>
      </c>
      <c r="R469" s="308">
        <v>0</v>
      </c>
      <c r="S469" s="308">
        <v>0</v>
      </c>
      <c r="T469" s="308">
        <v>0</v>
      </c>
      <c r="U469" s="308">
        <v>5.4437998156482134E-2</v>
      </c>
      <c r="V469" s="309"/>
    </row>
    <row r="470" spans="1:22">
      <c r="A470" s="304"/>
      <c r="B470" s="310" t="s">
        <v>571</v>
      </c>
      <c r="C470" s="311">
        <v>2.3947552159450298</v>
      </c>
      <c r="D470" s="312">
        <v>1.545421828806711</v>
      </c>
      <c r="E470" s="312">
        <v>-0.29093369695487731</v>
      </c>
      <c r="F470" s="312">
        <v>0</v>
      </c>
      <c r="G470" s="312">
        <v>0</v>
      </c>
      <c r="H470" s="312">
        <v>0</v>
      </c>
      <c r="I470" s="312">
        <v>0</v>
      </c>
      <c r="J470" s="314">
        <v>1.5673611187779288</v>
      </c>
      <c r="K470" s="314">
        <v>0</v>
      </c>
      <c r="L470" s="312">
        <v>0</v>
      </c>
      <c r="M470" s="312">
        <v>0</v>
      </c>
      <c r="N470" s="312">
        <v>0</v>
      </c>
      <c r="O470" s="314">
        <v>0</v>
      </c>
      <c r="P470" s="314">
        <v>0</v>
      </c>
      <c r="Q470" s="312">
        <v>0</v>
      </c>
      <c r="R470" s="314">
        <v>0</v>
      </c>
      <c r="S470" s="314">
        <v>0</v>
      </c>
      <c r="T470" s="314">
        <v>0</v>
      </c>
      <c r="U470" s="314">
        <v>1.5673611187779288</v>
      </c>
      <c r="V470" s="309"/>
    </row>
    <row r="471" spans="1:22">
      <c r="A471" s="304"/>
      <c r="B471" s="50" t="s">
        <v>572</v>
      </c>
      <c r="C471" s="301">
        <v>2.8529487233039545E-2</v>
      </c>
      <c r="D471" s="302">
        <v>3.4291980754601409E-2</v>
      </c>
      <c r="E471" s="302">
        <v>2.6074199549297478E-2</v>
      </c>
      <c r="F471" s="302">
        <v>0</v>
      </c>
      <c r="G471" s="302">
        <v>0</v>
      </c>
      <c r="H471" s="302">
        <v>0</v>
      </c>
      <c r="I471" s="302">
        <v>0</v>
      </c>
      <c r="J471" s="303">
        <v>2.8784036055063605E-2</v>
      </c>
      <c r="K471" s="303">
        <v>0</v>
      </c>
      <c r="L471" s="302">
        <v>0</v>
      </c>
      <c r="M471" s="302">
        <v>0</v>
      </c>
      <c r="N471" s="302">
        <v>0</v>
      </c>
      <c r="O471" s="303">
        <v>0</v>
      </c>
      <c r="P471" s="303">
        <v>0</v>
      </c>
      <c r="Q471" s="302">
        <v>0</v>
      </c>
      <c r="R471" s="303">
        <v>0</v>
      </c>
      <c r="S471" s="303">
        <v>0</v>
      </c>
      <c r="T471" s="303">
        <v>0</v>
      </c>
      <c r="U471" s="303">
        <v>2.8784036055063605E-2</v>
      </c>
      <c r="V471" s="309"/>
    </row>
    <row r="472" spans="1:22">
      <c r="A472" s="304"/>
      <c r="B472" s="305" t="s">
        <v>573</v>
      </c>
      <c r="C472" s="306">
        <v>2.8618316194613996E-2</v>
      </c>
      <c r="D472" s="307">
        <v>3.5838478461429284E-2</v>
      </c>
      <c r="E472" s="307">
        <v>3.020306743209665E-2</v>
      </c>
      <c r="F472" s="307">
        <v>0</v>
      </c>
      <c r="G472" s="307">
        <v>0</v>
      </c>
      <c r="H472" s="307">
        <v>0</v>
      </c>
      <c r="I472" s="307">
        <v>0</v>
      </c>
      <c r="J472" s="308">
        <v>2.9958592191588879E-2</v>
      </c>
      <c r="K472" s="308">
        <v>0</v>
      </c>
      <c r="L472" s="307">
        <v>0</v>
      </c>
      <c r="M472" s="307">
        <v>0</v>
      </c>
      <c r="N472" s="307">
        <v>0</v>
      </c>
      <c r="O472" s="308">
        <v>0</v>
      </c>
      <c r="P472" s="308">
        <v>0</v>
      </c>
      <c r="Q472" s="307">
        <v>0</v>
      </c>
      <c r="R472" s="308">
        <v>0</v>
      </c>
      <c r="S472" s="308">
        <v>0</v>
      </c>
      <c r="T472" s="308">
        <v>0</v>
      </c>
      <c r="U472" s="308">
        <v>2.9958592191588879E-2</v>
      </c>
      <c r="V472" s="309"/>
    </row>
    <row r="473" spans="1:22" ht="15.75" thickBot="1">
      <c r="A473" s="320"/>
      <c r="B473" s="321" t="s">
        <v>574</v>
      </c>
      <c r="C473" s="322">
        <v>8.8828961574451137E-3</v>
      </c>
      <c r="D473" s="323">
        <v>0.15464977068278749</v>
      </c>
      <c r="E473" s="323">
        <v>0.41288678827991721</v>
      </c>
      <c r="F473" s="323">
        <v>0</v>
      </c>
      <c r="G473" s="323">
        <v>0</v>
      </c>
      <c r="H473" s="323">
        <v>0</v>
      </c>
      <c r="I473" s="323">
        <v>0</v>
      </c>
      <c r="J473" s="324">
        <v>0.11745561365252739</v>
      </c>
      <c r="K473" s="324">
        <v>0</v>
      </c>
      <c r="L473" s="323">
        <v>0</v>
      </c>
      <c r="M473" s="323">
        <v>0</v>
      </c>
      <c r="N473" s="323">
        <v>0</v>
      </c>
      <c r="O473" s="324">
        <v>0</v>
      </c>
      <c r="P473" s="324">
        <v>0</v>
      </c>
      <c r="Q473" s="323">
        <v>0</v>
      </c>
      <c r="R473" s="324">
        <v>0</v>
      </c>
      <c r="S473" s="324">
        <v>0</v>
      </c>
      <c r="T473" s="324">
        <v>0</v>
      </c>
      <c r="U473" s="324">
        <v>0.11745561365252739</v>
      </c>
      <c r="V473" s="309"/>
    </row>
    <row r="474" spans="1:22">
      <c r="A474" s="300" t="s">
        <v>436</v>
      </c>
      <c r="B474" s="50" t="s">
        <v>539</v>
      </c>
      <c r="C474" s="301">
        <v>0.45451672303711427</v>
      </c>
      <c r="D474" s="302">
        <v>0.46281597167304833</v>
      </c>
      <c r="E474" s="302">
        <v>0.41172952328925283</v>
      </c>
      <c r="F474" s="302">
        <v>0.26014650974737996</v>
      </c>
      <c r="G474" s="302">
        <v>0.44758617501579429</v>
      </c>
      <c r="H474" s="302">
        <v>0</v>
      </c>
      <c r="I474" s="302">
        <v>0</v>
      </c>
      <c r="J474" s="303">
        <v>0.43388169267296212</v>
      </c>
      <c r="K474" s="303">
        <v>0.3551734818245324</v>
      </c>
      <c r="L474" s="302">
        <v>0.33593472773086025</v>
      </c>
      <c r="M474" s="302">
        <v>0.26371594911962154</v>
      </c>
      <c r="N474" s="302">
        <v>0.28304709682754886</v>
      </c>
      <c r="O474" s="303">
        <v>0.32266962837602758</v>
      </c>
      <c r="P474" s="303">
        <v>0</v>
      </c>
      <c r="Q474" s="302">
        <v>0</v>
      </c>
      <c r="R474" s="303">
        <v>0</v>
      </c>
      <c r="S474" s="303">
        <v>0</v>
      </c>
      <c r="T474" s="303">
        <v>0</v>
      </c>
      <c r="U474" s="303">
        <v>0.37914555798568855</v>
      </c>
      <c r="V474" s="309"/>
    </row>
    <row r="475" spans="1:22">
      <c r="A475" s="304"/>
      <c r="B475" s="305" t="s">
        <v>540</v>
      </c>
      <c r="C475" s="306">
        <v>0.45887866664582544</v>
      </c>
      <c r="D475" s="307">
        <v>0.40573192607734343</v>
      </c>
      <c r="E475" s="307">
        <v>0.39398317626081564</v>
      </c>
      <c r="F475" s="307">
        <v>0.19208726107889582</v>
      </c>
      <c r="G475" s="307">
        <v>0.6864857147389628</v>
      </c>
      <c r="H475" s="307">
        <v>0</v>
      </c>
      <c r="I475" s="307">
        <v>0</v>
      </c>
      <c r="J475" s="308">
        <v>0.42246247677818149</v>
      </c>
      <c r="K475" s="308">
        <v>0.24303132542934716</v>
      </c>
      <c r="L475" s="307">
        <v>0.16256549300387393</v>
      </c>
      <c r="M475" s="307">
        <v>0.23109910801567463</v>
      </c>
      <c r="N475" s="307">
        <v>0.24491657318416557</v>
      </c>
      <c r="O475" s="308">
        <v>0.1811107622480734</v>
      </c>
      <c r="P475" s="308">
        <v>0</v>
      </c>
      <c r="Q475" s="307">
        <v>0</v>
      </c>
      <c r="R475" s="308">
        <v>0</v>
      </c>
      <c r="S475" s="308">
        <v>0</v>
      </c>
      <c r="T475" s="308">
        <v>0</v>
      </c>
      <c r="U475" s="308">
        <v>0.30604440579950642</v>
      </c>
      <c r="V475" s="309"/>
    </row>
    <row r="476" spans="1:22">
      <c r="A476" s="304"/>
      <c r="B476" s="310" t="s">
        <v>541</v>
      </c>
      <c r="C476" s="311">
        <v>0.43619436087111718</v>
      </c>
      <c r="D476" s="312">
        <v>-5.7084045595704902</v>
      </c>
      <c r="E476" s="312">
        <v>-1.7746347028437193</v>
      </c>
      <c r="F476" s="312">
        <v>-6.8059248668484145</v>
      </c>
      <c r="G476" s="312">
        <v>23.889953972316853</v>
      </c>
      <c r="H476" s="312">
        <v>0</v>
      </c>
      <c r="I476" s="312">
        <v>0</v>
      </c>
      <c r="J476" s="314">
        <v>-1.1419215894780621</v>
      </c>
      <c r="K476" s="314">
        <v>-11.214215639518525</v>
      </c>
      <c r="L476" s="312">
        <v>-17.336923472698633</v>
      </c>
      <c r="M476" s="312">
        <v>-3.2616841103946914</v>
      </c>
      <c r="N476" s="312">
        <v>-3.8130523643383292</v>
      </c>
      <c r="O476" s="314">
        <v>-14.155886612795419</v>
      </c>
      <c r="P476" s="314">
        <v>0</v>
      </c>
      <c r="Q476" s="312">
        <v>0</v>
      </c>
      <c r="R476" s="314">
        <v>0</v>
      </c>
      <c r="S476" s="314">
        <v>0</v>
      </c>
      <c r="T476" s="314">
        <v>0</v>
      </c>
      <c r="U476" s="314">
        <v>-7.310115218618213</v>
      </c>
      <c r="V476" s="309"/>
    </row>
    <row r="477" spans="1:22">
      <c r="A477" s="304"/>
      <c r="B477" s="50" t="s">
        <v>542</v>
      </c>
      <c r="C477" s="301">
        <v>6.4897248281352727E-3</v>
      </c>
      <c r="D477" s="302">
        <v>1.4596888988608652E-2</v>
      </c>
      <c r="E477" s="302">
        <v>1.3141823796115762E-2</v>
      </c>
      <c r="F477" s="302">
        <v>9.5982545148319987E-3</v>
      </c>
      <c r="G477" s="302">
        <v>8.9202890734548596E-2</v>
      </c>
      <c r="H477" s="302">
        <v>0</v>
      </c>
      <c r="I477" s="302">
        <v>0</v>
      </c>
      <c r="J477" s="303">
        <v>9.9601992473542719E-3</v>
      </c>
      <c r="K477" s="303">
        <v>1.4810683106891405E-2</v>
      </c>
      <c r="L477" s="302">
        <v>7.9273347941730951E-2</v>
      </c>
      <c r="M477" s="302">
        <v>0.14730585374212538</v>
      </c>
      <c r="N477" s="302">
        <v>0.12312889539356789</v>
      </c>
      <c r="O477" s="303">
        <v>8.9014461229104905E-2</v>
      </c>
      <c r="P477" s="303">
        <v>0</v>
      </c>
      <c r="Q477" s="302">
        <v>0</v>
      </c>
      <c r="R477" s="303">
        <v>0</v>
      </c>
      <c r="S477" s="303">
        <v>0</v>
      </c>
      <c r="T477" s="303">
        <v>0</v>
      </c>
      <c r="U477" s="303">
        <v>4.8868970150866622E-2</v>
      </c>
      <c r="V477" s="309"/>
    </row>
    <row r="478" spans="1:22">
      <c r="A478" s="304"/>
      <c r="B478" s="305" t="s">
        <v>543</v>
      </c>
      <c r="C478" s="306">
        <v>5.7946763347897492E-3</v>
      </c>
      <c r="D478" s="307">
        <v>1.7654666054816238E-2</v>
      </c>
      <c r="E478" s="307">
        <v>1.201407384556555E-2</v>
      </c>
      <c r="F478" s="307">
        <v>5.4240678740162546E-3</v>
      </c>
      <c r="G478" s="307">
        <v>5.0525881625077339E-2</v>
      </c>
      <c r="H478" s="307">
        <v>0</v>
      </c>
      <c r="I478" s="307">
        <v>0</v>
      </c>
      <c r="J478" s="308">
        <v>9.1815483454169618E-3</v>
      </c>
      <c r="K478" s="308">
        <v>1.6777998044191812E-2</v>
      </c>
      <c r="L478" s="307">
        <v>6.7488864295786322E-2</v>
      </c>
      <c r="M478" s="307">
        <v>0.14899849758235414</v>
      </c>
      <c r="N478" s="307">
        <v>0.11748476487887699</v>
      </c>
      <c r="O478" s="308">
        <v>8.0158578122578109E-2</v>
      </c>
      <c r="P478" s="308">
        <v>0</v>
      </c>
      <c r="Q478" s="307">
        <v>0</v>
      </c>
      <c r="R478" s="308">
        <v>0</v>
      </c>
      <c r="S478" s="308">
        <v>0</v>
      </c>
      <c r="T478" s="308">
        <v>0</v>
      </c>
      <c r="U478" s="308">
        <v>4.3417927840547044E-2</v>
      </c>
      <c r="V478" s="309"/>
    </row>
    <row r="479" spans="1:22">
      <c r="A479" s="304"/>
      <c r="B479" s="310" t="s">
        <v>544</v>
      </c>
      <c r="C479" s="311">
        <v>-6.9504849334552352E-2</v>
      </c>
      <c r="D479" s="312">
        <v>0.30577770662075854</v>
      </c>
      <c r="E479" s="312">
        <v>-0.11277499505502123</v>
      </c>
      <c r="F479" s="312">
        <v>-0.41741866408157441</v>
      </c>
      <c r="G479" s="312">
        <v>-3.8677009109471259</v>
      </c>
      <c r="H479" s="312">
        <v>0</v>
      </c>
      <c r="I479" s="312">
        <v>0</v>
      </c>
      <c r="J479" s="314">
        <v>-7.7865090193731001E-2</v>
      </c>
      <c r="K479" s="314">
        <v>0.1967314937300407</v>
      </c>
      <c r="L479" s="312">
        <v>-1.178448364594463</v>
      </c>
      <c r="M479" s="312">
        <v>0.16926438402287691</v>
      </c>
      <c r="N479" s="312">
        <v>-0.56441305146908982</v>
      </c>
      <c r="O479" s="314">
        <v>-0.88558831065267962</v>
      </c>
      <c r="P479" s="314">
        <v>0</v>
      </c>
      <c r="Q479" s="312">
        <v>0</v>
      </c>
      <c r="R479" s="314">
        <v>0</v>
      </c>
      <c r="S479" s="314">
        <v>0</v>
      </c>
      <c r="T479" s="314">
        <v>0</v>
      </c>
      <c r="U479" s="314">
        <v>-0.54510423103195782</v>
      </c>
      <c r="V479" s="309"/>
    </row>
    <row r="480" spans="1:22">
      <c r="A480" s="304"/>
      <c r="B480" s="50" t="s">
        <v>545</v>
      </c>
      <c r="C480" s="301">
        <v>0.50629769909140332</v>
      </c>
      <c r="D480" s="302">
        <v>0.52234867015113673</v>
      </c>
      <c r="E480" s="302">
        <v>0.55305425360969129</v>
      </c>
      <c r="F480" s="302">
        <v>0.7260494203247585</v>
      </c>
      <c r="G480" s="302">
        <v>0.3973065010709278</v>
      </c>
      <c r="H480" s="302">
        <v>0</v>
      </c>
      <c r="I480" s="302">
        <v>0</v>
      </c>
      <c r="J480" s="303">
        <v>0.53159524015872306</v>
      </c>
      <c r="K480" s="303">
        <v>0.62915905193392985</v>
      </c>
      <c r="L480" s="302">
        <v>0.58066591613421414</v>
      </c>
      <c r="M480" s="302">
        <v>0.55425011881036013</v>
      </c>
      <c r="N480" s="302">
        <v>0.57506847873212219</v>
      </c>
      <c r="O480" s="303">
        <v>0.57852888990416729</v>
      </c>
      <c r="P480" s="303">
        <v>0</v>
      </c>
      <c r="Q480" s="302">
        <v>0</v>
      </c>
      <c r="R480" s="303">
        <v>0</v>
      </c>
      <c r="S480" s="303">
        <v>0</v>
      </c>
      <c r="T480" s="303">
        <v>0</v>
      </c>
      <c r="U480" s="303">
        <v>0.55469495141822145</v>
      </c>
      <c r="V480" s="309"/>
    </row>
    <row r="481" spans="1:22">
      <c r="A481" s="304"/>
      <c r="B481" s="305" t="s">
        <v>546</v>
      </c>
      <c r="C481" s="306">
        <v>0.49890186070783848</v>
      </c>
      <c r="D481" s="307">
        <v>0.57272730190005228</v>
      </c>
      <c r="E481" s="307">
        <v>0.57655119148183753</v>
      </c>
      <c r="F481" s="307">
        <v>0.79946708090914642</v>
      </c>
      <c r="G481" s="307">
        <v>0.2436029633389914</v>
      </c>
      <c r="H481" s="307">
        <v>0</v>
      </c>
      <c r="I481" s="307">
        <v>0</v>
      </c>
      <c r="J481" s="308">
        <v>0.54287610050180091</v>
      </c>
      <c r="K481" s="308">
        <v>0.73949048537723172</v>
      </c>
      <c r="L481" s="307">
        <v>0.73790871720229212</v>
      </c>
      <c r="M481" s="307">
        <v>0.5359591432376678</v>
      </c>
      <c r="N481" s="307">
        <v>0.53617267481227704</v>
      </c>
      <c r="O481" s="308">
        <v>0.6973926418161368</v>
      </c>
      <c r="P481" s="308">
        <v>0</v>
      </c>
      <c r="Q481" s="307">
        <v>0</v>
      </c>
      <c r="R481" s="308">
        <v>0</v>
      </c>
      <c r="S481" s="308">
        <v>0</v>
      </c>
      <c r="T481" s="308">
        <v>0</v>
      </c>
      <c r="U481" s="308">
        <v>0.61740848039035445</v>
      </c>
      <c r="V481" s="309"/>
    </row>
    <row r="482" spans="1:22">
      <c r="A482" s="304"/>
      <c r="B482" s="310" t="s">
        <v>547</v>
      </c>
      <c r="C482" s="311">
        <v>-0.73958383835648345</v>
      </c>
      <c r="D482" s="312">
        <v>5.0378631748915552</v>
      </c>
      <c r="E482" s="312">
        <v>2.349693787214624</v>
      </c>
      <c r="F482" s="312">
        <v>7.3417660584387923</v>
      </c>
      <c r="G482" s="312">
        <v>-15.37035377319364</v>
      </c>
      <c r="H482" s="312">
        <v>0</v>
      </c>
      <c r="I482" s="312">
        <v>0</v>
      </c>
      <c r="J482" s="314">
        <v>1.1280860343077848</v>
      </c>
      <c r="K482" s="314">
        <v>11.033143344330188</v>
      </c>
      <c r="L482" s="312">
        <v>15.724280106807797</v>
      </c>
      <c r="M482" s="312">
        <v>-1.8290975572692325</v>
      </c>
      <c r="N482" s="312">
        <v>-3.8895803919845151</v>
      </c>
      <c r="O482" s="314">
        <v>11.886375191196951</v>
      </c>
      <c r="P482" s="314">
        <v>0</v>
      </c>
      <c r="Q482" s="312">
        <v>0</v>
      </c>
      <c r="R482" s="314">
        <v>0</v>
      </c>
      <c r="S482" s="314">
        <v>0</v>
      </c>
      <c r="T482" s="314">
        <v>0</v>
      </c>
      <c r="U482" s="314">
        <v>6.2713528972133004</v>
      </c>
      <c r="V482" s="309"/>
    </row>
    <row r="483" spans="1:22">
      <c r="A483" s="304"/>
      <c r="B483" s="50" t="s">
        <v>548</v>
      </c>
      <c r="C483" s="301">
        <v>2.7935375854988665E-2</v>
      </c>
      <c r="D483" s="302">
        <v>1.5632298904267802E-4</v>
      </c>
      <c r="E483" s="302">
        <v>5.2746968556675565E-3</v>
      </c>
      <c r="F483" s="302">
        <v>3.5726304608214819E-3</v>
      </c>
      <c r="G483" s="302">
        <v>3.3144829499052342E-2</v>
      </c>
      <c r="H483" s="302">
        <v>0</v>
      </c>
      <c r="I483" s="302">
        <v>0</v>
      </c>
      <c r="J483" s="303">
        <v>1.6815949907851027E-2</v>
      </c>
      <c r="K483" s="303">
        <v>8.567831346463524E-4</v>
      </c>
      <c r="L483" s="302">
        <v>4.0833574128319623E-3</v>
      </c>
      <c r="M483" s="302">
        <v>3.2462873345201711E-2</v>
      </c>
      <c r="N483" s="302">
        <v>7.9467908347513588E-3</v>
      </c>
      <c r="O483" s="303">
        <v>9.0336162812872135E-3</v>
      </c>
      <c r="P483" s="303">
        <v>0</v>
      </c>
      <c r="Q483" s="302">
        <v>0</v>
      </c>
      <c r="R483" s="303">
        <v>0</v>
      </c>
      <c r="S483" s="303">
        <v>0</v>
      </c>
      <c r="T483" s="303">
        <v>0</v>
      </c>
      <c r="U483" s="303">
        <v>1.2985656276869153E-2</v>
      </c>
      <c r="V483" s="309"/>
    </row>
    <row r="484" spans="1:22">
      <c r="A484" s="304"/>
      <c r="B484" s="305" t="s">
        <v>549</v>
      </c>
      <c r="C484" s="306">
        <v>3.2330597377354338E-2</v>
      </c>
      <c r="D484" s="307">
        <v>1.6365929344111315E-4</v>
      </c>
      <c r="E484" s="307">
        <v>2.3485836988465431E-3</v>
      </c>
      <c r="F484" s="307">
        <v>1.9908081909374808E-3</v>
      </c>
      <c r="G484" s="307">
        <v>1.7799070387232895E-2</v>
      </c>
      <c r="H484" s="307">
        <v>0</v>
      </c>
      <c r="I484" s="307">
        <v>0</v>
      </c>
      <c r="J484" s="308">
        <v>1.8348653073420314E-2</v>
      </c>
      <c r="K484" s="308">
        <v>7.0019114922934662E-4</v>
      </c>
      <c r="L484" s="307">
        <v>4.7769861472842364E-3</v>
      </c>
      <c r="M484" s="307">
        <v>3.5870104138256163E-2</v>
      </c>
      <c r="N484" s="307">
        <v>6.6827355506371968E-3</v>
      </c>
      <c r="O484" s="308">
        <v>9.891538923179035E-3</v>
      </c>
      <c r="P484" s="308">
        <v>0</v>
      </c>
      <c r="Q484" s="307">
        <v>0</v>
      </c>
      <c r="R484" s="308">
        <v>0</v>
      </c>
      <c r="S484" s="308">
        <v>0</v>
      </c>
      <c r="T484" s="308">
        <v>0</v>
      </c>
      <c r="U484" s="308">
        <v>1.4269291477276669E-2</v>
      </c>
      <c r="V484" s="309"/>
    </row>
    <row r="485" spans="1:22">
      <c r="A485" s="304"/>
      <c r="B485" s="310" t="s">
        <v>550</v>
      </c>
      <c r="C485" s="311">
        <v>0.43952215223656727</v>
      </c>
      <c r="D485" s="312">
        <v>7.3363043984351272E-4</v>
      </c>
      <c r="E485" s="312">
        <v>-0.29261131568210136</v>
      </c>
      <c r="F485" s="312">
        <v>-0.15818222698840012</v>
      </c>
      <c r="G485" s="312">
        <v>-1.5345759111819446</v>
      </c>
      <c r="H485" s="312">
        <v>0</v>
      </c>
      <c r="I485" s="312">
        <v>0</v>
      </c>
      <c r="J485" s="314">
        <v>0.15327031655692874</v>
      </c>
      <c r="K485" s="314">
        <v>-1.5659198541700579E-2</v>
      </c>
      <c r="L485" s="312">
        <v>6.9362873445227416E-2</v>
      </c>
      <c r="M485" s="312">
        <v>0.34072307930544526</v>
      </c>
      <c r="N485" s="312">
        <v>-0.1264055284114162</v>
      </c>
      <c r="O485" s="314">
        <v>8.5792264189182149E-2</v>
      </c>
      <c r="P485" s="314">
        <v>0</v>
      </c>
      <c r="Q485" s="312">
        <v>0</v>
      </c>
      <c r="R485" s="314">
        <v>0</v>
      </c>
      <c r="S485" s="314">
        <v>0</v>
      </c>
      <c r="T485" s="314">
        <v>0</v>
      </c>
      <c r="U485" s="314">
        <v>0.12836352004075169</v>
      </c>
      <c r="V485" s="309"/>
    </row>
    <row r="486" spans="1:22">
      <c r="A486" s="304"/>
      <c r="B486" s="50" t="s">
        <v>551</v>
      </c>
      <c r="C486" s="301">
        <v>4.7604771883584859E-3</v>
      </c>
      <c r="D486" s="302">
        <v>8.2146198163603347E-5</v>
      </c>
      <c r="E486" s="302">
        <v>1.6799702449272542E-2</v>
      </c>
      <c r="F486" s="302">
        <v>6.3318495220809293E-4</v>
      </c>
      <c r="G486" s="302">
        <v>3.2759603679677028E-2</v>
      </c>
      <c r="H486" s="302">
        <v>0</v>
      </c>
      <c r="I486" s="302">
        <v>0</v>
      </c>
      <c r="J486" s="303">
        <v>7.7469180131095354E-3</v>
      </c>
      <c r="K486" s="303">
        <v>0</v>
      </c>
      <c r="L486" s="302">
        <v>4.265078036273175E-5</v>
      </c>
      <c r="M486" s="302">
        <v>2.2652049826912511E-3</v>
      </c>
      <c r="N486" s="302">
        <v>1.0808738212009653E-2</v>
      </c>
      <c r="O486" s="303">
        <v>7.5340420941295849E-4</v>
      </c>
      <c r="P486" s="303">
        <v>0</v>
      </c>
      <c r="Q486" s="302">
        <v>0</v>
      </c>
      <c r="R486" s="303">
        <v>0</v>
      </c>
      <c r="S486" s="303">
        <v>0</v>
      </c>
      <c r="T486" s="303">
        <v>0</v>
      </c>
      <c r="U486" s="303">
        <v>4.3048641683541868E-3</v>
      </c>
      <c r="V486" s="309"/>
    </row>
    <row r="487" spans="1:22">
      <c r="A487" s="304"/>
      <c r="B487" s="305" t="s">
        <v>552</v>
      </c>
      <c r="C487" s="306">
        <v>4.0941989341919905E-3</v>
      </c>
      <c r="D487" s="307">
        <v>3.7224466743468873E-3</v>
      </c>
      <c r="E487" s="307">
        <v>1.5102974712934767E-2</v>
      </c>
      <c r="F487" s="307">
        <v>1.0307819470039784E-3</v>
      </c>
      <c r="G487" s="307">
        <v>1.5863699097355521E-3</v>
      </c>
      <c r="H487" s="307">
        <v>0</v>
      </c>
      <c r="I487" s="307">
        <v>0</v>
      </c>
      <c r="J487" s="308">
        <v>7.1312213011803099E-3</v>
      </c>
      <c r="K487" s="308">
        <v>0</v>
      </c>
      <c r="L487" s="307">
        <v>2.7259939350763429E-2</v>
      </c>
      <c r="M487" s="307">
        <v>4.8073147026047217E-2</v>
      </c>
      <c r="N487" s="307">
        <v>9.4743251574043189E-2</v>
      </c>
      <c r="O487" s="308">
        <v>3.1446478890032631E-2</v>
      </c>
      <c r="P487" s="308">
        <v>0</v>
      </c>
      <c r="Q487" s="307">
        <v>0</v>
      </c>
      <c r="R487" s="308">
        <v>0</v>
      </c>
      <c r="S487" s="308">
        <v>0</v>
      </c>
      <c r="T487" s="308">
        <v>0</v>
      </c>
      <c r="U487" s="308">
        <v>1.885989449231544E-2</v>
      </c>
      <c r="V487" s="309"/>
    </row>
    <row r="488" spans="1:22">
      <c r="A488" s="304"/>
      <c r="B488" s="310" t="s">
        <v>553</v>
      </c>
      <c r="C488" s="311">
        <v>-6.6627825416649536E-2</v>
      </c>
      <c r="D488" s="312">
        <v>0.36403004761832836</v>
      </c>
      <c r="E488" s="312">
        <v>-0.16967277363377758</v>
      </c>
      <c r="F488" s="312">
        <v>3.9759699479588545E-2</v>
      </c>
      <c r="G488" s="312">
        <v>-3.1173233769941477</v>
      </c>
      <c r="H488" s="312">
        <v>0</v>
      </c>
      <c r="I488" s="312">
        <v>0</v>
      </c>
      <c r="J488" s="314">
        <v>-6.1569671192922545E-2</v>
      </c>
      <c r="K488" s="314">
        <v>0</v>
      </c>
      <c r="L488" s="312">
        <v>2.7217288570400697</v>
      </c>
      <c r="M488" s="312">
        <v>4.5807942043355965</v>
      </c>
      <c r="N488" s="312">
        <v>8.3934513362033538</v>
      </c>
      <c r="O488" s="314">
        <v>3.0693074680619672</v>
      </c>
      <c r="P488" s="314">
        <v>0</v>
      </c>
      <c r="Q488" s="312">
        <v>0</v>
      </c>
      <c r="R488" s="314">
        <v>0</v>
      </c>
      <c r="S488" s="314">
        <v>0</v>
      </c>
      <c r="T488" s="314">
        <v>0</v>
      </c>
      <c r="U488" s="314">
        <v>1.4555030323961253</v>
      </c>
      <c r="V488" s="309"/>
    </row>
    <row r="489" spans="1:22">
      <c r="A489" s="304"/>
      <c r="B489" s="50" t="s">
        <v>554</v>
      </c>
      <c r="C489" s="301">
        <v>0</v>
      </c>
      <c r="D489" s="302">
        <v>0</v>
      </c>
      <c r="E489" s="302">
        <v>0</v>
      </c>
      <c r="F489" s="302">
        <v>0</v>
      </c>
      <c r="G489" s="302">
        <v>0</v>
      </c>
      <c r="H489" s="302">
        <v>0</v>
      </c>
      <c r="I489" s="302">
        <v>0</v>
      </c>
      <c r="J489" s="303">
        <v>0</v>
      </c>
      <c r="K489" s="303">
        <v>0</v>
      </c>
      <c r="L489" s="302">
        <v>0</v>
      </c>
      <c r="M489" s="302">
        <v>0</v>
      </c>
      <c r="N489" s="302">
        <v>0</v>
      </c>
      <c r="O489" s="303">
        <v>0</v>
      </c>
      <c r="P489" s="303">
        <v>0</v>
      </c>
      <c r="Q489" s="302">
        <v>0</v>
      </c>
      <c r="R489" s="303">
        <v>0</v>
      </c>
      <c r="S489" s="303">
        <v>0</v>
      </c>
      <c r="T489" s="303">
        <v>0</v>
      </c>
      <c r="U489" s="303">
        <v>0</v>
      </c>
      <c r="V489" s="309"/>
    </row>
    <row r="490" spans="1:22">
      <c r="A490" s="304"/>
      <c r="B490" s="305" t="s">
        <v>555</v>
      </c>
      <c r="C490" s="306">
        <v>0</v>
      </c>
      <c r="D490" s="307">
        <v>0</v>
      </c>
      <c r="E490" s="307">
        <v>0</v>
      </c>
      <c r="F490" s="307">
        <v>0</v>
      </c>
      <c r="G490" s="307">
        <v>0</v>
      </c>
      <c r="H490" s="307">
        <v>0</v>
      </c>
      <c r="I490" s="307">
        <v>0</v>
      </c>
      <c r="J490" s="308">
        <v>0</v>
      </c>
      <c r="K490" s="308">
        <v>0</v>
      </c>
      <c r="L490" s="307">
        <v>0</v>
      </c>
      <c r="M490" s="307">
        <v>0</v>
      </c>
      <c r="N490" s="307">
        <v>0</v>
      </c>
      <c r="O490" s="308">
        <v>0</v>
      </c>
      <c r="P490" s="308">
        <v>0</v>
      </c>
      <c r="Q490" s="307">
        <v>0</v>
      </c>
      <c r="R490" s="308">
        <v>0</v>
      </c>
      <c r="S490" s="308">
        <v>0</v>
      </c>
      <c r="T490" s="308">
        <v>0</v>
      </c>
      <c r="U490" s="308">
        <v>0</v>
      </c>
      <c r="V490" s="309"/>
    </row>
    <row r="491" spans="1:22" ht="15.75" thickBot="1">
      <c r="A491" s="304"/>
      <c r="B491" s="316" t="s">
        <v>556</v>
      </c>
      <c r="C491" s="317">
        <v>0</v>
      </c>
      <c r="D491" s="318">
        <v>0</v>
      </c>
      <c r="E491" s="318">
        <v>0</v>
      </c>
      <c r="F491" s="318">
        <v>0</v>
      </c>
      <c r="G491" s="318">
        <v>0</v>
      </c>
      <c r="H491" s="318">
        <v>0</v>
      </c>
      <c r="I491" s="318">
        <v>0</v>
      </c>
      <c r="J491" s="319">
        <v>0</v>
      </c>
      <c r="K491" s="319">
        <v>0</v>
      </c>
      <c r="L491" s="318">
        <v>0</v>
      </c>
      <c r="M491" s="318">
        <v>0</v>
      </c>
      <c r="N491" s="318">
        <v>0</v>
      </c>
      <c r="O491" s="319">
        <v>0</v>
      </c>
      <c r="P491" s="319">
        <v>0</v>
      </c>
      <c r="Q491" s="318">
        <v>0</v>
      </c>
      <c r="R491" s="319">
        <v>0</v>
      </c>
      <c r="S491" s="319">
        <v>0</v>
      </c>
      <c r="T491" s="319">
        <v>0</v>
      </c>
      <c r="U491" s="319">
        <v>0</v>
      </c>
      <c r="V491" s="309"/>
    </row>
    <row r="492" spans="1:22" ht="15.75" thickTop="1">
      <c r="A492" s="304"/>
      <c r="B492" s="305" t="s">
        <v>557</v>
      </c>
      <c r="C492" s="306">
        <v>0.50246541267308886</v>
      </c>
      <c r="D492" s="307">
        <v>0.36132134940282118</v>
      </c>
      <c r="E492" s="307">
        <v>0.18872385947960521</v>
      </c>
      <c r="F492" s="307">
        <v>0.12405750948344495</v>
      </c>
      <c r="G492" s="307">
        <v>0.34028244788164091</v>
      </c>
      <c r="H492" s="307">
        <v>0</v>
      </c>
      <c r="I492" s="307">
        <v>0</v>
      </c>
      <c r="J492" s="308">
        <v>0.37823032367224435</v>
      </c>
      <c r="K492" s="308">
        <v>0</v>
      </c>
      <c r="L492" s="307">
        <v>0</v>
      </c>
      <c r="M492" s="307">
        <v>0</v>
      </c>
      <c r="N492" s="307">
        <v>0</v>
      </c>
      <c r="O492" s="308">
        <v>0</v>
      </c>
      <c r="P492" s="308">
        <v>0</v>
      </c>
      <c r="Q492" s="307">
        <v>0</v>
      </c>
      <c r="R492" s="308">
        <v>0</v>
      </c>
      <c r="S492" s="308">
        <v>0</v>
      </c>
      <c r="T492" s="308">
        <v>0</v>
      </c>
      <c r="U492" s="308">
        <v>0.37823032367224435</v>
      </c>
      <c r="V492" s="309"/>
    </row>
    <row r="493" spans="1:22">
      <c r="A493" s="304"/>
      <c r="B493" s="305" t="s">
        <v>558</v>
      </c>
      <c r="C493" s="306">
        <v>0.49863263445761169</v>
      </c>
      <c r="D493" s="307">
        <v>0.32471990971045211</v>
      </c>
      <c r="E493" s="307">
        <v>0.16550354738764925</v>
      </c>
      <c r="F493" s="307">
        <v>0.184014048031128</v>
      </c>
      <c r="G493" s="307">
        <v>0.41534713763702802</v>
      </c>
      <c r="H493" s="307">
        <v>0</v>
      </c>
      <c r="I493" s="307">
        <v>0</v>
      </c>
      <c r="J493" s="308">
        <v>0.36401435242201158</v>
      </c>
      <c r="K493" s="308">
        <v>0</v>
      </c>
      <c r="L493" s="307">
        <v>0</v>
      </c>
      <c r="M493" s="307">
        <v>0</v>
      </c>
      <c r="N493" s="307">
        <v>0</v>
      </c>
      <c r="O493" s="308">
        <v>0</v>
      </c>
      <c r="P493" s="308">
        <v>0</v>
      </c>
      <c r="Q493" s="307">
        <v>0</v>
      </c>
      <c r="R493" s="308">
        <v>0</v>
      </c>
      <c r="S493" s="308">
        <v>0</v>
      </c>
      <c r="T493" s="308">
        <v>0</v>
      </c>
      <c r="U493" s="308">
        <v>0.36401435242201158</v>
      </c>
      <c r="V493" s="309"/>
    </row>
    <row r="494" spans="1:22">
      <c r="A494" s="304"/>
      <c r="B494" s="310" t="s">
        <v>559</v>
      </c>
      <c r="C494" s="311">
        <v>-0.38327782154771728</v>
      </c>
      <c r="D494" s="312">
        <v>-3.6601439692369064</v>
      </c>
      <c r="E494" s="312">
        <v>-2.3220312091955964</v>
      </c>
      <c r="F494" s="312">
        <v>5.9956538547683058</v>
      </c>
      <c r="G494" s="312">
        <v>7.5064689755387102</v>
      </c>
      <c r="H494" s="312">
        <v>0</v>
      </c>
      <c r="I494" s="312">
        <v>0</v>
      </c>
      <c r="J494" s="314">
        <v>-1.4215971250232773</v>
      </c>
      <c r="K494" s="314">
        <v>0</v>
      </c>
      <c r="L494" s="312">
        <v>0</v>
      </c>
      <c r="M494" s="312">
        <v>0</v>
      </c>
      <c r="N494" s="312">
        <v>0</v>
      </c>
      <c r="O494" s="314">
        <v>0</v>
      </c>
      <c r="P494" s="314">
        <v>0</v>
      </c>
      <c r="Q494" s="312">
        <v>0</v>
      </c>
      <c r="R494" s="314">
        <v>0</v>
      </c>
      <c r="S494" s="314">
        <v>0</v>
      </c>
      <c r="T494" s="314">
        <v>0</v>
      </c>
      <c r="U494" s="314">
        <v>-1.4215971250232773</v>
      </c>
      <c r="V494" s="309"/>
    </row>
    <row r="495" spans="1:22">
      <c r="A495" s="304"/>
      <c r="B495" s="50" t="s">
        <v>560</v>
      </c>
      <c r="C495" s="301">
        <v>1.0902162925795569E-2</v>
      </c>
      <c r="D495" s="302">
        <v>3.1710381852110059E-2</v>
      </c>
      <c r="E495" s="302">
        <v>1.4061701980813031E-2</v>
      </c>
      <c r="F495" s="302">
        <v>6.8140308153421064E-2</v>
      </c>
      <c r="G495" s="302">
        <v>5.8955391167899572E-2</v>
      </c>
      <c r="H495" s="302">
        <v>0</v>
      </c>
      <c r="I495" s="302">
        <v>0</v>
      </c>
      <c r="J495" s="303">
        <v>1.612954999108818E-2</v>
      </c>
      <c r="K495" s="303">
        <v>0</v>
      </c>
      <c r="L495" s="302">
        <v>0</v>
      </c>
      <c r="M495" s="302">
        <v>0</v>
      </c>
      <c r="N495" s="302">
        <v>0</v>
      </c>
      <c r="O495" s="303">
        <v>0</v>
      </c>
      <c r="P495" s="303">
        <v>0</v>
      </c>
      <c r="Q495" s="302">
        <v>0</v>
      </c>
      <c r="R495" s="303">
        <v>0</v>
      </c>
      <c r="S495" s="303">
        <v>0</v>
      </c>
      <c r="T495" s="303">
        <v>0</v>
      </c>
      <c r="U495" s="303">
        <v>1.612954999108818E-2</v>
      </c>
      <c r="V495" s="309"/>
    </row>
    <row r="496" spans="1:22">
      <c r="A496" s="304"/>
      <c r="B496" s="305" t="s">
        <v>561</v>
      </c>
      <c r="C496" s="306">
        <v>9.7415515813040598E-3</v>
      </c>
      <c r="D496" s="307">
        <v>3.9910654245299715E-2</v>
      </c>
      <c r="E496" s="307">
        <v>1.0430227981470828E-2</v>
      </c>
      <c r="F496" s="307">
        <v>9.6643379612668494E-3</v>
      </c>
      <c r="G496" s="307">
        <v>7.9780755176613885E-2</v>
      </c>
      <c r="H496" s="307">
        <v>0</v>
      </c>
      <c r="I496" s="307">
        <v>0</v>
      </c>
      <c r="J496" s="308">
        <v>1.3194317783800098E-2</v>
      </c>
      <c r="K496" s="308">
        <v>0</v>
      </c>
      <c r="L496" s="307">
        <v>0</v>
      </c>
      <c r="M496" s="307">
        <v>0</v>
      </c>
      <c r="N496" s="307">
        <v>0</v>
      </c>
      <c r="O496" s="308">
        <v>0</v>
      </c>
      <c r="P496" s="308">
        <v>0</v>
      </c>
      <c r="Q496" s="307">
        <v>0</v>
      </c>
      <c r="R496" s="308">
        <v>0</v>
      </c>
      <c r="S496" s="308">
        <v>0</v>
      </c>
      <c r="T496" s="308">
        <v>0</v>
      </c>
      <c r="U496" s="308">
        <v>1.3194317783800098E-2</v>
      </c>
      <c r="V496" s="309"/>
    </row>
    <row r="497" spans="1:22">
      <c r="A497" s="304"/>
      <c r="B497" s="310" t="s">
        <v>562</v>
      </c>
      <c r="C497" s="311">
        <v>-0.11606113444915089</v>
      </c>
      <c r="D497" s="312">
        <v>0.8200272393189656</v>
      </c>
      <c r="E497" s="312">
        <v>-0.36314739993422024</v>
      </c>
      <c r="F497" s="312">
        <v>-5.8475970192154207</v>
      </c>
      <c r="G497" s="312">
        <v>2.0825364008714313</v>
      </c>
      <c r="H497" s="312">
        <v>0</v>
      </c>
      <c r="I497" s="312">
        <v>0</v>
      </c>
      <c r="J497" s="314">
        <v>-0.29352322072880821</v>
      </c>
      <c r="K497" s="314">
        <v>0</v>
      </c>
      <c r="L497" s="312">
        <v>0</v>
      </c>
      <c r="M497" s="312">
        <v>0</v>
      </c>
      <c r="N497" s="312">
        <v>0</v>
      </c>
      <c r="O497" s="314">
        <v>0</v>
      </c>
      <c r="P497" s="314">
        <v>0</v>
      </c>
      <c r="Q497" s="312">
        <v>0</v>
      </c>
      <c r="R497" s="314">
        <v>0</v>
      </c>
      <c r="S497" s="314">
        <v>0</v>
      </c>
      <c r="T497" s="314">
        <v>0</v>
      </c>
      <c r="U497" s="314">
        <v>-0.29352322072880821</v>
      </c>
      <c r="V497" s="309"/>
    </row>
    <row r="498" spans="1:22">
      <c r="A498" s="304"/>
      <c r="B498" s="50" t="s">
        <v>563</v>
      </c>
      <c r="C498" s="301">
        <v>0.46298303515972283</v>
      </c>
      <c r="D498" s="302">
        <v>0.60265589059166835</v>
      </c>
      <c r="E498" s="302">
        <v>0.77526813444682174</v>
      </c>
      <c r="F498" s="302">
        <v>0.78637662155200672</v>
      </c>
      <c r="G498" s="302">
        <v>0.53665097511768667</v>
      </c>
      <c r="H498" s="302">
        <v>0</v>
      </c>
      <c r="I498" s="302">
        <v>0</v>
      </c>
      <c r="J498" s="303">
        <v>0.58447223017669059</v>
      </c>
      <c r="K498" s="303">
        <v>0</v>
      </c>
      <c r="L498" s="302">
        <v>0</v>
      </c>
      <c r="M498" s="302">
        <v>0</v>
      </c>
      <c r="N498" s="302">
        <v>0</v>
      </c>
      <c r="O498" s="303">
        <v>0</v>
      </c>
      <c r="P498" s="303">
        <v>0</v>
      </c>
      <c r="Q498" s="302">
        <v>0</v>
      </c>
      <c r="R498" s="303">
        <v>0</v>
      </c>
      <c r="S498" s="303">
        <v>0</v>
      </c>
      <c r="T498" s="303">
        <v>0</v>
      </c>
      <c r="U498" s="303">
        <v>0.58447223017669059</v>
      </c>
      <c r="V498" s="309"/>
    </row>
    <row r="499" spans="1:22">
      <c r="A499" s="304"/>
      <c r="B499" s="305" t="s">
        <v>564</v>
      </c>
      <c r="C499" s="306">
        <v>0.46646020090326296</v>
      </c>
      <c r="D499" s="307">
        <v>0.63052069856425463</v>
      </c>
      <c r="E499" s="307">
        <v>0.80729056283871747</v>
      </c>
      <c r="F499" s="307">
        <v>0.80048511186629101</v>
      </c>
      <c r="G499" s="307">
        <v>0.50101502233049122</v>
      </c>
      <c r="H499" s="307">
        <v>0</v>
      </c>
      <c r="I499" s="307">
        <v>0</v>
      </c>
      <c r="J499" s="308">
        <v>0.60305392488382636</v>
      </c>
      <c r="K499" s="308">
        <v>0</v>
      </c>
      <c r="L499" s="307">
        <v>0</v>
      </c>
      <c r="M499" s="307">
        <v>0</v>
      </c>
      <c r="N499" s="307">
        <v>0</v>
      </c>
      <c r="O499" s="308">
        <v>0</v>
      </c>
      <c r="P499" s="308">
        <v>0</v>
      </c>
      <c r="Q499" s="307">
        <v>0</v>
      </c>
      <c r="R499" s="308">
        <v>0</v>
      </c>
      <c r="S499" s="308">
        <v>0</v>
      </c>
      <c r="T499" s="308">
        <v>0</v>
      </c>
      <c r="U499" s="308">
        <v>0.60305392488382636</v>
      </c>
      <c r="V499" s="309"/>
    </row>
    <row r="500" spans="1:22">
      <c r="A500" s="304"/>
      <c r="B500" s="310" t="s">
        <v>565</v>
      </c>
      <c r="C500" s="311">
        <v>0.34771657435401226</v>
      </c>
      <c r="D500" s="312">
        <v>2.7864807972586281</v>
      </c>
      <c r="E500" s="312">
        <v>3.202242839189573</v>
      </c>
      <c r="F500" s="312">
        <v>1.4108490314284294</v>
      </c>
      <c r="G500" s="312">
        <v>-3.5635952787195446</v>
      </c>
      <c r="H500" s="312">
        <v>0</v>
      </c>
      <c r="I500" s="312">
        <v>0</v>
      </c>
      <c r="J500" s="314">
        <v>1.8581694707135776</v>
      </c>
      <c r="K500" s="314">
        <v>0</v>
      </c>
      <c r="L500" s="312">
        <v>0</v>
      </c>
      <c r="M500" s="312">
        <v>0</v>
      </c>
      <c r="N500" s="312">
        <v>0</v>
      </c>
      <c r="O500" s="314">
        <v>0</v>
      </c>
      <c r="P500" s="314">
        <v>0</v>
      </c>
      <c r="Q500" s="312">
        <v>0</v>
      </c>
      <c r="R500" s="314">
        <v>0</v>
      </c>
      <c r="S500" s="314">
        <v>0</v>
      </c>
      <c r="T500" s="314">
        <v>0</v>
      </c>
      <c r="U500" s="314">
        <v>1.8581694707135776</v>
      </c>
      <c r="V500" s="309"/>
    </row>
    <row r="501" spans="1:22">
      <c r="A501" s="304"/>
      <c r="B501" s="50" t="s">
        <v>566</v>
      </c>
      <c r="C501" s="301">
        <v>1.8426276625543473E-2</v>
      </c>
      <c r="D501" s="302">
        <v>2.5590395043896086E-3</v>
      </c>
      <c r="E501" s="302">
        <v>4.290151149147629E-3</v>
      </c>
      <c r="F501" s="302">
        <v>8.3594811033578416E-3</v>
      </c>
      <c r="G501" s="302">
        <v>2.0174848688634835E-2</v>
      </c>
      <c r="H501" s="302">
        <v>0</v>
      </c>
      <c r="I501" s="302">
        <v>0</v>
      </c>
      <c r="J501" s="303">
        <v>1.213570294833425E-2</v>
      </c>
      <c r="K501" s="303">
        <v>0</v>
      </c>
      <c r="L501" s="302">
        <v>0</v>
      </c>
      <c r="M501" s="302">
        <v>0</v>
      </c>
      <c r="N501" s="302">
        <v>0</v>
      </c>
      <c r="O501" s="303">
        <v>0</v>
      </c>
      <c r="P501" s="303">
        <v>0</v>
      </c>
      <c r="Q501" s="302">
        <v>0</v>
      </c>
      <c r="R501" s="303">
        <v>0</v>
      </c>
      <c r="S501" s="303">
        <v>0</v>
      </c>
      <c r="T501" s="303">
        <v>0</v>
      </c>
      <c r="U501" s="303">
        <v>1.213570294833425E-2</v>
      </c>
      <c r="V501" s="309"/>
    </row>
    <row r="502" spans="1:22">
      <c r="A502" s="304"/>
      <c r="B502" s="305" t="s">
        <v>567</v>
      </c>
      <c r="C502" s="306">
        <v>2.074728531173262E-2</v>
      </c>
      <c r="D502" s="307">
        <v>2.6386884420727271E-3</v>
      </c>
      <c r="E502" s="307">
        <v>2.5697114656816735E-3</v>
      </c>
      <c r="F502" s="307">
        <v>5.8365021413140971E-3</v>
      </c>
      <c r="G502" s="307">
        <v>3.6540803897685747E-3</v>
      </c>
      <c r="H502" s="307">
        <v>0</v>
      </c>
      <c r="I502" s="307">
        <v>0</v>
      </c>
      <c r="J502" s="308">
        <v>1.2564422069673488E-2</v>
      </c>
      <c r="K502" s="308">
        <v>0</v>
      </c>
      <c r="L502" s="307">
        <v>0</v>
      </c>
      <c r="M502" s="307">
        <v>0</v>
      </c>
      <c r="N502" s="307">
        <v>0</v>
      </c>
      <c r="O502" s="308">
        <v>0</v>
      </c>
      <c r="P502" s="308">
        <v>0</v>
      </c>
      <c r="Q502" s="307">
        <v>0</v>
      </c>
      <c r="R502" s="308">
        <v>0</v>
      </c>
      <c r="S502" s="308">
        <v>0</v>
      </c>
      <c r="T502" s="308">
        <v>0</v>
      </c>
      <c r="U502" s="308">
        <v>1.2564422069673488E-2</v>
      </c>
      <c r="V502" s="309"/>
    </row>
    <row r="503" spans="1:22">
      <c r="A503" s="304"/>
      <c r="B503" s="310" t="s">
        <v>568</v>
      </c>
      <c r="C503" s="311">
        <v>0.23210086861891466</v>
      </c>
      <c r="D503" s="312">
        <v>7.9648937683118523E-3</v>
      </c>
      <c r="E503" s="312">
        <v>-0.17204396834659555</v>
      </c>
      <c r="F503" s="312">
        <v>-0.25229789620437443</v>
      </c>
      <c r="G503" s="312">
        <v>-1.652076829886626</v>
      </c>
      <c r="H503" s="312">
        <v>0</v>
      </c>
      <c r="I503" s="312">
        <v>0</v>
      </c>
      <c r="J503" s="314">
        <v>4.2871912133923828E-2</v>
      </c>
      <c r="K503" s="314">
        <v>0</v>
      </c>
      <c r="L503" s="312">
        <v>0</v>
      </c>
      <c r="M503" s="312">
        <v>0</v>
      </c>
      <c r="N503" s="312">
        <v>0</v>
      </c>
      <c r="O503" s="314">
        <v>0</v>
      </c>
      <c r="P503" s="314">
        <v>0</v>
      </c>
      <c r="Q503" s="312">
        <v>0</v>
      </c>
      <c r="R503" s="314">
        <v>0</v>
      </c>
      <c r="S503" s="314">
        <v>0</v>
      </c>
      <c r="T503" s="314">
        <v>0</v>
      </c>
      <c r="U503" s="314">
        <v>4.2871912133923828E-2</v>
      </c>
      <c r="V503" s="309"/>
    </row>
    <row r="504" spans="1:22">
      <c r="A504" s="304"/>
      <c r="B504" s="50" t="s">
        <v>569</v>
      </c>
      <c r="C504" s="301">
        <v>5.2231126158492772E-3</v>
      </c>
      <c r="D504" s="302">
        <v>1.7533386490108248E-3</v>
      </c>
      <c r="E504" s="302">
        <v>1.7656152943612394E-2</v>
      </c>
      <c r="F504" s="302">
        <v>1.30660797077694E-2</v>
      </c>
      <c r="G504" s="302">
        <v>4.3936337144138082E-2</v>
      </c>
      <c r="H504" s="302">
        <v>0</v>
      </c>
      <c r="I504" s="302">
        <v>0</v>
      </c>
      <c r="J504" s="303">
        <v>9.0321932116426383E-3</v>
      </c>
      <c r="K504" s="303">
        <v>0</v>
      </c>
      <c r="L504" s="302">
        <v>0</v>
      </c>
      <c r="M504" s="302">
        <v>0</v>
      </c>
      <c r="N504" s="302">
        <v>0</v>
      </c>
      <c r="O504" s="303">
        <v>0</v>
      </c>
      <c r="P504" s="303">
        <v>0</v>
      </c>
      <c r="Q504" s="302">
        <v>0</v>
      </c>
      <c r="R504" s="303">
        <v>0</v>
      </c>
      <c r="S504" s="303">
        <v>0</v>
      </c>
      <c r="T504" s="303">
        <v>0</v>
      </c>
      <c r="U504" s="303">
        <v>9.0321932116426383E-3</v>
      </c>
      <c r="V504" s="309"/>
    </row>
    <row r="505" spans="1:22">
      <c r="A505" s="304"/>
      <c r="B505" s="305" t="s">
        <v>570</v>
      </c>
      <c r="C505" s="306">
        <v>4.418327746088681E-3</v>
      </c>
      <c r="D505" s="307">
        <v>2.2100490379208236E-3</v>
      </c>
      <c r="E505" s="307">
        <v>1.420595032648077E-2</v>
      </c>
      <c r="F505" s="307">
        <v>0</v>
      </c>
      <c r="G505" s="307">
        <v>2.0300446609825416E-4</v>
      </c>
      <c r="H505" s="307">
        <v>0</v>
      </c>
      <c r="I505" s="307">
        <v>0</v>
      </c>
      <c r="J505" s="308">
        <v>7.1729828406884386E-3</v>
      </c>
      <c r="K505" s="308">
        <v>0</v>
      </c>
      <c r="L505" s="307">
        <v>0</v>
      </c>
      <c r="M505" s="307">
        <v>0</v>
      </c>
      <c r="N505" s="307">
        <v>0</v>
      </c>
      <c r="O505" s="308">
        <v>0</v>
      </c>
      <c r="P505" s="308">
        <v>0</v>
      </c>
      <c r="Q505" s="307">
        <v>0</v>
      </c>
      <c r="R505" s="308">
        <v>0</v>
      </c>
      <c r="S505" s="308">
        <v>0</v>
      </c>
      <c r="T505" s="308">
        <v>0</v>
      </c>
      <c r="U505" s="308">
        <v>7.1729828406884386E-3</v>
      </c>
      <c r="V505" s="309"/>
    </row>
    <row r="506" spans="1:22">
      <c r="A506" s="304"/>
      <c r="B506" s="310" t="s">
        <v>571</v>
      </c>
      <c r="C506" s="311">
        <v>-8.0478486976059624E-2</v>
      </c>
      <c r="D506" s="312">
        <v>4.5671038890999875E-2</v>
      </c>
      <c r="E506" s="312">
        <v>-0.34502026171316247</v>
      </c>
      <c r="F506" s="312">
        <v>-1.30660797077694</v>
      </c>
      <c r="G506" s="312">
        <v>-4.3733332678039822</v>
      </c>
      <c r="H506" s="312">
        <v>0</v>
      </c>
      <c r="I506" s="312">
        <v>0</v>
      </c>
      <c r="J506" s="314">
        <v>-0.18592103709541996</v>
      </c>
      <c r="K506" s="314">
        <v>0</v>
      </c>
      <c r="L506" s="312">
        <v>0</v>
      </c>
      <c r="M506" s="312">
        <v>0</v>
      </c>
      <c r="N506" s="312">
        <v>0</v>
      </c>
      <c r="O506" s="314">
        <v>0</v>
      </c>
      <c r="P506" s="314">
        <v>0</v>
      </c>
      <c r="Q506" s="312">
        <v>0</v>
      </c>
      <c r="R506" s="314">
        <v>0</v>
      </c>
      <c r="S506" s="314">
        <v>0</v>
      </c>
      <c r="T506" s="314">
        <v>0</v>
      </c>
      <c r="U506" s="314">
        <v>-0.18592103709541996</v>
      </c>
      <c r="V506" s="309"/>
    </row>
    <row r="507" spans="1:22">
      <c r="A507" s="304"/>
      <c r="B507" s="50" t="s">
        <v>572</v>
      </c>
      <c r="C507" s="301">
        <v>0</v>
      </c>
      <c r="D507" s="302">
        <v>0</v>
      </c>
      <c r="E507" s="302">
        <v>0</v>
      </c>
      <c r="F507" s="302">
        <v>0</v>
      </c>
      <c r="G507" s="302">
        <v>0</v>
      </c>
      <c r="H507" s="302">
        <v>0</v>
      </c>
      <c r="I507" s="302">
        <v>0</v>
      </c>
      <c r="J507" s="303">
        <v>0</v>
      </c>
      <c r="K507" s="303">
        <v>0</v>
      </c>
      <c r="L507" s="302">
        <v>0</v>
      </c>
      <c r="M507" s="302">
        <v>0</v>
      </c>
      <c r="N507" s="302">
        <v>0</v>
      </c>
      <c r="O507" s="303">
        <v>0</v>
      </c>
      <c r="P507" s="303">
        <v>0</v>
      </c>
      <c r="Q507" s="302">
        <v>0</v>
      </c>
      <c r="R507" s="303">
        <v>0</v>
      </c>
      <c r="S507" s="303">
        <v>0</v>
      </c>
      <c r="T507" s="303">
        <v>0</v>
      </c>
      <c r="U507" s="303">
        <v>0</v>
      </c>
      <c r="V507" s="309"/>
    </row>
    <row r="508" spans="1:22">
      <c r="A508" s="304"/>
      <c r="B508" s="305" t="s">
        <v>573</v>
      </c>
      <c r="C508" s="306">
        <v>0</v>
      </c>
      <c r="D508" s="307">
        <v>0</v>
      </c>
      <c r="E508" s="307">
        <v>0</v>
      </c>
      <c r="F508" s="307">
        <v>0</v>
      </c>
      <c r="G508" s="307">
        <v>0</v>
      </c>
      <c r="H508" s="307">
        <v>0</v>
      </c>
      <c r="I508" s="307">
        <v>0</v>
      </c>
      <c r="J508" s="308">
        <v>0</v>
      </c>
      <c r="K508" s="308">
        <v>0</v>
      </c>
      <c r="L508" s="307">
        <v>0</v>
      </c>
      <c r="M508" s="307">
        <v>0</v>
      </c>
      <c r="N508" s="307">
        <v>0</v>
      </c>
      <c r="O508" s="308">
        <v>0</v>
      </c>
      <c r="P508" s="308">
        <v>0</v>
      </c>
      <c r="Q508" s="307">
        <v>0</v>
      </c>
      <c r="R508" s="308">
        <v>0</v>
      </c>
      <c r="S508" s="308">
        <v>0</v>
      </c>
      <c r="T508" s="308">
        <v>0</v>
      </c>
      <c r="U508" s="308">
        <v>0</v>
      </c>
      <c r="V508" s="309"/>
    </row>
    <row r="509" spans="1:22" ht="15.75" thickBot="1">
      <c r="A509" s="320"/>
      <c r="B509" s="321" t="s">
        <v>574</v>
      </c>
      <c r="C509" s="322">
        <v>0</v>
      </c>
      <c r="D509" s="323">
        <v>0</v>
      </c>
      <c r="E509" s="323">
        <v>0</v>
      </c>
      <c r="F509" s="323">
        <v>0</v>
      </c>
      <c r="G509" s="323">
        <v>0</v>
      </c>
      <c r="H509" s="323">
        <v>0</v>
      </c>
      <c r="I509" s="323">
        <v>0</v>
      </c>
      <c r="J509" s="324">
        <v>0</v>
      </c>
      <c r="K509" s="324">
        <v>0</v>
      </c>
      <c r="L509" s="323">
        <v>0</v>
      </c>
      <c r="M509" s="323">
        <v>0</v>
      </c>
      <c r="N509" s="323">
        <v>0</v>
      </c>
      <c r="O509" s="324">
        <v>0</v>
      </c>
      <c r="P509" s="324">
        <v>0</v>
      </c>
      <c r="Q509" s="323">
        <v>0</v>
      </c>
      <c r="R509" s="324">
        <v>0</v>
      </c>
      <c r="S509" s="324">
        <v>0</v>
      </c>
      <c r="T509" s="324">
        <v>0</v>
      </c>
      <c r="U509" s="324">
        <v>0</v>
      </c>
      <c r="V509" s="309"/>
    </row>
    <row r="510" spans="1:22">
      <c r="A510" s="300" t="s">
        <v>438</v>
      </c>
      <c r="B510" s="50" t="s">
        <v>539</v>
      </c>
      <c r="C510" s="301">
        <v>0.54887822444914902</v>
      </c>
      <c r="D510" s="302">
        <v>0.54631071252347341</v>
      </c>
      <c r="E510" s="302">
        <v>0.56871040753411295</v>
      </c>
      <c r="F510" s="302">
        <v>0.68144471572053045</v>
      </c>
      <c r="G510" s="302">
        <v>0.66088654742023378</v>
      </c>
      <c r="H510" s="302">
        <v>0.71382117369764952</v>
      </c>
      <c r="I510" s="302">
        <v>0</v>
      </c>
      <c r="J510" s="303">
        <v>0.56584105082528691</v>
      </c>
      <c r="K510" s="303">
        <v>0</v>
      </c>
      <c r="L510" s="302">
        <v>0.34489797832332447</v>
      </c>
      <c r="M510" s="302">
        <v>0.23420818762788748</v>
      </c>
      <c r="N510" s="302">
        <v>0.21924367442547535</v>
      </c>
      <c r="O510" s="303">
        <v>0.29382171610734298</v>
      </c>
      <c r="P510" s="303">
        <v>0</v>
      </c>
      <c r="Q510" s="302">
        <v>0</v>
      </c>
      <c r="R510" s="303">
        <v>0</v>
      </c>
      <c r="S510" s="303">
        <v>0</v>
      </c>
      <c r="T510" s="303">
        <v>0</v>
      </c>
      <c r="U510" s="303">
        <v>0.46668012205445003</v>
      </c>
      <c r="V510" s="309"/>
    </row>
    <row r="511" spans="1:22">
      <c r="A511" s="304"/>
      <c r="B511" s="305" t="s">
        <v>540</v>
      </c>
      <c r="C511" s="306">
        <v>0.42353943887484902</v>
      </c>
      <c r="D511" s="307">
        <v>0.5266881443645226</v>
      </c>
      <c r="E511" s="307">
        <v>0.50264491440438841</v>
      </c>
      <c r="F511" s="307">
        <v>0.51657580779411649</v>
      </c>
      <c r="G511" s="307">
        <v>0.66499044553957554</v>
      </c>
      <c r="H511" s="307">
        <v>0.72095484985958092</v>
      </c>
      <c r="I511" s="307">
        <v>0</v>
      </c>
      <c r="J511" s="308">
        <v>0.46398554896569755</v>
      </c>
      <c r="K511" s="308">
        <v>0</v>
      </c>
      <c r="L511" s="307">
        <v>0.17623297565002063</v>
      </c>
      <c r="M511" s="307">
        <v>9.3131573414698576E-2</v>
      </c>
      <c r="N511" s="307">
        <v>0.16496313719245514</v>
      </c>
      <c r="O511" s="308">
        <v>0.15191228302506474</v>
      </c>
      <c r="P511" s="308">
        <v>0</v>
      </c>
      <c r="Q511" s="307">
        <v>0</v>
      </c>
      <c r="R511" s="308">
        <v>0</v>
      </c>
      <c r="S511" s="308">
        <v>0</v>
      </c>
      <c r="T511" s="308">
        <v>0</v>
      </c>
      <c r="U511" s="308">
        <v>0.35192212090686692</v>
      </c>
      <c r="V511" s="309"/>
    </row>
    <row r="512" spans="1:22">
      <c r="A512" s="304"/>
      <c r="B512" s="310" t="s">
        <v>541</v>
      </c>
      <c r="C512" s="311">
        <v>-12.53387855743</v>
      </c>
      <c r="D512" s="312">
        <v>-1.9622568158950804</v>
      </c>
      <c r="E512" s="312">
        <v>-6.6065493129724544</v>
      </c>
      <c r="F512" s="312">
        <v>-16.486890792641397</v>
      </c>
      <c r="G512" s="312">
        <v>0.41038981193417534</v>
      </c>
      <c r="H512" s="312">
        <v>0.71336761619313904</v>
      </c>
      <c r="I512" s="312">
        <v>0</v>
      </c>
      <c r="J512" s="314">
        <v>-10.185550185958936</v>
      </c>
      <c r="K512" s="314">
        <v>0</v>
      </c>
      <c r="L512" s="312">
        <v>-16.866500267330384</v>
      </c>
      <c r="M512" s="312">
        <v>-14.107661421318889</v>
      </c>
      <c r="N512" s="312">
        <v>-5.4280537233020203</v>
      </c>
      <c r="O512" s="314">
        <v>-14.190943308227824</v>
      </c>
      <c r="P512" s="314">
        <v>0</v>
      </c>
      <c r="Q512" s="312">
        <v>0</v>
      </c>
      <c r="R512" s="314">
        <v>0</v>
      </c>
      <c r="S512" s="314">
        <v>0</v>
      </c>
      <c r="T512" s="314">
        <v>0</v>
      </c>
      <c r="U512" s="314">
        <v>-11.475800114758311</v>
      </c>
      <c r="V512" s="309"/>
    </row>
    <row r="513" spans="1:22">
      <c r="A513" s="304"/>
      <c r="B513" s="50" t="s">
        <v>542</v>
      </c>
      <c r="C513" s="301">
        <v>1.0278120041859367E-2</v>
      </c>
      <c r="D513" s="302">
        <v>2.211551678721229E-2</v>
      </c>
      <c r="E513" s="302">
        <v>2.5093114108684436E-2</v>
      </c>
      <c r="F513" s="302">
        <v>5.8478677212321455E-4</v>
      </c>
      <c r="G513" s="302">
        <v>4.2794673464006325E-3</v>
      </c>
      <c r="H513" s="302">
        <v>1.5647847057026255E-2</v>
      </c>
      <c r="I513" s="302">
        <v>0</v>
      </c>
      <c r="J513" s="303">
        <v>1.2806455779537268E-2</v>
      </c>
      <c r="K513" s="303">
        <v>0</v>
      </c>
      <c r="L513" s="302">
        <v>0.10629949075130594</v>
      </c>
      <c r="M513" s="302">
        <v>0.17320803200868382</v>
      </c>
      <c r="N513" s="302">
        <v>0.19497752548167219</v>
      </c>
      <c r="O513" s="303">
        <v>0.13928850044758989</v>
      </c>
      <c r="P513" s="303">
        <v>0</v>
      </c>
      <c r="Q513" s="302">
        <v>0</v>
      </c>
      <c r="R513" s="303">
        <v>0</v>
      </c>
      <c r="S513" s="303">
        <v>0</v>
      </c>
      <c r="T513" s="303">
        <v>0</v>
      </c>
      <c r="U513" s="303">
        <v>5.8913755597483727E-2</v>
      </c>
      <c r="V513" s="309"/>
    </row>
    <row r="514" spans="1:22">
      <c r="A514" s="304"/>
      <c r="B514" s="305" t="s">
        <v>543</v>
      </c>
      <c r="C514" s="306">
        <v>4.4449386805090526E-3</v>
      </c>
      <c r="D514" s="307">
        <v>7.9426282146014306E-3</v>
      </c>
      <c r="E514" s="307">
        <v>1.9849643453531112E-2</v>
      </c>
      <c r="F514" s="307">
        <v>0</v>
      </c>
      <c r="G514" s="307">
        <v>4.0051824813199946E-3</v>
      </c>
      <c r="H514" s="307">
        <v>0</v>
      </c>
      <c r="I514" s="307">
        <v>0</v>
      </c>
      <c r="J514" s="308">
        <v>7.2127595145688641E-3</v>
      </c>
      <c r="K514" s="308">
        <v>0</v>
      </c>
      <c r="L514" s="307">
        <v>0.10787956562113082</v>
      </c>
      <c r="M514" s="307">
        <v>0.15760427167508531</v>
      </c>
      <c r="N514" s="307">
        <v>0.16688949119704877</v>
      </c>
      <c r="O514" s="308">
        <v>0.13104174017491152</v>
      </c>
      <c r="P514" s="308">
        <v>0</v>
      </c>
      <c r="Q514" s="307">
        <v>0</v>
      </c>
      <c r="R514" s="308">
        <v>0</v>
      </c>
      <c r="S514" s="308">
        <v>0</v>
      </c>
      <c r="T514" s="308">
        <v>0</v>
      </c>
      <c r="U514" s="308">
        <v>5.1678920446369001E-2</v>
      </c>
      <c r="V514" s="309"/>
    </row>
    <row r="515" spans="1:22">
      <c r="A515" s="304"/>
      <c r="B515" s="310" t="s">
        <v>544</v>
      </c>
      <c r="C515" s="311">
        <v>-0.58331813613503136</v>
      </c>
      <c r="D515" s="312">
        <v>-1.417288857261086</v>
      </c>
      <c r="E515" s="312">
        <v>-0.52434706551533239</v>
      </c>
      <c r="F515" s="312">
        <v>-5.8478677212321452E-2</v>
      </c>
      <c r="G515" s="312">
        <v>-2.7428486508063784E-2</v>
      </c>
      <c r="H515" s="312">
        <v>-1.5647847057026254</v>
      </c>
      <c r="I515" s="312">
        <v>0</v>
      </c>
      <c r="J515" s="314">
        <v>-0.55936962649684041</v>
      </c>
      <c r="K515" s="314">
        <v>0</v>
      </c>
      <c r="L515" s="312">
        <v>0.15800748698248795</v>
      </c>
      <c r="M515" s="312">
        <v>-1.5603760333598504</v>
      </c>
      <c r="N515" s="312">
        <v>-2.8088034284623422</v>
      </c>
      <c r="O515" s="314">
        <v>-0.82467602726783718</v>
      </c>
      <c r="P515" s="314">
        <v>0</v>
      </c>
      <c r="Q515" s="312">
        <v>0</v>
      </c>
      <c r="R515" s="314">
        <v>0</v>
      </c>
      <c r="S515" s="314">
        <v>0</v>
      </c>
      <c r="T515" s="314">
        <v>0</v>
      </c>
      <c r="U515" s="314">
        <v>-0.72348351511147269</v>
      </c>
      <c r="V515" s="309"/>
    </row>
    <row r="516" spans="1:22">
      <c r="A516" s="304"/>
      <c r="B516" s="50" t="s">
        <v>545</v>
      </c>
      <c r="C516" s="301">
        <v>0.27633857740848083</v>
      </c>
      <c r="D516" s="302">
        <v>0.34284171493694154</v>
      </c>
      <c r="E516" s="302">
        <v>0.40105406471809946</v>
      </c>
      <c r="F516" s="302">
        <v>0.31797049750734641</v>
      </c>
      <c r="G516" s="302">
        <v>0.21105080425419706</v>
      </c>
      <c r="H516" s="302">
        <v>0.27053097924532421</v>
      </c>
      <c r="I516" s="302">
        <v>0</v>
      </c>
      <c r="J516" s="303">
        <v>0.29824317604803924</v>
      </c>
      <c r="K516" s="303">
        <v>0</v>
      </c>
      <c r="L516" s="302">
        <v>0.50739926785731038</v>
      </c>
      <c r="M516" s="302">
        <v>0.54554433925500845</v>
      </c>
      <c r="N516" s="302">
        <v>0.48890412982463544</v>
      </c>
      <c r="O516" s="303">
        <v>0.51472872404610037</v>
      </c>
      <c r="P516" s="303">
        <v>0</v>
      </c>
      <c r="Q516" s="302">
        <v>0</v>
      </c>
      <c r="R516" s="303">
        <v>0</v>
      </c>
      <c r="S516" s="303">
        <v>0</v>
      </c>
      <c r="T516" s="303">
        <v>0</v>
      </c>
      <c r="U516" s="303">
        <v>0.37716002226123324</v>
      </c>
      <c r="V516" s="309"/>
    </row>
    <row r="517" spans="1:22">
      <c r="A517" s="304"/>
      <c r="B517" s="305" t="s">
        <v>546</v>
      </c>
      <c r="C517" s="306">
        <v>0.34032036813237326</v>
      </c>
      <c r="D517" s="307">
        <v>0.40078566457711418</v>
      </c>
      <c r="E517" s="307">
        <v>0.45635724466403249</v>
      </c>
      <c r="F517" s="307">
        <v>0.48342419220588345</v>
      </c>
      <c r="G517" s="307">
        <v>0.21132218350480089</v>
      </c>
      <c r="H517" s="307">
        <v>0.27904515014041908</v>
      </c>
      <c r="I517" s="307">
        <v>0</v>
      </c>
      <c r="J517" s="308">
        <v>0.35833629395554401</v>
      </c>
      <c r="K517" s="308">
        <v>0</v>
      </c>
      <c r="L517" s="307">
        <v>0.69145235761452739</v>
      </c>
      <c r="M517" s="307">
        <v>0.71504466283200629</v>
      </c>
      <c r="N517" s="307">
        <v>0.58527876288705394</v>
      </c>
      <c r="O517" s="308">
        <v>0.68034046013413729</v>
      </c>
      <c r="P517" s="308">
        <v>0</v>
      </c>
      <c r="Q517" s="307">
        <v>0</v>
      </c>
      <c r="R517" s="308">
        <v>0</v>
      </c>
      <c r="S517" s="308">
        <v>0</v>
      </c>
      <c r="T517" s="308">
        <v>0</v>
      </c>
      <c r="U517" s="308">
        <v>0.47396584204398279</v>
      </c>
      <c r="V517" s="309"/>
    </row>
    <row r="518" spans="1:22">
      <c r="A518" s="304"/>
      <c r="B518" s="310" t="s">
        <v>547</v>
      </c>
      <c r="C518" s="311">
        <v>6.3981790723892429</v>
      </c>
      <c r="D518" s="312">
        <v>5.794394964017263</v>
      </c>
      <c r="E518" s="312">
        <v>5.5303179945933039</v>
      </c>
      <c r="F518" s="312">
        <v>16.545369469853703</v>
      </c>
      <c r="G518" s="312">
        <v>2.713792506038315E-2</v>
      </c>
      <c r="H518" s="312">
        <v>0.85141708950948747</v>
      </c>
      <c r="I518" s="312">
        <v>0</v>
      </c>
      <c r="J518" s="314">
        <v>6.0093117907504769</v>
      </c>
      <c r="K518" s="314">
        <v>0</v>
      </c>
      <c r="L518" s="312">
        <v>18.405308975721702</v>
      </c>
      <c r="M518" s="312">
        <v>16.950032357699783</v>
      </c>
      <c r="N518" s="312">
        <v>9.63746330624185</v>
      </c>
      <c r="O518" s="314">
        <v>16.561173608803692</v>
      </c>
      <c r="P518" s="314">
        <v>0</v>
      </c>
      <c r="Q518" s="312">
        <v>0</v>
      </c>
      <c r="R518" s="314">
        <v>0</v>
      </c>
      <c r="S518" s="314">
        <v>0</v>
      </c>
      <c r="T518" s="314">
        <v>0</v>
      </c>
      <c r="U518" s="314">
        <v>9.6805819782749545</v>
      </c>
      <c r="V518" s="309"/>
    </row>
    <row r="519" spans="1:22">
      <c r="A519" s="304"/>
      <c r="B519" s="50" t="s">
        <v>548</v>
      </c>
      <c r="C519" s="301">
        <v>0.16450357106688335</v>
      </c>
      <c r="D519" s="302">
        <v>8.8732055752372807E-2</v>
      </c>
      <c r="E519" s="302">
        <v>5.142413639103156E-3</v>
      </c>
      <c r="F519" s="302">
        <v>0</v>
      </c>
      <c r="G519" s="302">
        <v>0.1237831809791685</v>
      </c>
      <c r="H519" s="302">
        <v>0</v>
      </c>
      <c r="I519" s="302">
        <v>0</v>
      </c>
      <c r="J519" s="303">
        <v>0.12310831122737295</v>
      </c>
      <c r="K519" s="303">
        <v>0</v>
      </c>
      <c r="L519" s="302">
        <v>3.4327551010838335E-2</v>
      </c>
      <c r="M519" s="302">
        <v>4.5361068705235368E-2</v>
      </c>
      <c r="N519" s="302">
        <v>7.9262244919492686E-2</v>
      </c>
      <c r="O519" s="303">
        <v>4.4805992933972777E-2</v>
      </c>
      <c r="P519" s="303">
        <v>0</v>
      </c>
      <c r="Q519" s="302">
        <v>0</v>
      </c>
      <c r="R519" s="303">
        <v>0</v>
      </c>
      <c r="S519" s="303">
        <v>0</v>
      </c>
      <c r="T519" s="303">
        <v>0</v>
      </c>
      <c r="U519" s="303">
        <v>9.4564271830562166E-2</v>
      </c>
      <c r="V519" s="309"/>
    </row>
    <row r="520" spans="1:22">
      <c r="A520" s="304"/>
      <c r="B520" s="305" t="s">
        <v>549</v>
      </c>
      <c r="C520" s="306">
        <v>0.2316943440548509</v>
      </c>
      <c r="D520" s="307">
        <v>6.4583562843761835E-2</v>
      </c>
      <c r="E520" s="307">
        <v>2.1148197478047987E-2</v>
      </c>
      <c r="F520" s="307">
        <v>0</v>
      </c>
      <c r="G520" s="307">
        <v>0.11968218847430354</v>
      </c>
      <c r="H520" s="307">
        <v>0</v>
      </c>
      <c r="I520" s="307">
        <v>0</v>
      </c>
      <c r="J520" s="308">
        <v>0.17046478519763059</v>
      </c>
      <c r="K520" s="308">
        <v>0</v>
      </c>
      <c r="L520" s="307">
        <v>1.7407397853900122E-2</v>
      </c>
      <c r="M520" s="307">
        <v>2.5932474757548476E-2</v>
      </c>
      <c r="N520" s="307">
        <v>5.4406783597018241E-2</v>
      </c>
      <c r="O520" s="308">
        <v>2.5806653749252926E-2</v>
      </c>
      <c r="P520" s="308">
        <v>0</v>
      </c>
      <c r="Q520" s="307">
        <v>0</v>
      </c>
      <c r="R520" s="308">
        <v>0</v>
      </c>
      <c r="S520" s="308">
        <v>0</v>
      </c>
      <c r="T520" s="308">
        <v>0</v>
      </c>
      <c r="U520" s="308">
        <v>0.11851901516241709</v>
      </c>
      <c r="V520" s="309"/>
    </row>
    <row r="521" spans="1:22">
      <c r="A521" s="304"/>
      <c r="B521" s="310" t="s">
        <v>550</v>
      </c>
      <c r="C521" s="311">
        <v>6.7190772987967549</v>
      </c>
      <c r="D521" s="312">
        <v>-2.4148492908610972</v>
      </c>
      <c r="E521" s="312">
        <v>1.6005783838944834</v>
      </c>
      <c r="F521" s="312">
        <v>0</v>
      </c>
      <c r="G521" s="312">
        <v>-0.4100992504864967</v>
      </c>
      <c r="H521" s="312">
        <v>0</v>
      </c>
      <c r="I521" s="312">
        <v>0</v>
      </c>
      <c r="J521" s="314">
        <v>4.7356473970257635</v>
      </c>
      <c r="K521" s="314">
        <v>0</v>
      </c>
      <c r="L521" s="312">
        <v>-1.6920153156938214</v>
      </c>
      <c r="M521" s="312">
        <v>-1.9428593947686892</v>
      </c>
      <c r="N521" s="312">
        <v>-2.4855461322474444</v>
      </c>
      <c r="O521" s="314">
        <v>-1.899933918471985</v>
      </c>
      <c r="P521" s="314">
        <v>0</v>
      </c>
      <c r="Q521" s="312">
        <v>0</v>
      </c>
      <c r="R521" s="314">
        <v>0</v>
      </c>
      <c r="S521" s="314">
        <v>0</v>
      </c>
      <c r="T521" s="314">
        <v>0</v>
      </c>
      <c r="U521" s="314">
        <v>2.3954743331854917</v>
      </c>
      <c r="V521" s="309"/>
    </row>
    <row r="522" spans="1:22">
      <c r="A522" s="304"/>
      <c r="B522" s="50" t="s">
        <v>551</v>
      </c>
      <c r="C522" s="301">
        <v>1.5070336273455471E-6</v>
      </c>
      <c r="D522" s="302">
        <v>0</v>
      </c>
      <c r="E522" s="302">
        <v>0</v>
      </c>
      <c r="F522" s="302">
        <v>0</v>
      </c>
      <c r="G522" s="302">
        <v>0</v>
      </c>
      <c r="H522" s="302">
        <v>0</v>
      </c>
      <c r="I522" s="302">
        <v>0</v>
      </c>
      <c r="J522" s="303">
        <v>1.0061197637075417E-6</v>
      </c>
      <c r="K522" s="303">
        <v>0</v>
      </c>
      <c r="L522" s="302">
        <v>7.0757120572209212E-3</v>
      </c>
      <c r="M522" s="302">
        <v>1.6783724031849206E-3</v>
      </c>
      <c r="N522" s="302">
        <v>1.7612425348724335E-2</v>
      </c>
      <c r="O522" s="303">
        <v>7.3550664649939803E-3</v>
      </c>
      <c r="P522" s="303">
        <v>0</v>
      </c>
      <c r="Q522" s="302">
        <v>0</v>
      </c>
      <c r="R522" s="303">
        <v>0</v>
      </c>
      <c r="S522" s="303">
        <v>0</v>
      </c>
      <c r="T522" s="303">
        <v>0</v>
      </c>
      <c r="U522" s="303">
        <v>2.6818282562708689E-3</v>
      </c>
      <c r="V522" s="309"/>
    </row>
    <row r="523" spans="1:22">
      <c r="A523" s="304"/>
      <c r="B523" s="305" t="s">
        <v>552</v>
      </c>
      <c r="C523" s="306">
        <v>9.1025741776355213E-7</v>
      </c>
      <c r="D523" s="307">
        <v>0</v>
      </c>
      <c r="E523" s="307">
        <v>0</v>
      </c>
      <c r="F523" s="307">
        <v>0</v>
      </c>
      <c r="G523" s="307">
        <v>0</v>
      </c>
      <c r="H523" s="307">
        <v>0</v>
      </c>
      <c r="I523" s="307">
        <v>0</v>
      </c>
      <c r="J523" s="308">
        <v>6.1236655894798687E-7</v>
      </c>
      <c r="K523" s="308">
        <v>0</v>
      </c>
      <c r="L523" s="307">
        <v>7.0277032604209658E-3</v>
      </c>
      <c r="M523" s="307">
        <v>8.2870173206613437E-3</v>
      </c>
      <c r="N523" s="307">
        <v>2.8461825126423892E-2</v>
      </c>
      <c r="O523" s="308">
        <v>1.0898862916633499E-2</v>
      </c>
      <c r="P523" s="308">
        <v>0</v>
      </c>
      <c r="Q523" s="307">
        <v>0</v>
      </c>
      <c r="R523" s="308">
        <v>0</v>
      </c>
      <c r="S523" s="308">
        <v>0</v>
      </c>
      <c r="T523" s="308">
        <v>0</v>
      </c>
      <c r="U523" s="308">
        <v>3.9141014403642118E-3</v>
      </c>
      <c r="V523" s="309"/>
    </row>
    <row r="524" spans="1:22">
      <c r="A524" s="304"/>
      <c r="B524" s="310" t="s">
        <v>553</v>
      </c>
      <c r="C524" s="311">
        <v>-5.9677620958199497E-5</v>
      </c>
      <c r="D524" s="312">
        <v>0</v>
      </c>
      <c r="E524" s="312">
        <v>0</v>
      </c>
      <c r="F524" s="312">
        <v>0</v>
      </c>
      <c r="G524" s="312">
        <v>0</v>
      </c>
      <c r="H524" s="312">
        <v>0</v>
      </c>
      <c r="I524" s="312">
        <v>0</v>
      </c>
      <c r="J524" s="314">
        <v>-3.9375320475955481E-5</v>
      </c>
      <c r="K524" s="314">
        <v>0</v>
      </c>
      <c r="L524" s="312">
        <v>-4.8008796799955435E-3</v>
      </c>
      <c r="M524" s="312">
        <v>0.66086449174764228</v>
      </c>
      <c r="N524" s="312">
        <v>1.0849399777699558</v>
      </c>
      <c r="O524" s="314">
        <v>0.35437964516395182</v>
      </c>
      <c r="P524" s="314">
        <v>0</v>
      </c>
      <c r="Q524" s="312">
        <v>0</v>
      </c>
      <c r="R524" s="314">
        <v>0</v>
      </c>
      <c r="S524" s="314">
        <v>0</v>
      </c>
      <c r="T524" s="314">
        <v>0</v>
      </c>
      <c r="U524" s="314">
        <v>0.12322731840933429</v>
      </c>
      <c r="V524" s="309"/>
    </row>
    <row r="525" spans="1:22">
      <c r="A525" s="304"/>
      <c r="B525" s="50" t="s">
        <v>554</v>
      </c>
      <c r="C525" s="301">
        <v>0</v>
      </c>
      <c r="D525" s="302">
        <v>0</v>
      </c>
      <c r="E525" s="302">
        <v>0</v>
      </c>
      <c r="F525" s="302">
        <v>0</v>
      </c>
      <c r="G525" s="302">
        <v>0</v>
      </c>
      <c r="H525" s="302">
        <v>0</v>
      </c>
      <c r="I525" s="302">
        <v>0</v>
      </c>
      <c r="J525" s="303">
        <v>0</v>
      </c>
      <c r="K525" s="303">
        <v>0</v>
      </c>
      <c r="L525" s="302">
        <v>0</v>
      </c>
      <c r="M525" s="302">
        <v>0</v>
      </c>
      <c r="N525" s="302">
        <v>0</v>
      </c>
      <c r="O525" s="303">
        <v>0</v>
      </c>
      <c r="P525" s="303">
        <v>0</v>
      </c>
      <c r="Q525" s="302">
        <v>0</v>
      </c>
      <c r="R525" s="303">
        <v>0</v>
      </c>
      <c r="S525" s="303">
        <v>0</v>
      </c>
      <c r="T525" s="303">
        <v>0</v>
      </c>
      <c r="U525" s="303">
        <v>0</v>
      </c>
      <c r="V525" s="309"/>
    </row>
    <row r="526" spans="1:22">
      <c r="A526" s="304"/>
      <c r="B526" s="305" t="s">
        <v>555</v>
      </c>
      <c r="C526" s="306">
        <v>0</v>
      </c>
      <c r="D526" s="307">
        <v>0</v>
      </c>
      <c r="E526" s="307">
        <v>0</v>
      </c>
      <c r="F526" s="307">
        <v>0</v>
      </c>
      <c r="G526" s="307">
        <v>0</v>
      </c>
      <c r="H526" s="307">
        <v>0</v>
      </c>
      <c r="I526" s="307">
        <v>0</v>
      </c>
      <c r="J526" s="308">
        <v>0</v>
      </c>
      <c r="K526" s="308">
        <v>0</v>
      </c>
      <c r="L526" s="307">
        <v>0</v>
      </c>
      <c r="M526" s="307">
        <v>0</v>
      </c>
      <c r="N526" s="307">
        <v>0</v>
      </c>
      <c r="O526" s="308">
        <v>0</v>
      </c>
      <c r="P526" s="308">
        <v>0</v>
      </c>
      <c r="Q526" s="307">
        <v>0</v>
      </c>
      <c r="R526" s="308">
        <v>0</v>
      </c>
      <c r="S526" s="308">
        <v>0</v>
      </c>
      <c r="T526" s="308">
        <v>0</v>
      </c>
      <c r="U526" s="308">
        <v>0</v>
      </c>
      <c r="V526" s="309"/>
    </row>
    <row r="527" spans="1:22" ht="15.75" thickBot="1">
      <c r="A527" s="304"/>
      <c r="B527" s="316" t="s">
        <v>556</v>
      </c>
      <c r="C527" s="317">
        <v>0</v>
      </c>
      <c r="D527" s="318">
        <v>0</v>
      </c>
      <c r="E527" s="318">
        <v>0</v>
      </c>
      <c r="F527" s="318">
        <v>0</v>
      </c>
      <c r="G527" s="318">
        <v>0</v>
      </c>
      <c r="H527" s="318">
        <v>0</v>
      </c>
      <c r="I527" s="318">
        <v>0</v>
      </c>
      <c r="J527" s="319">
        <v>0</v>
      </c>
      <c r="K527" s="319">
        <v>0</v>
      </c>
      <c r="L527" s="318">
        <v>0</v>
      </c>
      <c r="M527" s="318">
        <v>0</v>
      </c>
      <c r="N527" s="318">
        <v>0</v>
      </c>
      <c r="O527" s="319">
        <v>0</v>
      </c>
      <c r="P527" s="319">
        <v>0</v>
      </c>
      <c r="Q527" s="318">
        <v>0</v>
      </c>
      <c r="R527" s="319">
        <v>0</v>
      </c>
      <c r="S527" s="319">
        <v>0</v>
      </c>
      <c r="T527" s="319">
        <v>0</v>
      </c>
      <c r="U527" s="319">
        <v>0</v>
      </c>
      <c r="V527" s="309"/>
    </row>
    <row r="528" spans="1:22" ht="15.75" thickTop="1">
      <c r="A528" s="304"/>
      <c r="B528" s="305" t="s">
        <v>557</v>
      </c>
      <c r="C528" s="306">
        <v>0.56913535332776977</v>
      </c>
      <c r="D528" s="307">
        <v>0.4570642246131314</v>
      </c>
      <c r="E528" s="307">
        <v>0.37490430534796398</v>
      </c>
      <c r="F528" s="307">
        <v>0.72064203941933203</v>
      </c>
      <c r="G528" s="307">
        <v>0.23287525111557542</v>
      </c>
      <c r="H528" s="307">
        <v>0</v>
      </c>
      <c r="I528" s="307">
        <v>0</v>
      </c>
      <c r="J528" s="308">
        <v>0.53649764098931385</v>
      </c>
      <c r="K528" s="308">
        <v>0</v>
      </c>
      <c r="L528" s="307">
        <v>0</v>
      </c>
      <c r="M528" s="307">
        <v>0</v>
      </c>
      <c r="N528" s="307">
        <v>0</v>
      </c>
      <c r="O528" s="308">
        <v>0</v>
      </c>
      <c r="P528" s="308">
        <v>0</v>
      </c>
      <c r="Q528" s="307">
        <v>0</v>
      </c>
      <c r="R528" s="308">
        <v>0</v>
      </c>
      <c r="S528" s="308">
        <v>0</v>
      </c>
      <c r="T528" s="308">
        <v>0</v>
      </c>
      <c r="U528" s="308">
        <v>0.53649764098931385</v>
      </c>
      <c r="V528" s="309"/>
    </row>
    <row r="529" spans="1:22">
      <c r="A529" s="304"/>
      <c r="B529" s="305" t="s">
        <v>558</v>
      </c>
      <c r="C529" s="306">
        <v>0.44770818060186884</v>
      </c>
      <c r="D529" s="307">
        <v>0.34593743968883151</v>
      </c>
      <c r="E529" s="307">
        <v>0.35556263363999546</v>
      </c>
      <c r="F529" s="307">
        <v>0.56356295118071698</v>
      </c>
      <c r="G529" s="307">
        <v>0.22482435597189696</v>
      </c>
      <c r="H529" s="307">
        <v>0</v>
      </c>
      <c r="I529" s="307">
        <v>0</v>
      </c>
      <c r="J529" s="308">
        <v>0.42660426531312046</v>
      </c>
      <c r="K529" s="308">
        <v>0</v>
      </c>
      <c r="L529" s="307">
        <v>0</v>
      </c>
      <c r="M529" s="307">
        <v>0</v>
      </c>
      <c r="N529" s="307">
        <v>0</v>
      </c>
      <c r="O529" s="308">
        <v>0</v>
      </c>
      <c r="P529" s="308">
        <v>0</v>
      </c>
      <c r="Q529" s="307">
        <v>0</v>
      </c>
      <c r="R529" s="308">
        <v>0</v>
      </c>
      <c r="S529" s="308">
        <v>0</v>
      </c>
      <c r="T529" s="308">
        <v>0</v>
      </c>
      <c r="U529" s="308">
        <v>0.42660426531312046</v>
      </c>
      <c r="V529" s="309"/>
    </row>
    <row r="530" spans="1:22">
      <c r="A530" s="304"/>
      <c r="B530" s="310" t="s">
        <v>559</v>
      </c>
      <c r="C530" s="311">
        <v>-12.142717272590092</v>
      </c>
      <c r="D530" s="312">
        <v>-11.112678492429989</v>
      </c>
      <c r="E530" s="312">
        <v>-1.9341671707968522</v>
      </c>
      <c r="F530" s="312">
        <v>-15.707908823861505</v>
      </c>
      <c r="G530" s="312">
        <v>-0.80508951436784604</v>
      </c>
      <c r="H530" s="312">
        <v>0</v>
      </c>
      <c r="I530" s="312">
        <v>0</v>
      </c>
      <c r="J530" s="314">
        <v>-10.989337567619339</v>
      </c>
      <c r="K530" s="314">
        <v>0</v>
      </c>
      <c r="L530" s="312">
        <v>0</v>
      </c>
      <c r="M530" s="312">
        <v>0</v>
      </c>
      <c r="N530" s="312">
        <v>0</v>
      </c>
      <c r="O530" s="314">
        <v>0</v>
      </c>
      <c r="P530" s="314">
        <v>0</v>
      </c>
      <c r="Q530" s="312">
        <v>0</v>
      </c>
      <c r="R530" s="314">
        <v>0</v>
      </c>
      <c r="S530" s="314">
        <v>0</v>
      </c>
      <c r="T530" s="314">
        <v>0</v>
      </c>
      <c r="U530" s="314">
        <v>-10.989337567619339</v>
      </c>
      <c r="V530" s="309"/>
    </row>
    <row r="531" spans="1:22">
      <c r="A531" s="304"/>
      <c r="B531" s="50" t="s">
        <v>560</v>
      </c>
      <c r="C531" s="301">
        <v>4.2576930073163585E-2</v>
      </c>
      <c r="D531" s="302">
        <v>5.5565838074468688E-2</v>
      </c>
      <c r="E531" s="302">
        <v>0.12426330307559574</v>
      </c>
      <c r="F531" s="302">
        <v>0</v>
      </c>
      <c r="G531" s="302">
        <v>3.5333961492648759E-2</v>
      </c>
      <c r="H531" s="302">
        <v>0</v>
      </c>
      <c r="I531" s="302">
        <v>0</v>
      </c>
      <c r="J531" s="303">
        <v>5.0399406587632117E-2</v>
      </c>
      <c r="K531" s="303">
        <v>0</v>
      </c>
      <c r="L531" s="302">
        <v>0</v>
      </c>
      <c r="M531" s="302">
        <v>0</v>
      </c>
      <c r="N531" s="302">
        <v>0</v>
      </c>
      <c r="O531" s="303">
        <v>0</v>
      </c>
      <c r="P531" s="303">
        <v>0</v>
      </c>
      <c r="Q531" s="302">
        <v>0</v>
      </c>
      <c r="R531" s="303">
        <v>0</v>
      </c>
      <c r="S531" s="303">
        <v>0</v>
      </c>
      <c r="T531" s="303">
        <v>0</v>
      </c>
      <c r="U531" s="303">
        <v>5.0399406587632117E-2</v>
      </c>
      <c r="V531" s="309"/>
    </row>
    <row r="532" spans="1:22">
      <c r="A532" s="304"/>
      <c r="B532" s="305" t="s">
        <v>561</v>
      </c>
      <c r="C532" s="306">
        <v>1.9917623045341885E-2</v>
      </c>
      <c r="D532" s="307">
        <v>3.364806484656839E-2</v>
      </c>
      <c r="E532" s="307">
        <v>0.1116403213779549</v>
      </c>
      <c r="F532" s="307">
        <v>0</v>
      </c>
      <c r="G532" s="307">
        <v>2.2932751443720943E-2</v>
      </c>
      <c r="H532" s="307">
        <v>0</v>
      </c>
      <c r="I532" s="307">
        <v>0</v>
      </c>
      <c r="J532" s="308">
        <v>2.8747214257031219E-2</v>
      </c>
      <c r="K532" s="308">
        <v>0</v>
      </c>
      <c r="L532" s="307">
        <v>0</v>
      </c>
      <c r="M532" s="307">
        <v>0</v>
      </c>
      <c r="N532" s="307">
        <v>0</v>
      </c>
      <c r="O532" s="308">
        <v>0</v>
      </c>
      <c r="P532" s="308">
        <v>0</v>
      </c>
      <c r="Q532" s="307">
        <v>0</v>
      </c>
      <c r="R532" s="308">
        <v>0</v>
      </c>
      <c r="S532" s="308">
        <v>0</v>
      </c>
      <c r="T532" s="308">
        <v>0</v>
      </c>
      <c r="U532" s="308">
        <v>2.8747214257031219E-2</v>
      </c>
      <c r="V532" s="309"/>
    </row>
    <row r="533" spans="1:22">
      <c r="A533" s="304"/>
      <c r="B533" s="310" t="s">
        <v>562</v>
      </c>
      <c r="C533" s="311">
        <v>-2.2659307027821698</v>
      </c>
      <c r="D533" s="312">
        <v>-2.1917773227900299</v>
      </c>
      <c r="E533" s="312">
        <v>-1.262298169764084</v>
      </c>
      <c r="F533" s="312">
        <v>0</v>
      </c>
      <c r="G533" s="312">
        <v>-1.2401210048927815</v>
      </c>
      <c r="H533" s="312">
        <v>0</v>
      </c>
      <c r="I533" s="312">
        <v>0</v>
      </c>
      <c r="J533" s="314">
        <v>-2.1652192330600899</v>
      </c>
      <c r="K533" s="314">
        <v>0</v>
      </c>
      <c r="L533" s="312">
        <v>0</v>
      </c>
      <c r="M533" s="312">
        <v>0</v>
      </c>
      <c r="N533" s="312">
        <v>0</v>
      </c>
      <c r="O533" s="314">
        <v>0</v>
      </c>
      <c r="P533" s="314">
        <v>0</v>
      </c>
      <c r="Q533" s="312">
        <v>0</v>
      </c>
      <c r="R533" s="314">
        <v>0</v>
      </c>
      <c r="S533" s="314">
        <v>0</v>
      </c>
      <c r="T533" s="314">
        <v>0</v>
      </c>
      <c r="U533" s="314">
        <v>-2.1652192330600899</v>
      </c>
      <c r="V533" s="309"/>
    </row>
    <row r="534" spans="1:22">
      <c r="A534" s="304"/>
      <c r="B534" s="50" t="s">
        <v>563</v>
      </c>
      <c r="C534" s="301">
        <v>0.24287908221287563</v>
      </c>
      <c r="D534" s="302">
        <v>0.41633740252842671</v>
      </c>
      <c r="E534" s="302">
        <v>0.49746637016514161</v>
      </c>
      <c r="F534" s="302">
        <v>0.27935796058066803</v>
      </c>
      <c r="G534" s="302">
        <v>0.65952283596152828</v>
      </c>
      <c r="H534" s="302">
        <v>0</v>
      </c>
      <c r="I534" s="302">
        <v>0</v>
      </c>
      <c r="J534" s="303">
        <v>0.28911992090812727</v>
      </c>
      <c r="K534" s="303">
        <v>0</v>
      </c>
      <c r="L534" s="302">
        <v>0</v>
      </c>
      <c r="M534" s="302">
        <v>0</v>
      </c>
      <c r="N534" s="302">
        <v>0</v>
      </c>
      <c r="O534" s="303">
        <v>0</v>
      </c>
      <c r="P534" s="303">
        <v>0</v>
      </c>
      <c r="Q534" s="302">
        <v>0</v>
      </c>
      <c r="R534" s="303">
        <v>0</v>
      </c>
      <c r="S534" s="303">
        <v>0</v>
      </c>
      <c r="T534" s="303">
        <v>0</v>
      </c>
      <c r="U534" s="303">
        <v>0.28911992090812727</v>
      </c>
      <c r="V534" s="309"/>
    </row>
    <row r="535" spans="1:22">
      <c r="A535" s="304"/>
      <c r="B535" s="305" t="s">
        <v>564</v>
      </c>
      <c r="C535" s="306">
        <v>0.32722141614718581</v>
      </c>
      <c r="D535" s="307">
        <v>0.57890556570020335</v>
      </c>
      <c r="E535" s="307">
        <v>0.49095815864456327</v>
      </c>
      <c r="F535" s="307">
        <v>0.43643704881928302</v>
      </c>
      <c r="G535" s="307">
        <v>0.70213830533916155</v>
      </c>
      <c r="H535" s="307">
        <v>0</v>
      </c>
      <c r="I535" s="307">
        <v>0</v>
      </c>
      <c r="J535" s="308">
        <v>0.37190925850574857</v>
      </c>
      <c r="K535" s="308">
        <v>0</v>
      </c>
      <c r="L535" s="307">
        <v>0</v>
      </c>
      <c r="M535" s="307">
        <v>0</v>
      </c>
      <c r="N535" s="307">
        <v>0</v>
      </c>
      <c r="O535" s="308">
        <v>0</v>
      </c>
      <c r="P535" s="308">
        <v>0</v>
      </c>
      <c r="Q535" s="307">
        <v>0</v>
      </c>
      <c r="R535" s="308">
        <v>0</v>
      </c>
      <c r="S535" s="308">
        <v>0</v>
      </c>
      <c r="T535" s="308">
        <v>0</v>
      </c>
      <c r="U535" s="308">
        <v>0.37190925850574857</v>
      </c>
      <c r="V535" s="309"/>
    </row>
    <row r="536" spans="1:22">
      <c r="A536" s="304"/>
      <c r="B536" s="310" t="s">
        <v>565</v>
      </c>
      <c r="C536" s="311">
        <v>8.4342333934310183</v>
      </c>
      <c r="D536" s="312">
        <v>16.256816317177663</v>
      </c>
      <c r="E536" s="312">
        <v>-0.65082115205783442</v>
      </c>
      <c r="F536" s="312">
        <v>15.7079088238615</v>
      </c>
      <c r="G536" s="312">
        <v>4.2615469377633275</v>
      </c>
      <c r="H536" s="312">
        <v>0</v>
      </c>
      <c r="I536" s="312">
        <v>0</v>
      </c>
      <c r="J536" s="314">
        <v>8.2789337597621309</v>
      </c>
      <c r="K536" s="314">
        <v>0</v>
      </c>
      <c r="L536" s="312">
        <v>0</v>
      </c>
      <c r="M536" s="312">
        <v>0</v>
      </c>
      <c r="N536" s="312">
        <v>0</v>
      </c>
      <c r="O536" s="314">
        <v>0</v>
      </c>
      <c r="P536" s="314">
        <v>0</v>
      </c>
      <c r="Q536" s="312">
        <v>0</v>
      </c>
      <c r="R536" s="314">
        <v>0</v>
      </c>
      <c r="S536" s="314">
        <v>0</v>
      </c>
      <c r="T536" s="314">
        <v>0</v>
      </c>
      <c r="U536" s="314">
        <v>8.2789337597621309</v>
      </c>
      <c r="V536" s="309"/>
    </row>
    <row r="537" spans="1:22">
      <c r="A537" s="304"/>
      <c r="B537" s="50" t="s">
        <v>566</v>
      </c>
      <c r="C537" s="301">
        <v>0.14279951733417387</v>
      </c>
      <c r="D537" s="302">
        <v>7.1032534783973214E-2</v>
      </c>
      <c r="E537" s="302">
        <v>3.3660214112986525E-3</v>
      </c>
      <c r="F537" s="302">
        <v>0</v>
      </c>
      <c r="G537" s="302">
        <v>7.2267951430247654E-2</v>
      </c>
      <c r="H537" s="302">
        <v>0</v>
      </c>
      <c r="I537" s="302">
        <v>0</v>
      </c>
      <c r="J537" s="303">
        <v>0.12188491726071364</v>
      </c>
      <c r="K537" s="303">
        <v>0</v>
      </c>
      <c r="L537" s="302">
        <v>0</v>
      </c>
      <c r="M537" s="302">
        <v>0</v>
      </c>
      <c r="N537" s="302">
        <v>0</v>
      </c>
      <c r="O537" s="303">
        <v>0</v>
      </c>
      <c r="P537" s="303">
        <v>0</v>
      </c>
      <c r="Q537" s="302">
        <v>0</v>
      </c>
      <c r="R537" s="303">
        <v>0</v>
      </c>
      <c r="S537" s="303">
        <v>0</v>
      </c>
      <c r="T537" s="303">
        <v>0</v>
      </c>
      <c r="U537" s="303">
        <v>0.12188491726071364</v>
      </c>
      <c r="V537" s="309"/>
    </row>
    <row r="538" spans="1:22">
      <c r="A538" s="304"/>
      <c r="B538" s="305" t="s">
        <v>567</v>
      </c>
      <c r="C538" s="306">
        <v>0.20323725347230762</v>
      </c>
      <c r="D538" s="307">
        <v>4.150892976439674E-2</v>
      </c>
      <c r="E538" s="307">
        <v>4.1838886337486357E-2</v>
      </c>
      <c r="F538" s="307">
        <v>0</v>
      </c>
      <c r="G538" s="307">
        <v>5.0104587245220607E-2</v>
      </c>
      <c r="H538" s="307">
        <v>0</v>
      </c>
      <c r="I538" s="307">
        <v>0</v>
      </c>
      <c r="J538" s="308">
        <v>0.17120233706436686</v>
      </c>
      <c r="K538" s="308">
        <v>0</v>
      </c>
      <c r="L538" s="307">
        <v>0</v>
      </c>
      <c r="M538" s="307">
        <v>0</v>
      </c>
      <c r="N538" s="307">
        <v>0</v>
      </c>
      <c r="O538" s="308">
        <v>0</v>
      </c>
      <c r="P538" s="308">
        <v>0</v>
      </c>
      <c r="Q538" s="307">
        <v>0</v>
      </c>
      <c r="R538" s="308">
        <v>0</v>
      </c>
      <c r="S538" s="308">
        <v>0</v>
      </c>
      <c r="T538" s="308">
        <v>0</v>
      </c>
      <c r="U538" s="308">
        <v>0.17120233706436686</v>
      </c>
      <c r="V538" s="309"/>
    </row>
    <row r="539" spans="1:22">
      <c r="A539" s="304"/>
      <c r="B539" s="310" t="s">
        <v>568</v>
      </c>
      <c r="C539" s="311">
        <v>6.0437736138133751</v>
      </c>
      <c r="D539" s="312">
        <v>-2.9523605019576475</v>
      </c>
      <c r="E539" s="312">
        <v>3.8472864926187706</v>
      </c>
      <c r="F539" s="312">
        <v>0</v>
      </c>
      <c r="G539" s="312">
        <v>-2.2163364185027046</v>
      </c>
      <c r="H539" s="312">
        <v>0</v>
      </c>
      <c r="I539" s="312">
        <v>0</v>
      </c>
      <c r="J539" s="314">
        <v>4.9317419803653211</v>
      </c>
      <c r="K539" s="314">
        <v>0</v>
      </c>
      <c r="L539" s="312">
        <v>0</v>
      </c>
      <c r="M539" s="312">
        <v>0</v>
      </c>
      <c r="N539" s="312">
        <v>0</v>
      </c>
      <c r="O539" s="314">
        <v>0</v>
      </c>
      <c r="P539" s="314">
        <v>0</v>
      </c>
      <c r="Q539" s="312">
        <v>0</v>
      </c>
      <c r="R539" s="314">
        <v>0</v>
      </c>
      <c r="S539" s="314">
        <v>0</v>
      </c>
      <c r="T539" s="314">
        <v>0</v>
      </c>
      <c r="U539" s="314">
        <v>4.9317419803653211</v>
      </c>
      <c r="V539" s="309"/>
    </row>
    <row r="540" spans="1:22">
      <c r="A540" s="304"/>
      <c r="B540" s="50" t="s">
        <v>569</v>
      </c>
      <c r="C540" s="301">
        <v>2.6091170520171018E-3</v>
      </c>
      <c r="D540" s="302">
        <v>0</v>
      </c>
      <c r="E540" s="302">
        <v>0</v>
      </c>
      <c r="F540" s="302">
        <v>0</v>
      </c>
      <c r="G540" s="302">
        <v>0</v>
      </c>
      <c r="H540" s="302">
        <v>0</v>
      </c>
      <c r="I540" s="302">
        <v>0</v>
      </c>
      <c r="J540" s="303">
        <v>2.0981142542130615E-3</v>
      </c>
      <c r="K540" s="303">
        <v>0</v>
      </c>
      <c r="L540" s="302">
        <v>0</v>
      </c>
      <c r="M540" s="302">
        <v>0</v>
      </c>
      <c r="N540" s="302">
        <v>0</v>
      </c>
      <c r="O540" s="303">
        <v>0</v>
      </c>
      <c r="P540" s="303">
        <v>0</v>
      </c>
      <c r="Q540" s="302">
        <v>0</v>
      </c>
      <c r="R540" s="303">
        <v>0</v>
      </c>
      <c r="S540" s="303">
        <v>0</v>
      </c>
      <c r="T540" s="303">
        <v>0</v>
      </c>
      <c r="U540" s="303">
        <v>2.0981142542130615E-3</v>
      </c>
      <c r="V540" s="309"/>
    </row>
    <row r="541" spans="1:22">
      <c r="A541" s="304"/>
      <c r="B541" s="305" t="s">
        <v>570</v>
      </c>
      <c r="C541" s="306">
        <v>1.9155267332958026E-3</v>
      </c>
      <c r="D541" s="307">
        <v>0</v>
      </c>
      <c r="E541" s="307">
        <v>0</v>
      </c>
      <c r="F541" s="307">
        <v>0</v>
      </c>
      <c r="G541" s="307">
        <v>0</v>
      </c>
      <c r="H541" s="307">
        <v>0</v>
      </c>
      <c r="I541" s="307">
        <v>0</v>
      </c>
      <c r="J541" s="308">
        <v>1.536924859732942E-3</v>
      </c>
      <c r="K541" s="308">
        <v>0</v>
      </c>
      <c r="L541" s="307">
        <v>0</v>
      </c>
      <c r="M541" s="307">
        <v>0</v>
      </c>
      <c r="N541" s="307">
        <v>0</v>
      </c>
      <c r="O541" s="308">
        <v>0</v>
      </c>
      <c r="P541" s="308">
        <v>0</v>
      </c>
      <c r="Q541" s="307">
        <v>0</v>
      </c>
      <c r="R541" s="308">
        <v>0</v>
      </c>
      <c r="S541" s="308">
        <v>0</v>
      </c>
      <c r="T541" s="308">
        <v>0</v>
      </c>
      <c r="U541" s="308">
        <v>1.536924859732942E-3</v>
      </c>
      <c r="V541" s="309"/>
    </row>
    <row r="542" spans="1:22">
      <c r="A542" s="304"/>
      <c r="B542" s="310" t="s">
        <v>571</v>
      </c>
      <c r="C542" s="311">
        <v>-6.9359031872129912E-2</v>
      </c>
      <c r="D542" s="312">
        <v>0</v>
      </c>
      <c r="E542" s="312">
        <v>0</v>
      </c>
      <c r="F542" s="312">
        <v>0</v>
      </c>
      <c r="G542" s="312">
        <v>0</v>
      </c>
      <c r="H542" s="312">
        <v>0</v>
      </c>
      <c r="I542" s="312">
        <v>0</v>
      </c>
      <c r="J542" s="314">
        <v>-5.6118939448011947E-2</v>
      </c>
      <c r="K542" s="314">
        <v>0</v>
      </c>
      <c r="L542" s="312">
        <v>0</v>
      </c>
      <c r="M542" s="312">
        <v>0</v>
      </c>
      <c r="N542" s="312">
        <v>0</v>
      </c>
      <c r="O542" s="314">
        <v>0</v>
      </c>
      <c r="P542" s="314">
        <v>0</v>
      </c>
      <c r="Q542" s="312">
        <v>0</v>
      </c>
      <c r="R542" s="314">
        <v>0</v>
      </c>
      <c r="S542" s="314">
        <v>0</v>
      </c>
      <c r="T542" s="314">
        <v>0</v>
      </c>
      <c r="U542" s="314">
        <v>-5.6118939448011947E-2</v>
      </c>
      <c r="V542" s="309"/>
    </row>
    <row r="543" spans="1:22">
      <c r="A543" s="304"/>
      <c r="B543" s="50" t="s">
        <v>572</v>
      </c>
      <c r="C543" s="301">
        <v>0</v>
      </c>
      <c r="D543" s="302">
        <v>0</v>
      </c>
      <c r="E543" s="302">
        <v>0</v>
      </c>
      <c r="F543" s="302">
        <v>0</v>
      </c>
      <c r="G543" s="302">
        <v>0</v>
      </c>
      <c r="H543" s="302">
        <v>0</v>
      </c>
      <c r="I543" s="302">
        <v>0</v>
      </c>
      <c r="J543" s="303">
        <v>0</v>
      </c>
      <c r="K543" s="303">
        <v>0</v>
      </c>
      <c r="L543" s="302">
        <v>0</v>
      </c>
      <c r="M543" s="302">
        <v>0</v>
      </c>
      <c r="N543" s="302">
        <v>0</v>
      </c>
      <c r="O543" s="303">
        <v>0</v>
      </c>
      <c r="P543" s="303">
        <v>0</v>
      </c>
      <c r="Q543" s="302">
        <v>0</v>
      </c>
      <c r="R543" s="303">
        <v>0</v>
      </c>
      <c r="S543" s="303">
        <v>0</v>
      </c>
      <c r="T543" s="303">
        <v>0</v>
      </c>
      <c r="U543" s="303">
        <v>0</v>
      </c>
      <c r="V543" s="309"/>
    </row>
    <row r="544" spans="1:22">
      <c r="A544" s="304"/>
      <c r="B544" s="305" t="s">
        <v>573</v>
      </c>
      <c r="C544" s="306">
        <v>0</v>
      </c>
      <c r="D544" s="307">
        <v>0</v>
      </c>
      <c r="E544" s="307">
        <v>0</v>
      </c>
      <c r="F544" s="307">
        <v>0</v>
      </c>
      <c r="G544" s="307">
        <v>0</v>
      </c>
      <c r="H544" s="307">
        <v>0</v>
      </c>
      <c r="I544" s="307">
        <v>0</v>
      </c>
      <c r="J544" s="308">
        <v>0</v>
      </c>
      <c r="K544" s="308">
        <v>0</v>
      </c>
      <c r="L544" s="307">
        <v>0</v>
      </c>
      <c r="M544" s="307">
        <v>0</v>
      </c>
      <c r="N544" s="307">
        <v>0</v>
      </c>
      <c r="O544" s="308">
        <v>0</v>
      </c>
      <c r="P544" s="308">
        <v>0</v>
      </c>
      <c r="Q544" s="307">
        <v>0</v>
      </c>
      <c r="R544" s="308">
        <v>0</v>
      </c>
      <c r="S544" s="308">
        <v>0</v>
      </c>
      <c r="T544" s="308">
        <v>0</v>
      </c>
      <c r="U544" s="308">
        <v>0</v>
      </c>
      <c r="V544" s="309"/>
    </row>
    <row r="545" spans="1:22" ht="15.75" thickBot="1">
      <c r="A545" s="320"/>
      <c r="B545" s="321" t="s">
        <v>574</v>
      </c>
      <c r="C545" s="322">
        <v>0</v>
      </c>
      <c r="D545" s="323">
        <v>0</v>
      </c>
      <c r="E545" s="323">
        <v>0</v>
      </c>
      <c r="F545" s="323">
        <v>0</v>
      </c>
      <c r="G545" s="323">
        <v>0</v>
      </c>
      <c r="H545" s="323">
        <v>0</v>
      </c>
      <c r="I545" s="323">
        <v>0</v>
      </c>
      <c r="J545" s="324">
        <v>0</v>
      </c>
      <c r="K545" s="324">
        <v>0</v>
      </c>
      <c r="L545" s="323">
        <v>0</v>
      </c>
      <c r="M545" s="323">
        <v>0</v>
      </c>
      <c r="N545" s="323">
        <v>0</v>
      </c>
      <c r="O545" s="324">
        <v>0</v>
      </c>
      <c r="P545" s="324">
        <v>0</v>
      </c>
      <c r="Q545" s="323">
        <v>0</v>
      </c>
      <c r="R545" s="324">
        <v>0</v>
      </c>
      <c r="S545" s="324">
        <v>0</v>
      </c>
      <c r="T545" s="324">
        <v>0</v>
      </c>
      <c r="U545" s="324">
        <v>0</v>
      </c>
      <c r="V545" s="309"/>
    </row>
    <row r="546" spans="1:22">
      <c r="A546" s="300" t="s">
        <v>477</v>
      </c>
      <c r="B546" s="50" t="s">
        <v>539</v>
      </c>
      <c r="C546" s="301">
        <v>0.5496743827134718</v>
      </c>
      <c r="D546" s="302">
        <v>0</v>
      </c>
      <c r="E546" s="302">
        <v>0.45206670952615058</v>
      </c>
      <c r="F546" s="302">
        <v>0.6070462872594039</v>
      </c>
      <c r="G546" s="302">
        <v>0.54383944496720649</v>
      </c>
      <c r="H546" s="302">
        <v>0.52776619115152523</v>
      </c>
      <c r="I546" s="302">
        <v>0</v>
      </c>
      <c r="J546" s="303">
        <v>0.53434721280558606</v>
      </c>
      <c r="K546" s="303">
        <v>0.55627995941264974</v>
      </c>
      <c r="L546" s="302">
        <v>0</v>
      </c>
      <c r="M546" s="302">
        <v>0.35058601431605441</v>
      </c>
      <c r="N546" s="302">
        <v>0.4250865312264861</v>
      </c>
      <c r="O546" s="303">
        <v>0.44729314199134973</v>
      </c>
      <c r="P546" s="303">
        <v>0</v>
      </c>
      <c r="Q546" s="302">
        <v>0</v>
      </c>
      <c r="R546" s="303">
        <v>0</v>
      </c>
      <c r="S546" s="303">
        <v>0</v>
      </c>
      <c r="T546" s="303">
        <v>0</v>
      </c>
      <c r="U546" s="303">
        <v>0.51628495003189978</v>
      </c>
      <c r="V546" s="309"/>
    </row>
    <row r="547" spans="1:22">
      <c r="A547" s="304"/>
      <c r="B547" s="305" t="s">
        <v>540</v>
      </c>
      <c r="C547" s="306">
        <v>0.50743857633273759</v>
      </c>
      <c r="D547" s="307">
        <v>0</v>
      </c>
      <c r="E547" s="307">
        <v>0.43357903432249162</v>
      </c>
      <c r="F547" s="307">
        <v>0.62872660248380519</v>
      </c>
      <c r="G547" s="307">
        <v>0.45454499037543461</v>
      </c>
      <c r="H547" s="307">
        <v>0.49996620806179098</v>
      </c>
      <c r="I547" s="307">
        <v>0</v>
      </c>
      <c r="J547" s="308">
        <v>0.49585266331288386</v>
      </c>
      <c r="K547" s="308">
        <v>0.48235012413514977</v>
      </c>
      <c r="L547" s="307">
        <v>0</v>
      </c>
      <c r="M547" s="307">
        <v>0.12481788495352926</v>
      </c>
      <c r="N547" s="307">
        <v>0.34734954165005977</v>
      </c>
      <c r="O547" s="308">
        <v>0.35353077146297451</v>
      </c>
      <c r="P547" s="308">
        <v>0</v>
      </c>
      <c r="Q547" s="307">
        <v>0</v>
      </c>
      <c r="R547" s="308">
        <v>0</v>
      </c>
      <c r="S547" s="308">
        <v>0</v>
      </c>
      <c r="T547" s="308">
        <v>0</v>
      </c>
      <c r="U547" s="308">
        <v>0.46731667060128818</v>
      </c>
      <c r="V547" s="309"/>
    </row>
    <row r="548" spans="1:22">
      <c r="A548" s="304"/>
      <c r="B548" s="310" t="s">
        <v>541</v>
      </c>
      <c r="C548" s="311">
        <v>-4.2235806380734209</v>
      </c>
      <c r="D548" s="312">
        <v>0</v>
      </c>
      <c r="E548" s="312">
        <v>-1.848767520365896</v>
      </c>
      <c r="F548" s="312">
        <v>2.1680315224401281</v>
      </c>
      <c r="G548" s="312">
        <v>-8.9294454591771881</v>
      </c>
      <c r="H548" s="312">
        <v>-2.7799983089734246</v>
      </c>
      <c r="I548" s="312">
        <v>0</v>
      </c>
      <c r="J548" s="314">
        <v>-3.8494549492702204</v>
      </c>
      <c r="K548" s="314">
        <v>-7.3929835277499967</v>
      </c>
      <c r="L548" s="312">
        <v>0</v>
      </c>
      <c r="M548" s="312">
        <v>-22.576812936252516</v>
      </c>
      <c r="N548" s="312">
        <v>-7.7736989576426332</v>
      </c>
      <c r="O548" s="314">
        <v>-9.3762370528375207</v>
      </c>
      <c r="P548" s="314">
        <v>0</v>
      </c>
      <c r="Q548" s="312">
        <v>0</v>
      </c>
      <c r="R548" s="314">
        <v>0</v>
      </c>
      <c r="S548" s="314">
        <v>0</v>
      </c>
      <c r="T548" s="314">
        <v>0</v>
      </c>
      <c r="U548" s="314">
        <v>-4.8968279430611608</v>
      </c>
      <c r="V548" s="309"/>
    </row>
    <row r="549" spans="1:22">
      <c r="A549" s="304"/>
      <c r="B549" s="50" t="s">
        <v>542</v>
      </c>
      <c r="C549" s="301">
        <v>1.580901573218375E-2</v>
      </c>
      <c r="D549" s="302">
        <v>0</v>
      </c>
      <c r="E549" s="302">
        <v>6.5780903998957932E-2</v>
      </c>
      <c r="F549" s="302">
        <v>0.12900593590502551</v>
      </c>
      <c r="G549" s="302">
        <v>1.7485218319452833E-2</v>
      </c>
      <c r="H549" s="302">
        <v>9.1033805140754334E-2</v>
      </c>
      <c r="I549" s="302">
        <v>0</v>
      </c>
      <c r="J549" s="303">
        <v>4.2707627085622549E-2</v>
      </c>
      <c r="K549" s="303">
        <v>6.5592890215882715E-2</v>
      </c>
      <c r="L549" s="302">
        <v>0</v>
      </c>
      <c r="M549" s="302">
        <v>9.7577283096043424E-2</v>
      </c>
      <c r="N549" s="302">
        <v>6.1494858289440679E-2</v>
      </c>
      <c r="O549" s="303">
        <v>6.8002607585215355E-2</v>
      </c>
      <c r="P549" s="303">
        <v>0</v>
      </c>
      <c r="Q549" s="302">
        <v>0</v>
      </c>
      <c r="R549" s="303">
        <v>0</v>
      </c>
      <c r="S549" s="303">
        <v>0</v>
      </c>
      <c r="T549" s="303">
        <v>0</v>
      </c>
      <c r="U549" s="303">
        <v>4.7955912207335652E-2</v>
      </c>
      <c r="V549" s="309"/>
    </row>
    <row r="550" spans="1:22">
      <c r="A550" s="304"/>
      <c r="B550" s="305" t="s">
        <v>543</v>
      </c>
      <c r="C550" s="306">
        <v>2.2271398984310721E-3</v>
      </c>
      <c r="D550" s="307">
        <v>0</v>
      </c>
      <c r="E550" s="307">
        <v>7.1931082688065653E-2</v>
      </c>
      <c r="F550" s="307">
        <v>0.14935936437493288</v>
      </c>
      <c r="G550" s="307">
        <v>1.5792456587338462E-2</v>
      </c>
      <c r="H550" s="307">
        <v>7.7219406227371473E-2</v>
      </c>
      <c r="I550" s="307">
        <v>0</v>
      </c>
      <c r="J550" s="308">
        <v>3.7548537557738994E-2</v>
      </c>
      <c r="K550" s="308">
        <v>5.5829311018412334E-2</v>
      </c>
      <c r="L550" s="307">
        <v>0</v>
      </c>
      <c r="M550" s="307">
        <v>6.684250188394876E-2</v>
      </c>
      <c r="N550" s="307">
        <v>6.568021788229042E-2</v>
      </c>
      <c r="O550" s="308">
        <v>6.3227342923947744E-2</v>
      </c>
      <c r="P550" s="308">
        <v>0</v>
      </c>
      <c r="Q550" s="307">
        <v>0</v>
      </c>
      <c r="R550" s="308">
        <v>0</v>
      </c>
      <c r="S550" s="308">
        <v>0</v>
      </c>
      <c r="T550" s="308">
        <v>0</v>
      </c>
      <c r="U550" s="308">
        <v>4.2697219838785293E-2</v>
      </c>
      <c r="V550" s="309"/>
    </row>
    <row r="551" spans="1:22">
      <c r="A551" s="304"/>
      <c r="B551" s="310" t="s">
        <v>544</v>
      </c>
      <c r="C551" s="311">
        <v>-1.3581875833752679</v>
      </c>
      <c r="D551" s="312">
        <v>0</v>
      </c>
      <c r="E551" s="312">
        <v>0.61501786891077215</v>
      </c>
      <c r="F551" s="312">
        <v>2.0353428469907371</v>
      </c>
      <c r="G551" s="312">
        <v>-0.16927617321143701</v>
      </c>
      <c r="H551" s="312">
        <v>-1.3814398913382862</v>
      </c>
      <c r="I551" s="312">
        <v>0</v>
      </c>
      <c r="J551" s="314">
        <v>-0.51590895278835547</v>
      </c>
      <c r="K551" s="314">
        <v>-0.97635791974703823</v>
      </c>
      <c r="L551" s="312">
        <v>0</v>
      </c>
      <c r="M551" s="312">
        <v>-3.0734781212094662</v>
      </c>
      <c r="N551" s="312">
        <v>0.41853595928497411</v>
      </c>
      <c r="O551" s="314">
        <v>-0.47752646612676114</v>
      </c>
      <c r="P551" s="314">
        <v>0</v>
      </c>
      <c r="Q551" s="312">
        <v>0</v>
      </c>
      <c r="R551" s="314">
        <v>0</v>
      </c>
      <c r="S551" s="314">
        <v>0</v>
      </c>
      <c r="T551" s="314">
        <v>0</v>
      </c>
      <c r="U551" s="314">
        <v>-0.52586923685503595</v>
      </c>
      <c r="V551" s="309"/>
    </row>
    <row r="552" spans="1:22">
      <c r="A552" s="304"/>
      <c r="B552" s="50" t="s">
        <v>545</v>
      </c>
      <c r="C552" s="301">
        <v>0.43312861507009248</v>
      </c>
      <c r="D552" s="302">
        <v>0</v>
      </c>
      <c r="E552" s="302">
        <v>0.46848357263211854</v>
      </c>
      <c r="F552" s="302">
        <v>0.26394777683557064</v>
      </c>
      <c r="G552" s="302">
        <v>0.43588987355401693</v>
      </c>
      <c r="H552" s="302">
        <v>0.38120000370772039</v>
      </c>
      <c r="I552" s="302">
        <v>0</v>
      </c>
      <c r="J552" s="303">
        <v>0.41929877882464794</v>
      </c>
      <c r="K552" s="303">
        <v>0.37809216127640216</v>
      </c>
      <c r="L552" s="302">
        <v>0</v>
      </c>
      <c r="M552" s="302">
        <v>0.55183670258790218</v>
      </c>
      <c r="N552" s="302">
        <v>0.49205919237521945</v>
      </c>
      <c r="O552" s="303">
        <v>0.47202055110539587</v>
      </c>
      <c r="P552" s="303">
        <v>0</v>
      </c>
      <c r="Q552" s="302">
        <v>0</v>
      </c>
      <c r="R552" s="303">
        <v>0</v>
      </c>
      <c r="S552" s="303">
        <v>0</v>
      </c>
      <c r="T552" s="303">
        <v>0</v>
      </c>
      <c r="U552" s="303">
        <v>0.43023766423141274</v>
      </c>
      <c r="V552" s="309"/>
    </row>
    <row r="553" spans="1:22">
      <c r="A553" s="304"/>
      <c r="B553" s="305" t="s">
        <v>546</v>
      </c>
      <c r="C553" s="306">
        <v>0.49011618010043406</v>
      </c>
      <c r="D553" s="307">
        <v>0</v>
      </c>
      <c r="E553" s="307">
        <v>0.48330625175878938</v>
      </c>
      <c r="F553" s="307">
        <v>0.22191403314126196</v>
      </c>
      <c r="G553" s="307">
        <v>0.52675220701240211</v>
      </c>
      <c r="H553" s="307">
        <v>0.42275645667390782</v>
      </c>
      <c r="I553" s="307">
        <v>0</v>
      </c>
      <c r="J553" s="308">
        <v>0.46395296896774979</v>
      </c>
      <c r="K553" s="308">
        <v>0.46182056484643791</v>
      </c>
      <c r="L553" s="307">
        <v>0</v>
      </c>
      <c r="M553" s="307">
        <v>0.80833961316252201</v>
      </c>
      <c r="N553" s="307">
        <v>0.57564434701740397</v>
      </c>
      <c r="O553" s="308">
        <v>0.57641749525528085</v>
      </c>
      <c r="P553" s="308">
        <v>0</v>
      </c>
      <c r="Q553" s="307">
        <v>0</v>
      </c>
      <c r="R553" s="308">
        <v>0</v>
      </c>
      <c r="S553" s="308">
        <v>0</v>
      </c>
      <c r="T553" s="308">
        <v>0</v>
      </c>
      <c r="U553" s="308">
        <v>0.48650246476730336</v>
      </c>
      <c r="V553" s="309"/>
    </row>
    <row r="554" spans="1:22">
      <c r="A554" s="304"/>
      <c r="B554" s="310" t="s">
        <v>547</v>
      </c>
      <c r="C554" s="311">
        <v>5.6987565030341578</v>
      </c>
      <c r="D554" s="312">
        <v>0</v>
      </c>
      <c r="E554" s="312">
        <v>1.4822679126670846</v>
      </c>
      <c r="F554" s="312">
        <v>-4.2033743694308683</v>
      </c>
      <c r="G554" s="312">
        <v>9.0862333458385187</v>
      </c>
      <c r="H554" s="312">
        <v>4.1556452966187427</v>
      </c>
      <c r="I554" s="312">
        <v>0</v>
      </c>
      <c r="J554" s="314">
        <v>4.4654190143101848</v>
      </c>
      <c r="K554" s="314">
        <v>8.3728403570035752</v>
      </c>
      <c r="L554" s="312">
        <v>0</v>
      </c>
      <c r="M554" s="312">
        <v>25.650291057461981</v>
      </c>
      <c r="N554" s="312">
        <v>8.3585154642184527</v>
      </c>
      <c r="O554" s="314">
        <v>10.439694414988498</v>
      </c>
      <c r="P554" s="314">
        <v>0</v>
      </c>
      <c r="Q554" s="312">
        <v>0</v>
      </c>
      <c r="R554" s="314">
        <v>0</v>
      </c>
      <c r="S554" s="314">
        <v>0</v>
      </c>
      <c r="T554" s="314">
        <v>0</v>
      </c>
      <c r="U554" s="314">
        <v>5.6264800535890611</v>
      </c>
      <c r="V554" s="309"/>
    </row>
    <row r="555" spans="1:22">
      <c r="A555" s="304"/>
      <c r="B555" s="50" t="s">
        <v>548</v>
      </c>
      <c r="C555" s="301">
        <v>0</v>
      </c>
      <c r="D555" s="302">
        <v>0</v>
      </c>
      <c r="E555" s="302">
        <v>1.3668813842772925E-2</v>
      </c>
      <c r="F555" s="302">
        <v>0</v>
      </c>
      <c r="G555" s="302">
        <v>2.7854631593238113E-3</v>
      </c>
      <c r="H555" s="302">
        <v>0</v>
      </c>
      <c r="I555" s="302">
        <v>0</v>
      </c>
      <c r="J555" s="303">
        <v>2.9987764867244913E-3</v>
      </c>
      <c r="K555" s="303">
        <v>0</v>
      </c>
      <c r="L555" s="302">
        <v>0</v>
      </c>
      <c r="M555" s="302">
        <v>0</v>
      </c>
      <c r="N555" s="302">
        <v>1.4301479809380487E-2</v>
      </c>
      <c r="O555" s="303">
        <v>8.486558731689603E-3</v>
      </c>
      <c r="P555" s="303">
        <v>0</v>
      </c>
      <c r="Q555" s="302">
        <v>0</v>
      </c>
      <c r="R555" s="303">
        <v>0</v>
      </c>
      <c r="S555" s="303">
        <v>0</v>
      </c>
      <c r="T555" s="303">
        <v>0</v>
      </c>
      <c r="U555" s="303">
        <v>4.1373994600814139E-3</v>
      </c>
      <c r="V555" s="309"/>
    </row>
    <row r="556" spans="1:22">
      <c r="A556" s="304"/>
      <c r="B556" s="305" t="s">
        <v>549</v>
      </c>
      <c r="C556" s="306">
        <v>0</v>
      </c>
      <c r="D556" s="307">
        <v>0</v>
      </c>
      <c r="E556" s="307">
        <v>1.1183631230653317E-2</v>
      </c>
      <c r="F556" s="307">
        <v>0</v>
      </c>
      <c r="G556" s="307">
        <v>2.9103460248247411E-3</v>
      </c>
      <c r="H556" s="307">
        <v>0</v>
      </c>
      <c r="I556" s="307">
        <v>0</v>
      </c>
      <c r="J556" s="308">
        <v>2.5379224503248106E-3</v>
      </c>
      <c r="K556" s="308">
        <v>0</v>
      </c>
      <c r="L556" s="307">
        <v>0</v>
      </c>
      <c r="M556" s="307">
        <v>0</v>
      </c>
      <c r="N556" s="307">
        <v>2.8895974491829415E-3</v>
      </c>
      <c r="O556" s="308">
        <v>1.7411201206109263E-3</v>
      </c>
      <c r="P556" s="308">
        <v>0</v>
      </c>
      <c r="Q556" s="307">
        <v>0</v>
      </c>
      <c r="R556" s="308">
        <v>0</v>
      </c>
      <c r="S556" s="308">
        <v>0</v>
      </c>
      <c r="T556" s="308">
        <v>0</v>
      </c>
      <c r="U556" s="308">
        <v>2.3781610448393034E-3</v>
      </c>
      <c r="V556" s="309"/>
    </row>
    <row r="557" spans="1:22">
      <c r="A557" s="304"/>
      <c r="B557" s="310" t="s">
        <v>550</v>
      </c>
      <c r="C557" s="311">
        <v>0</v>
      </c>
      <c r="D557" s="312">
        <v>0</v>
      </c>
      <c r="E557" s="312">
        <v>-0.24851826121196074</v>
      </c>
      <c r="F557" s="312">
        <v>0</v>
      </c>
      <c r="G557" s="312">
        <v>1.2488286550092981E-2</v>
      </c>
      <c r="H557" s="312">
        <v>0</v>
      </c>
      <c r="I557" s="312">
        <v>0</v>
      </c>
      <c r="J557" s="314">
        <v>-4.6085403639968069E-2</v>
      </c>
      <c r="K557" s="314">
        <v>0</v>
      </c>
      <c r="L557" s="312">
        <v>0</v>
      </c>
      <c r="M557" s="312">
        <v>0</v>
      </c>
      <c r="N557" s="312">
        <v>-1.1411882360197545</v>
      </c>
      <c r="O557" s="314">
        <v>-0.67454386110786768</v>
      </c>
      <c r="P557" s="314">
        <v>0</v>
      </c>
      <c r="Q557" s="312">
        <v>0</v>
      </c>
      <c r="R557" s="314">
        <v>0</v>
      </c>
      <c r="S557" s="314">
        <v>0</v>
      </c>
      <c r="T557" s="314">
        <v>0</v>
      </c>
      <c r="U557" s="314">
        <v>-0.17592384152421103</v>
      </c>
      <c r="V557" s="309"/>
    </row>
    <row r="558" spans="1:22">
      <c r="A558" s="304"/>
      <c r="B558" s="50" t="s">
        <v>551</v>
      </c>
      <c r="C558" s="301">
        <v>1.3879864842519488E-3</v>
      </c>
      <c r="D558" s="302">
        <v>0</v>
      </c>
      <c r="E558" s="302">
        <v>0</v>
      </c>
      <c r="F558" s="302">
        <v>0</v>
      </c>
      <c r="G558" s="302">
        <v>0</v>
      </c>
      <c r="H558" s="302">
        <v>0</v>
      </c>
      <c r="I558" s="302">
        <v>0</v>
      </c>
      <c r="J558" s="303">
        <v>6.4760479741893251E-4</v>
      </c>
      <c r="K558" s="303">
        <v>3.4989095065371292E-5</v>
      </c>
      <c r="L558" s="302">
        <v>0</v>
      </c>
      <c r="M558" s="302">
        <v>0</v>
      </c>
      <c r="N558" s="302">
        <v>7.0579382994732879E-3</v>
      </c>
      <c r="O558" s="303">
        <v>4.1971405863494701E-3</v>
      </c>
      <c r="P558" s="303">
        <v>0</v>
      </c>
      <c r="Q558" s="302">
        <v>0</v>
      </c>
      <c r="R558" s="303">
        <v>0</v>
      </c>
      <c r="S558" s="303">
        <v>0</v>
      </c>
      <c r="T558" s="303">
        <v>0</v>
      </c>
      <c r="U558" s="303">
        <v>1.3840740692704059E-3</v>
      </c>
      <c r="V558" s="309"/>
    </row>
    <row r="559" spans="1:22">
      <c r="A559" s="304"/>
      <c r="B559" s="305" t="s">
        <v>552</v>
      </c>
      <c r="C559" s="306">
        <v>2.1810366839731041E-4</v>
      </c>
      <c r="D559" s="307">
        <v>0</v>
      </c>
      <c r="E559" s="307">
        <v>0</v>
      </c>
      <c r="F559" s="307">
        <v>0</v>
      </c>
      <c r="G559" s="307">
        <v>0</v>
      </c>
      <c r="H559" s="307">
        <v>5.7929036929761041E-5</v>
      </c>
      <c r="I559" s="307">
        <v>0</v>
      </c>
      <c r="J559" s="308">
        <v>1.0790771130253809E-4</v>
      </c>
      <c r="K559" s="308">
        <v>0</v>
      </c>
      <c r="L559" s="307">
        <v>0</v>
      </c>
      <c r="M559" s="307">
        <v>0</v>
      </c>
      <c r="N559" s="307">
        <v>8.4362960010628402E-3</v>
      </c>
      <c r="O559" s="308">
        <v>5.0832702371859228E-3</v>
      </c>
      <c r="P559" s="308">
        <v>0</v>
      </c>
      <c r="Q559" s="307">
        <v>0</v>
      </c>
      <c r="R559" s="308">
        <v>0</v>
      </c>
      <c r="S559" s="308">
        <v>0</v>
      </c>
      <c r="T559" s="308">
        <v>0</v>
      </c>
      <c r="U559" s="308">
        <v>1.1054837477838496E-3</v>
      </c>
      <c r="V559" s="309"/>
    </row>
    <row r="560" spans="1:22">
      <c r="A560" s="304"/>
      <c r="B560" s="310" t="s">
        <v>553</v>
      </c>
      <c r="C560" s="311">
        <v>-0.11698828158546383</v>
      </c>
      <c r="D560" s="312">
        <v>0</v>
      </c>
      <c r="E560" s="312">
        <v>0</v>
      </c>
      <c r="F560" s="312">
        <v>0</v>
      </c>
      <c r="G560" s="312">
        <v>0</v>
      </c>
      <c r="H560" s="312">
        <v>0</v>
      </c>
      <c r="I560" s="312">
        <v>0</v>
      </c>
      <c r="J560" s="314">
        <v>-5.3969708611639439E-2</v>
      </c>
      <c r="K560" s="314">
        <v>-3.4989095065371292E-3</v>
      </c>
      <c r="L560" s="312">
        <v>0</v>
      </c>
      <c r="M560" s="312">
        <v>0</v>
      </c>
      <c r="N560" s="312">
        <v>0.13783577015895523</v>
      </c>
      <c r="O560" s="314">
        <v>8.8612965083645273E-2</v>
      </c>
      <c r="P560" s="314">
        <v>0</v>
      </c>
      <c r="Q560" s="312">
        <v>0</v>
      </c>
      <c r="R560" s="314">
        <v>0</v>
      </c>
      <c r="S560" s="314">
        <v>0</v>
      </c>
      <c r="T560" s="314">
        <v>0</v>
      </c>
      <c r="U560" s="314">
        <v>-2.7859032148655635E-2</v>
      </c>
      <c r="V560" s="309"/>
    </row>
    <row r="561" spans="1:22">
      <c r="A561" s="304"/>
      <c r="B561" s="50" t="s">
        <v>554</v>
      </c>
      <c r="C561" s="301">
        <v>0</v>
      </c>
      <c r="D561" s="302">
        <v>0</v>
      </c>
      <c r="E561" s="302">
        <v>0</v>
      </c>
      <c r="F561" s="302">
        <v>0</v>
      </c>
      <c r="G561" s="302">
        <v>0</v>
      </c>
      <c r="H561" s="302">
        <v>0</v>
      </c>
      <c r="I561" s="302">
        <v>0</v>
      </c>
      <c r="J561" s="303">
        <v>0</v>
      </c>
      <c r="K561" s="303">
        <v>0</v>
      </c>
      <c r="L561" s="302">
        <v>0</v>
      </c>
      <c r="M561" s="302">
        <v>0</v>
      </c>
      <c r="N561" s="302">
        <v>0</v>
      </c>
      <c r="O561" s="303">
        <v>0</v>
      </c>
      <c r="P561" s="303">
        <v>0</v>
      </c>
      <c r="Q561" s="302">
        <v>0</v>
      </c>
      <c r="R561" s="303">
        <v>0</v>
      </c>
      <c r="S561" s="303">
        <v>0</v>
      </c>
      <c r="T561" s="303">
        <v>0</v>
      </c>
      <c r="U561" s="303">
        <v>0</v>
      </c>
      <c r="V561" s="309"/>
    </row>
    <row r="562" spans="1:22">
      <c r="A562" s="304"/>
      <c r="B562" s="305" t="s">
        <v>555</v>
      </c>
      <c r="C562" s="306">
        <v>0</v>
      </c>
      <c r="D562" s="307">
        <v>0</v>
      </c>
      <c r="E562" s="307">
        <v>0</v>
      </c>
      <c r="F562" s="307">
        <v>0</v>
      </c>
      <c r="G562" s="307">
        <v>0</v>
      </c>
      <c r="H562" s="307">
        <v>0</v>
      </c>
      <c r="I562" s="307">
        <v>0</v>
      </c>
      <c r="J562" s="308">
        <v>0</v>
      </c>
      <c r="K562" s="308">
        <v>0</v>
      </c>
      <c r="L562" s="307">
        <v>0</v>
      </c>
      <c r="M562" s="307">
        <v>0</v>
      </c>
      <c r="N562" s="307">
        <v>0</v>
      </c>
      <c r="O562" s="308">
        <v>0</v>
      </c>
      <c r="P562" s="308">
        <v>0</v>
      </c>
      <c r="Q562" s="307">
        <v>0</v>
      </c>
      <c r="R562" s="308">
        <v>0</v>
      </c>
      <c r="S562" s="308">
        <v>0</v>
      </c>
      <c r="T562" s="308">
        <v>0</v>
      </c>
      <c r="U562" s="308">
        <v>0</v>
      </c>
      <c r="V562" s="309"/>
    </row>
    <row r="563" spans="1:22" ht="15.75" thickBot="1">
      <c r="A563" s="304"/>
      <c r="B563" s="316" t="s">
        <v>556</v>
      </c>
      <c r="C563" s="317">
        <v>0</v>
      </c>
      <c r="D563" s="318">
        <v>0</v>
      </c>
      <c r="E563" s="318">
        <v>0</v>
      </c>
      <c r="F563" s="318">
        <v>0</v>
      </c>
      <c r="G563" s="318">
        <v>0</v>
      </c>
      <c r="H563" s="318">
        <v>0</v>
      </c>
      <c r="I563" s="318">
        <v>0</v>
      </c>
      <c r="J563" s="319">
        <v>0</v>
      </c>
      <c r="K563" s="319">
        <v>0</v>
      </c>
      <c r="L563" s="318">
        <v>0</v>
      </c>
      <c r="M563" s="318">
        <v>0</v>
      </c>
      <c r="N563" s="318">
        <v>0</v>
      </c>
      <c r="O563" s="319">
        <v>0</v>
      </c>
      <c r="P563" s="319">
        <v>0</v>
      </c>
      <c r="Q563" s="318">
        <v>0</v>
      </c>
      <c r="R563" s="319">
        <v>0</v>
      </c>
      <c r="S563" s="319">
        <v>0</v>
      </c>
      <c r="T563" s="319">
        <v>0</v>
      </c>
      <c r="U563" s="319">
        <v>0</v>
      </c>
      <c r="V563" s="309"/>
    </row>
    <row r="564" spans="1:22" ht="15.75" thickTop="1">
      <c r="A564" s="304"/>
      <c r="B564" s="305" t="s">
        <v>557</v>
      </c>
      <c r="C564" s="306">
        <v>0.57700773181330778</v>
      </c>
      <c r="D564" s="307">
        <v>0</v>
      </c>
      <c r="E564" s="307">
        <v>0.29455602279553833</v>
      </c>
      <c r="F564" s="307">
        <v>0.5200660270298153</v>
      </c>
      <c r="G564" s="307">
        <v>0.22578425976884975</v>
      </c>
      <c r="H564" s="307">
        <v>0</v>
      </c>
      <c r="I564" s="307">
        <v>0</v>
      </c>
      <c r="J564" s="308">
        <v>0.43606721597507747</v>
      </c>
      <c r="K564" s="308">
        <v>0</v>
      </c>
      <c r="L564" s="307">
        <v>0</v>
      </c>
      <c r="M564" s="307">
        <v>0</v>
      </c>
      <c r="N564" s="307">
        <v>0</v>
      </c>
      <c r="O564" s="308">
        <v>0</v>
      </c>
      <c r="P564" s="308">
        <v>0</v>
      </c>
      <c r="Q564" s="307">
        <v>0</v>
      </c>
      <c r="R564" s="308">
        <v>0</v>
      </c>
      <c r="S564" s="308">
        <v>0</v>
      </c>
      <c r="T564" s="308">
        <v>0</v>
      </c>
      <c r="U564" s="308">
        <v>0.43606721597507747</v>
      </c>
      <c r="V564" s="309"/>
    </row>
    <row r="565" spans="1:22">
      <c r="A565" s="304"/>
      <c r="B565" s="305" t="s">
        <v>558</v>
      </c>
      <c r="C565" s="306">
        <v>0.54165469057463134</v>
      </c>
      <c r="D565" s="307">
        <v>0</v>
      </c>
      <c r="E565" s="307">
        <v>0.37090527674681295</v>
      </c>
      <c r="F565" s="307">
        <v>0.59571195947168443</v>
      </c>
      <c r="G565" s="307">
        <v>9.8985382631126398E-2</v>
      </c>
      <c r="H565" s="307">
        <v>0</v>
      </c>
      <c r="I565" s="307">
        <v>0</v>
      </c>
      <c r="J565" s="308">
        <v>0.42296566730890073</v>
      </c>
      <c r="K565" s="308">
        <v>0</v>
      </c>
      <c r="L565" s="307">
        <v>0</v>
      </c>
      <c r="M565" s="307">
        <v>0</v>
      </c>
      <c r="N565" s="307">
        <v>0</v>
      </c>
      <c r="O565" s="308">
        <v>0</v>
      </c>
      <c r="P565" s="308">
        <v>0</v>
      </c>
      <c r="Q565" s="307">
        <v>0</v>
      </c>
      <c r="R565" s="308">
        <v>0</v>
      </c>
      <c r="S565" s="308">
        <v>0</v>
      </c>
      <c r="T565" s="308">
        <v>0</v>
      </c>
      <c r="U565" s="308">
        <v>0.42296566730890073</v>
      </c>
      <c r="V565" s="309"/>
    </row>
    <row r="566" spans="1:22">
      <c r="A566" s="304"/>
      <c r="B566" s="310" t="s">
        <v>559</v>
      </c>
      <c r="C566" s="311">
        <v>-3.5353041238676441</v>
      </c>
      <c r="D566" s="312">
        <v>0</v>
      </c>
      <c r="E566" s="312">
        <v>7.6349253951274623</v>
      </c>
      <c r="F566" s="312">
        <v>7.5645932441869128</v>
      </c>
      <c r="G566" s="312">
        <v>-12.679887713772336</v>
      </c>
      <c r="H566" s="312">
        <v>0</v>
      </c>
      <c r="I566" s="312">
        <v>0</v>
      </c>
      <c r="J566" s="314">
        <v>-1.3101548666176743</v>
      </c>
      <c r="K566" s="314">
        <v>0</v>
      </c>
      <c r="L566" s="312">
        <v>0</v>
      </c>
      <c r="M566" s="312">
        <v>0</v>
      </c>
      <c r="N566" s="312">
        <v>0</v>
      </c>
      <c r="O566" s="314">
        <v>0</v>
      </c>
      <c r="P566" s="314">
        <v>0</v>
      </c>
      <c r="Q566" s="312">
        <v>0</v>
      </c>
      <c r="R566" s="314">
        <v>0</v>
      </c>
      <c r="S566" s="314">
        <v>0</v>
      </c>
      <c r="T566" s="314">
        <v>0</v>
      </c>
      <c r="U566" s="314">
        <v>-1.3101548666176743</v>
      </c>
      <c r="V566" s="309"/>
    </row>
    <row r="567" spans="1:22">
      <c r="A567" s="304"/>
      <c r="B567" s="50" t="s">
        <v>560</v>
      </c>
      <c r="C567" s="301">
        <v>1.3691517579998872E-2</v>
      </c>
      <c r="D567" s="302">
        <v>0</v>
      </c>
      <c r="E567" s="302">
        <v>9.3000600737120687E-2</v>
      </c>
      <c r="F567" s="302">
        <v>0.10677808727948004</v>
      </c>
      <c r="G567" s="302">
        <v>1.3758943313153549E-4</v>
      </c>
      <c r="H567" s="302">
        <v>0</v>
      </c>
      <c r="I567" s="302">
        <v>0</v>
      </c>
      <c r="J567" s="303">
        <v>4.3917152402811493E-2</v>
      </c>
      <c r="K567" s="303">
        <v>0</v>
      </c>
      <c r="L567" s="302">
        <v>0</v>
      </c>
      <c r="M567" s="302">
        <v>0</v>
      </c>
      <c r="N567" s="302">
        <v>0</v>
      </c>
      <c r="O567" s="303">
        <v>0</v>
      </c>
      <c r="P567" s="303">
        <v>0</v>
      </c>
      <c r="Q567" s="302">
        <v>0</v>
      </c>
      <c r="R567" s="303">
        <v>0</v>
      </c>
      <c r="S567" s="303">
        <v>0</v>
      </c>
      <c r="T567" s="303">
        <v>0</v>
      </c>
      <c r="U567" s="303">
        <v>4.3917152402811493E-2</v>
      </c>
      <c r="V567" s="309"/>
    </row>
    <row r="568" spans="1:22">
      <c r="A568" s="304"/>
      <c r="B568" s="305" t="s">
        <v>561</v>
      </c>
      <c r="C568" s="306">
        <v>1.2270888146985342E-3</v>
      </c>
      <c r="D568" s="307">
        <v>0</v>
      </c>
      <c r="E568" s="307">
        <v>0.14558657414878168</v>
      </c>
      <c r="F568" s="307">
        <v>8.7660575357336706E-2</v>
      </c>
      <c r="G568" s="307">
        <v>0</v>
      </c>
      <c r="H568" s="307">
        <v>0</v>
      </c>
      <c r="I568" s="307">
        <v>0</v>
      </c>
      <c r="J568" s="308">
        <v>5.2462387760507281E-2</v>
      </c>
      <c r="K568" s="308">
        <v>0</v>
      </c>
      <c r="L568" s="307">
        <v>0</v>
      </c>
      <c r="M568" s="307">
        <v>0</v>
      </c>
      <c r="N568" s="307">
        <v>0</v>
      </c>
      <c r="O568" s="308">
        <v>0</v>
      </c>
      <c r="P568" s="308">
        <v>0</v>
      </c>
      <c r="Q568" s="307">
        <v>0</v>
      </c>
      <c r="R568" s="308">
        <v>0</v>
      </c>
      <c r="S568" s="308">
        <v>0</v>
      </c>
      <c r="T568" s="308">
        <v>0</v>
      </c>
      <c r="U568" s="308">
        <v>5.2462387760507281E-2</v>
      </c>
      <c r="V568" s="309"/>
    </row>
    <row r="569" spans="1:22">
      <c r="A569" s="304"/>
      <c r="B569" s="310" t="s">
        <v>562</v>
      </c>
      <c r="C569" s="311">
        <v>-1.2464428765300339</v>
      </c>
      <c r="D569" s="312">
        <v>0</v>
      </c>
      <c r="E569" s="312">
        <v>5.2585973411660989</v>
      </c>
      <c r="F569" s="312">
        <v>-1.9117511922143338</v>
      </c>
      <c r="G569" s="312">
        <v>-1.3758943313153549E-2</v>
      </c>
      <c r="H569" s="312">
        <v>0</v>
      </c>
      <c r="I569" s="312">
        <v>0</v>
      </c>
      <c r="J569" s="314">
        <v>0.85452353576957885</v>
      </c>
      <c r="K569" s="314">
        <v>0</v>
      </c>
      <c r="L569" s="312">
        <v>0</v>
      </c>
      <c r="M569" s="312">
        <v>0</v>
      </c>
      <c r="N569" s="312">
        <v>0</v>
      </c>
      <c r="O569" s="314">
        <v>0</v>
      </c>
      <c r="P569" s="314">
        <v>0</v>
      </c>
      <c r="Q569" s="312">
        <v>0</v>
      </c>
      <c r="R569" s="314">
        <v>0</v>
      </c>
      <c r="S569" s="314">
        <v>0</v>
      </c>
      <c r="T569" s="314">
        <v>0</v>
      </c>
      <c r="U569" s="314">
        <v>0.85452353576957885</v>
      </c>
      <c r="V569" s="309"/>
    </row>
    <row r="570" spans="1:22">
      <c r="A570" s="304"/>
      <c r="B570" s="50" t="s">
        <v>563</v>
      </c>
      <c r="C570" s="301">
        <v>0.40027089564873863</v>
      </c>
      <c r="D570" s="302">
        <v>0</v>
      </c>
      <c r="E570" s="302">
        <v>0.59977918851780287</v>
      </c>
      <c r="F570" s="302">
        <v>0.37315588569070463</v>
      </c>
      <c r="G570" s="302">
        <v>0.77407815079801867</v>
      </c>
      <c r="H570" s="302">
        <v>0</v>
      </c>
      <c r="I570" s="302">
        <v>0</v>
      </c>
      <c r="J570" s="303">
        <v>0.5113191657997721</v>
      </c>
      <c r="K570" s="303">
        <v>0</v>
      </c>
      <c r="L570" s="302">
        <v>0</v>
      </c>
      <c r="M570" s="302">
        <v>0</v>
      </c>
      <c r="N570" s="302">
        <v>0</v>
      </c>
      <c r="O570" s="303">
        <v>0</v>
      </c>
      <c r="P570" s="303">
        <v>0</v>
      </c>
      <c r="Q570" s="302">
        <v>0</v>
      </c>
      <c r="R570" s="303">
        <v>0</v>
      </c>
      <c r="S570" s="303">
        <v>0</v>
      </c>
      <c r="T570" s="303">
        <v>0</v>
      </c>
      <c r="U570" s="303">
        <v>0.5113191657997721</v>
      </c>
      <c r="V570" s="309"/>
    </row>
    <row r="571" spans="1:22">
      <c r="A571" s="304"/>
      <c r="B571" s="305" t="s">
        <v>564</v>
      </c>
      <c r="C571" s="306">
        <v>0.45575847354573396</v>
      </c>
      <c r="D571" s="307">
        <v>0</v>
      </c>
      <c r="E571" s="307">
        <v>0.47979667581087621</v>
      </c>
      <c r="F571" s="307">
        <v>0.31662746517097884</v>
      </c>
      <c r="G571" s="307">
        <v>0.90101461736887356</v>
      </c>
      <c r="H571" s="307">
        <v>0</v>
      </c>
      <c r="I571" s="307">
        <v>0</v>
      </c>
      <c r="J571" s="308">
        <v>0.52273872152141965</v>
      </c>
      <c r="K571" s="308">
        <v>0</v>
      </c>
      <c r="L571" s="307">
        <v>0</v>
      </c>
      <c r="M571" s="307">
        <v>0</v>
      </c>
      <c r="N571" s="307">
        <v>0</v>
      </c>
      <c r="O571" s="308">
        <v>0</v>
      </c>
      <c r="P571" s="308">
        <v>0</v>
      </c>
      <c r="Q571" s="307">
        <v>0</v>
      </c>
      <c r="R571" s="308">
        <v>0</v>
      </c>
      <c r="S571" s="308">
        <v>0</v>
      </c>
      <c r="T571" s="308">
        <v>0</v>
      </c>
      <c r="U571" s="308">
        <v>0.52273872152141965</v>
      </c>
      <c r="V571" s="309"/>
    </row>
    <row r="572" spans="1:22">
      <c r="A572" s="304"/>
      <c r="B572" s="310" t="s">
        <v>565</v>
      </c>
      <c r="C572" s="311">
        <v>5.5487577896995326</v>
      </c>
      <c r="D572" s="312">
        <v>0</v>
      </c>
      <c r="E572" s="312">
        <v>-11.998251270692666</v>
      </c>
      <c r="F572" s="312">
        <v>-5.6528420519725788</v>
      </c>
      <c r="G572" s="312">
        <v>12.693646657085489</v>
      </c>
      <c r="H572" s="312">
        <v>0</v>
      </c>
      <c r="I572" s="312">
        <v>0</v>
      </c>
      <c r="J572" s="314">
        <v>1.1419555721647545</v>
      </c>
      <c r="K572" s="314">
        <v>0</v>
      </c>
      <c r="L572" s="312">
        <v>0</v>
      </c>
      <c r="M572" s="312">
        <v>0</v>
      </c>
      <c r="N572" s="312">
        <v>0</v>
      </c>
      <c r="O572" s="314">
        <v>0</v>
      </c>
      <c r="P572" s="314">
        <v>0</v>
      </c>
      <c r="Q572" s="312">
        <v>0</v>
      </c>
      <c r="R572" s="314">
        <v>0</v>
      </c>
      <c r="S572" s="314">
        <v>0</v>
      </c>
      <c r="T572" s="314">
        <v>0</v>
      </c>
      <c r="U572" s="314">
        <v>1.1419555721647545</v>
      </c>
      <c r="V572" s="309"/>
    </row>
    <row r="573" spans="1:22">
      <c r="A573" s="304"/>
      <c r="B573" s="50" t="s">
        <v>566</v>
      </c>
      <c r="C573" s="301">
        <v>2.3703369264631188E-4</v>
      </c>
      <c r="D573" s="302">
        <v>0</v>
      </c>
      <c r="E573" s="302">
        <v>1.2664187949538082E-2</v>
      </c>
      <c r="F573" s="302">
        <v>0</v>
      </c>
      <c r="G573" s="302">
        <v>0</v>
      </c>
      <c r="H573" s="302">
        <v>0</v>
      </c>
      <c r="I573" s="302">
        <v>0</v>
      </c>
      <c r="J573" s="303">
        <v>4.4087779263882699E-3</v>
      </c>
      <c r="K573" s="303">
        <v>0</v>
      </c>
      <c r="L573" s="302">
        <v>0</v>
      </c>
      <c r="M573" s="302">
        <v>0</v>
      </c>
      <c r="N573" s="302">
        <v>0</v>
      </c>
      <c r="O573" s="303">
        <v>0</v>
      </c>
      <c r="P573" s="303">
        <v>0</v>
      </c>
      <c r="Q573" s="302">
        <v>0</v>
      </c>
      <c r="R573" s="303">
        <v>0</v>
      </c>
      <c r="S573" s="303">
        <v>0</v>
      </c>
      <c r="T573" s="303">
        <v>0</v>
      </c>
      <c r="U573" s="303">
        <v>4.4087779263882699E-3</v>
      </c>
      <c r="V573" s="309"/>
    </row>
    <row r="574" spans="1:22">
      <c r="A574" s="304"/>
      <c r="B574" s="305" t="s">
        <v>567</v>
      </c>
      <c r="C574" s="306">
        <v>0</v>
      </c>
      <c r="D574" s="307">
        <v>0</v>
      </c>
      <c r="E574" s="307">
        <v>3.7114732935291271E-3</v>
      </c>
      <c r="F574" s="307">
        <v>0</v>
      </c>
      <c r="G574" s="307">
        <v>0</v>
      </c>
      <c r="H574" s="307">
        <v>0</v>
      </c>
      <c r="I574" s="307">
        <v>0</v>
      </c>
      <c r="J574" s="308">
        <v>1.1944515130584709E-3</v>
      </c>
      <c r="K574" s="308">
        <v>0</v>
      </c>
      <c r="L574" s="307">
        <v>0</v>
      </c>
      <c r="M574" s="307">
        <v>0</v>
      </c>
      <c r="N574" s="307">
        <v>0</v>
      </c>
      <c r="O574" s="308">
        <v>0</v>
      </c>
      <c r="P574" s="308">
        <v>0</v>
      </c>
      <c r="Q574" s="307">
        <v>0</v>
      </c>
      <c r="R574" s="308">
        <v>0</v>
      </c>
      <c r="S574" s="308">
        <v>0</v>
      </c>
      <c r="T574" s="308">
        <v>0</v>
      </c>
      <c r="U574" s="308">
        <v>1.1944515130584709E-3</v>
      </c>
      <c r="V574" s="309"/>
    </row>
    <row r="575" spans="1:22">
      <c r="A575" s="304"/>
      <c r="B575" s="310" t="s">
        <v>568</v>
      </c>
      <c r="C575" s="311">
        <v>-2.3703369264631187E-2</v>
      </c>
      <c r="D575" s="312">
        <v>0</v>
      </c>
      <c r="E575" s="312">
        <v>-0.89527146560089554</v>
      </c>
      <c r="F575" s="312">
        <v>0</v>
      </c>
      <c r="G575" s="312">
        <v>0</v>
      </c>
      <c r="H575" s="312">
        <v>0</v>
      </c>
      <c r="I575" s="312">
        <v>0</v>
      </c>
      <c r="J575" s="314">
        <v>-0.32143264133297994</v>
      </c>
      <c r="K575" s="314">
        <v>0</v>
      </c>
      <c r="L575" s="312">
        <v>0</v>
      </c>
      <c r="M575" s="312">
        <v>0</v>
      </c>
      <c r="N575" s="312">
        <v>0</v>
      </c>
      <c r="O575" s="314">
        <v>0</v>
      </c>
      <c r="P575" s="314">
        <v>0</v>
      </c>
      <c r="Q575" s="312">
        <v>0</v>
      </c>
      <c r="R575" s="314">
        <v>0</v>
      </c>
      <c r="S575" s="314">
        <v>0</v>
      </c>
      <c r="T575" s="314">
        <v>0</v>
      </c>
      <c r="U575" s="314">
        <v>-0.32143264133297994</v>
      </c>
      <c r="V575" s="309"/>
    </row>
    <row r="576" spans="1:22">
      <c r="A576" s="304"/>
      <c r="B576" s="50" t="s">
        <v>569</v>
      </c>
      <c r="C576" s="301">
        <v>8.7928212653084255E-3</v>
      </c>
      <c r="D576" s="302">
        <v>0</v>
      </c>
      <c r="E576" s="302">
        <v>0</v>
      </c>
      <c r="F576" s="302">
        <v>0</v>
      </c>
      <c r="G576" s="302">
        <v>0</v>
      </c>
      <c r="H576" s="302">
        <v>0</v>
      </c>
      <c r="I576" s="302">
        <v>0</v>
      </c>
      <c r="J576" s="303">
        <v>4.2876878959506393E-3</v>
      </c>
      <c r="K576" s="303">
        <v>0</v>
      </c>
      <c r="L576" s="302">
        <v>0</v>
      </c>
      <c r="M576" s="302">
        <v>0</v>
      </c>
      <c r="N576" s="302">
        <v>0</v>
      </c>
      <c r="O576" s="303">
        <v>0</v>
      </c>
      <c r="P576" s="303">
        <v>0</v>
      </c>
      <c r="Q576" s="302">
        <v>0</v>
      </c>
      <c r="R576" s="303">
        <v>0</v>
      </c>
      <c r="S576" s="303">
        <v>0</v>
      </c>
      <c r="T576" s="303">
        <v>0</v>
      </c>
      <c r="U576" s="303">
        <v>4.2876878959506393E-3</v>
      </c>
      <c r="V576" s="309"/>
    </row>
    <row r="577" spans="1:22">
      <c r="A577" s="304"/>
      <c r="B577" s="305" t="s">
        <v>570</v>
      </c>
      <c r="C577" s="306">
        <v>1.3597470649362134E-3</v>
      </c>
      <c r="D577" s="307">
        <v>0</v>
      </c>
      <c r="E577" s="307">
        <v>0</v>
      </c>
      <c r="F577" s="307">
        <v>0</v>
      </c>
      <c r="G577" s="307">
        <v>0</v>
      </c>
      <c r="H577" s="307">
        <v>0</v>
      </c>
      <c r="I577" s="307">
        <v>0</v>
      </c>
      <c r="J577" s="308">
        <v>6.3877189611387798E-4</v>
      </c>
      <c r="K577" s="308">
        <v>0</v>
      </c>
      <c r="L577" s="307">
        <v>0</v>
      </c>
      <c r="M577" s="307">
        <v>0</v>
      </c>
      <c r="N577" s="307">
        <v>0</v>
      </c>
      <c r="O577" s="308">
        <v>0</v>
      </c>
      <c r="P577" s="308">
        <v>0</v>
      </c>
      <c r="Q577" s="307">
        <v>0</v>
      </c>
      <c r="R577" s="308">
        <v>0</v>
      </c>
      <c r="S577" s="308">
        <v>0</v>
      </c>
      <c r="T577" s="308">
        <v>0</v>
      </c>
      <c r="U577" s="308">
        <v>6.3877189611387798E-4</v>
      </c>
      <c r="V577" s="309"/>
    </row>
    <row r="578" spans="1:22">
      <c r="A578" s="304"/>
      <c r="B578" s="310" t="s">
        <v>571</v>
      </c>
      <c r="C578" s="311">
        <v>-0.74330742003722128</v>
      </c>
      <c r="D578" s="312">
        <v>0</v>
      </c>
      <c r="E578" s="312">
        <v>0</v>
      </c>
      <c r="F578" s="312">
        <v>0</v>
      </c>
      <c r="G578" s="312">
        <v>0</v>
      </c>
      <c r="H578" s="312">
        <v>0</v>
      </c>
      <c r="I578" s="312">
        <v>0</v>
      </c>
      <c r="J578" s="314">
        <v>-0.3648915999836761</v>
      </c>
      <c r="K578" s="314">
        <v>0</v>
      </c>
      <c r="L578" s="312">
        <v>0</v>
      </c>
      <c r="M578" s="312">
        <v>0</v>
      </c>
      <c r="N578" s="312">
        <v>0</v>
      </c>
      <c r="O578" s="314">
        <v>0</v>
      </c>
      <c r="P578" s="314">
        <v>0</v>
      </c>
      <c r="Q578" s="312">
        <v>0</v>
      </c>
      <c r="R578" s="314">
        <v>0</v>
      </c>
      <c r="S578" s="314">
        <v>0</v>
      </c>
      <c r="T578" s="314">
        <v>0</v>
      </c>
      <c r="U578" s="314">
        <v>-0.3648915999836761</v>
      </c>
      <c r="V578" s="309"/>
    </row>
    <row r="579" spans="1:22">
      <c r="A579" s="304"/>
      <c r="B579" s="50" t="s">
        <v>572</v>
      </c>
      <c r="C579" s="301">
        <v>0</v>
      </c>
      <c r="D579" s="302">
        <v>0</v>
      </c>
      <c r="E579" s="302">
        <v>0</v>
      </c>
      <c r="F579" s="302">
        <v>0</v>
      </c>
      <c r="G579" s="302">
        <v>0</v>
      </c>
      <c r="H579" s="302">
        <v>0</v>
      </c>
      <c r="I579" s="302">
        <v>0</v>
      </c>
      <c r="J579" s="303">
        <v>0</v>
      </c>
      <c r="K579" s="303">
        <v>0</v>
      </c>
      <c r="L579" s="302">
        <v>0</v>
      </c>
      <c r="M579" s="302">
        <v>0</v>
      </c>
      <c r="N579" s="302">
        <v>0</v>
      </c>
      <c r="O579" s="303">
        <v>0</v>
      </c>
      <c r="P579" s="303">
        <v>0</v>
      </c>
      <c r="Q579" s="302">
        <v>0</v>
      </c>
      <c r="R579" s="303">
        <v>0</v>
      </c>
      <c r="S579" s="303">
        <v>0</v>
      </c>
      <c r="T579" s="303">
        <v>0</v>
      </c>
      <c r="U579" s="303">
        <v>0</v>
      </c>
      <c r="V579" s="309"/>
    </row>
    <row r="580" spans="1:22">
      <c r="A580" s="304"/>
      <c r="B580" s="305" t="s">
        <v>573</v>
      </c>
      <c r="C580" s="306">
        <v>0</v>
      </c>
      <c r="D580" s="307">
        <v>0</v>
      </c>
      <c r="E580" s="307">
        <v>0</v>
      </c>
      <c r="F580" s="307">
        <v>0</v>
      </c>
      <c r="G580" s="307">
        <v>0</v>
      </c>
      <c r="H580" s="307">
        <v>0</v>
      </c>
      <c r="I580" s="307">
        <v>0</v>
      </c>
      <c r="J580" s="308">
        <v>0</v>
      </c>
      <c r="K580" s="308">
        <v>0</v>
      </c>
      <c r="L580" s="307">
        <v>0</v>
      </c>
      <c r="M580" s="307">
        <v>0</v>
      </c>
      <c r="N580" s="307">
        <v>0</v>
      </c>
      <c r="O580" s="308">
        <v>0</v>
      </c>
      <c r="P580" s="308">
        <v>0</v>
      </c>
      <c r="Q580" s="307">
        <v>0</v>
      </c>
      <c r="R580" s="308">
        <v>0</v>
      </c>
      <c r="S580" s="308">
        <v>0</v>
      </c>
      <c r="T580" s="308">
        <v>0</v>
      </c>
      <c r="U580" s="308">
        <v>0</v>
      </c>
      <c r="V580" s="309"/>
    </row>
    <row r="581" spans="1:22" ht="15.75" thickBot="1">
      <c r="A581" s="320"/>
      <c r="B581" s="321" t="s">
        <v>574</v>
      </c>
      <c r="C581" s="322">
        <v>0</v>
      </c>
      <c r="D581" s="323">
        <v>0</v>
      </c>
      <c r="E581" s="323">
        <v>0</v>
      </c>
      <c r="F581" s="323">
        <v>0</v>
      </c>
      <c r="G581" s="323">
        <v>0</v>
      </c>
      <c r="H581" s="323">
        <v>0</v>
      </c>
      <c r="I581" s="323">
        <v>0</v>
      </c>
      <c r="J581" s="324">
        <v>0</v>
      </c>
      <c r="K581" s="324">
        <v>0</v>
      </c>
      <c r="L581" s="323">
        <v>0</v>
      </c>
      <c r="M581" s="323">
        <v>0</v>
      </c>
      <c r="N581" s="323">
        <v>0</v>
      </c>
      <c r="O581" s="324">
        <v>0</v>
      </c>
      <c r="P581" s="324">
        <v>0</v>
      </c>
      <c r="Q581" s="323">
        <v>0</v>
      </c>
      <c r="R581" s="324">
        <v>0</v>
      </c>
      <c r="S581" s="324">
        <v>0</v>
      </c>
      <c r="T581" s="324">
        <v>0</v>
      </c>
      <c r="U581" s="324">
        <v>0</v>
      </c>
      <c r="V581" s="309"/>
    </row>
    <row r="582" spans="1:22">
      <c r="A582" s="300" t="s">
        <v>575</v>
      </c>
      <c r="B582" s="50"/>
      <c r="C582" s="301">
        <v>0.54678842835532693</v>
      </c>
      <c r="D582" s="302">
        <v>0.52977554115839909</v>
      </c>
      <c r="E582" s="302">
        <v>0.49996706604461977</v>
      </c>
      <c r="F582" s="302">
        <v>0.52411090107469727</v>
      </c>
      <c r="G582" s="302">
        <v>0.54553198263190339</v>
      </c>
      <c r="H582" s="302">
        <v>0.59386850673022773</v>
      </c>
      <c r="I582" s="302">
        <v>5.935921682290006E-2</v>
      </c>
      <c r="J582" s="303">
        <v>0.52351601573943851</v>
      </c>
      <c r="K582" s="303">
        <v>0.37332125567385294</v>
      </c>
      <c r="L582" s="302">
        <v>0.33753441489843888</v>
      </c>
      <c r="M582" s="302">
        <v>0.34671842852088153</v>
      </c>
      <c r="N582" s="302">
        <v>0.37388748933151755</v>
      </c>
      <c r="O582" s="303">
        <v>0.35063770355488905</v>
      </c>
      <c r="P582" s="303">
        <v>0.46953342338489323</v>
      </c>
      <c r="Q582" s="302">
        <v>0.7482226289605991</v>
      </c>
      <c r="R582" s="303">
        <v>0.47641228314563677</v>
      </c>
      <c r="S582" s="303">
        <v>0</v>
      </c>
      <c r="T582" s="303">
        <v>0</v>
      </c>
      <c r="U582" s="303">
        <v>0.44943737642210113</v>
      </c>
      <c r="V582" s="309"/>
    </row>
    <row r="583" spans="1:22">
      <c r="A583" s="304" t="s">
        <v>576</v>
      </c>
      <c r="B583" s="305"/>
      <c r="C583" s="306">
        <v>0.48968236252250769</v>
      </c>
      <c r="D583" s="307">
        <v>0.47136847132227094</v>
      </c>
      <c r="E583" s="307">
        <v>0.46352118619598792</v>
      </c>
      <c r="F583" s="307">
        <v>0.45115670123787333</v>
      </c>
      <c r="G583" s="307">
        <v>0.50978450868032887</v>
      </c>
      <c r="H583" s="307">
        <v>0.48790351805611332</v>
      </c>
      <c r="I583" s="307">
        <v>3.7419441090402107E-2</v>
      </c>
      <c r="J583" s="308">
        <v>0.47024366889445551</v>
      </c>
      <c r="K583" s="308">
        <v>0.27033223670729467</v>
      </c>
      <c r="L583" s="307">
        <v>0.19921687147879977</v>
      </c>
      <c r="M583" s="307">
        <v>0.2914027588238855</v>
      </c>
      <c r="N583" s="307">
        <v>0.31749705961043095</v>
      </c>
      <c r="O583" s="308">
        <v>0.2450899849880287</v>
      </c>
      <c r="P583" s="308">
        <v>0.42708161160267538</v>
      </c>
      <c r="Q583" s="307">
        <v>0.62433427763076921</v>
      </c>
      <c r="R583" s="308">
        <v>0.43224293441349815</v>
      </c>
      <c r="S583" s="308">
        <v>0</v>
      </c>
      <c r="T583" s="308">
        <v>0</v>
      </c>
      <c r="U583" s="308">
        <v>0.37690992415367897</v>
      </c>
      <c r="V583" s="309"/>
    </row>
    <row r="584" spans="1:22">
      <c r="A584" s="304" t="s">
        <v>577</v>
      </c>
      <c r="B584" s="310"/>
      <c r="C584" s="311">
        <v>-5.7106065832819244</v>
      </c>
      <c r="D584" s="312">
        <v>-5.8407069836128143</v>
      </c>
      <c r="E584" s="312">
        <v>-3.6445879848631844</v>
      </c>
      <c r="F584" s="312">
        <v>-7.2954199836823941</v>
      </c>
      <c r="G584" s="312">
        <v>-3.5747473951574515</v>
      </c>
      <c r="H584" s="312">
        <v>-10.596498867411441</v>
      </c>
      <c r="I584" s="312">
        <v>-2.1939775732497955</v>
      </c>
      <c r="J584" s="314">
        <v>-5.3272346844982996</v>
      </c>
      <c r="K584" s="314">
        <v>-10.298901896655826</v>
      </c>
      <c r="L584" s="312">
        <v>-13.831754341963912</v>
      </c>
      <c r="M584" s="312">
        <v>-5.531566969699603</v>
      </c>
      <c r="N584" s="312">
        <v>-5.6390429721086601</v>
      </c>
      <c r="O584" s="314">
        <v>-10.554771856686035</v>
      </c>
      <c r="P584" s="314">
        <v>-4.2451811782217854</v>
      </c>
      <c r="Q584" s="312">
        <v>-12.38883513298299</v>
      </c>
      <c r="R584" s="314">
        <v>-4.4169348732138625</v>
      </c>
      <c r="S584" s="314">
        <v>0</v>
      </c>
      <c r="T584" s="314">
        <v>0</v>
      </c>
      <c r="U584" s="314">
        <v>-7.252745226842217</v>
      </c>
      <c r="V584" s="309"/>
    </row>
    <row r="585" spans="1:22">
      <c r="A585" s="304" t="s">
        <v>578</v>
      </c>
      <c r="B585" s="50"/>
      <c r="C585" s="301">
        <v>9.870806574093071E-3</v>
      </c>
      <c r="D585" s="302">
        <v>1.2842763620524125E-2</v>
      </c>
      <c r="E585" s="302">
        <v>2.1280773812352292E-2</v>
      </c>
      <c r="F585" s="302">
        <v>1.7898154756206021E-2</v>
      </c>
      <c r="G585" s="302">
        <v>1.2607788548165308E-2</v>
      </c>
      <c r="H585" s="302">
        <v>2.9308363959888655E-2</v>
      </c>
      <c r="I585" s="302">
        <v>3.9040982718029513E-2</v>
      </c>
      <c r="J585" s="303">
        <v>1.5063527675119037E-2</v>
      </c>
      <c r="K585" s="303">
        <v>2.6406834595500715E-2</v>
      </c>
      <c r="L585" s="302">
        <v>7.4737473376801866E-2</v>
      </c>
      <c r="M585" s="302">
        <v>0.10000968883546806</v>
      </c>
      <c r="N585" s="302">
        <v>8.5141229992153247E-2</v>
      </c>
      <c r="O585" s="303">
        <v>7.0657088271659105E-2</v>
      </c>
      <c r="P585" s="303">
        <v>4.4435137037161232E-3</v>
      </c>
      <c r="Q585" s="302">
        <v>0.12329794503424943</v>
      </c>
      <c r="R585" s="303">
        <v>7.3771865862977178E-3</v>
      </c>
      <c r="S585" s="303">
        <v>0</v>
      </c>
      <c r="T585" s="303">
        <v>0</v>
      </c>
      <c r="U585" s="303">
        <v>3.8332039395811049E-2</v>
      </c>
      <c r="V585" s="309"/>
    </row>
    <row r="586" spans="1:22">
      <c r="A586" s="304" t="s">
        <v>579</v>
      </c>
      <c r="B586" s="305"/>
      <c r="C586" s="306">
        <v>7.8226620597816963E-3</v>
      </c>
      <c r="D586" s="307">
        <v>1.1563889301526383E-2</v>
      </c>
      <c r="E586" s="307">
        <v>2.041803408745671E-2</v>
      </c>
      <c r="F586" s="307">
        <v>1.5527912027026814E-2</v>
      </c>
      <c r="G586" s="307">
        <v>9.9244730275109862E-3</v>
      </c>
      <c r="H586" s="307">
        <v>2.4341518409227068E-2</v>
      </c>
      <c r="I586" s="307">
        <v>1.9735208673305901E-2</v>
      </c>
      <c r="J586" s="308">
        <v>1.294387291569127E-2</v>
      </c>
      <c r="K586" s="308">
        <v>2.5478826049847681E-2</v>
      </c>
      <c r="L586" s="307">
        <v>6.4405784279186709E-2</v>
      </c>
      <c r="M586" s="307">
        <v>8.9800799951910745E-2</v>
      </c>
      <c r="N586" s="307">
        <v>8.2703782101975737E-2</v>
      </c>
      <c r="O586" s="308">
        <v>6.3157101952106623E-2</v>
      </c>
      <c r="P586" s="308">
        <v>6.0665240729291256E-3</v>
      </c>
      <c r="Q586" s="307">
        <v>0.21571832328804438</v>
      </c>
      <c r="R586" s="308">
        <v>1.1552283203124566E-2</v>
      </c>
      <c r="S586" s="308">
        <v>0</v>
      </c>
      <c r="T586" s="308">
        <v>0</v>
      </c>
      <c r="U586" s="308">
        <v>3.3526284454852756E-2</v>
      </c>
      <c r="V586" s="309"/>
    </row>
    <row r="587" spans="1:22">
      <c r="A587" s="304" t="s">
        <v>580</v>
      </c>
      <c r="B587" s="310"/>
      <c r="C587" s="311">
        <v>-0.20481445143113747</v>
      </c>
      <c r="D587" s="312">
        <v>-0.12788743189977425</v>
      </c>
      <c r="E587" s="312">
        <v>-8.6273972489558232E-2</v>
      </c>
      <c r="F587" s="312">
        <v>-0.23702427291792064</v>
      </c>
      <c r="G587" s="312">
        <v>-0.26833155206543219</v>
      </c>
      <c r="H587" s="312">
        <v>-0.49668455506615866</v>
      </c>
      <c r="I587" s="312">
        <v>-1.9305774044723611</v>
      </c>
      <c r="J587" s="314">
        <v>-0.21196547594277676</v>
      </c>
      <c r="K587" s="314">
        <v>-9.2800854565303417E-2</v>
      </c>
      <c r="L587" s="312">
        <v>-1.0331689097615158</v>
      </c>
      <c r="M587" s="312">
        <v>-1.020888888355731</v>
      </c>
      <c r="N587" s="312">
        <v>-0.24374478901775104</v>
      </c>
      <c r="O587" s="314">
        <v>-0.74999863195524819</v>
      </c>
      <c r="P587" s="314">
        <v>0.16230103692130024</v>
      </c>
      <c r="Q587" s="312">
        <v>9.2420378253794961</v>
      </c>
      <c r="R587" s="314">
        <v>0.41750966168268477</v>
      </c>
      <c r="S587" s="314">
        <v>0</v>
      </c>
      <c r="T587" s="314">
        <v>0</v>
      </c>
      <c r="U587" s="314">
        <v>-0.48057549409582928</v>
      </c>
      <c r="V587" s="309"/>
    </row>
    <row r="588" spans="1:22">
      <c r="A588" s="304" t="s">
        <v>581</v>
      </c>
      <c r="B588" s="50"/>
      <c r="C588" s="301">
        <v>0.40626102371592149</v>
      </c>
      <c r="D588" s="302">
        <v>0.44692631980883335</v>
      </c>
      <c r="E588" s="302">
        <v>0.46131815095043222</v>
      </c>
      <c r="F588" s="302">
        <v>0.45009515409860185</v>
      </c>
      <c r="G588" s="302">
        <v>0.40924988879631324</v>
      </c>
      <c r="H588" s="302">
        <v>0.37546903148764665</v>
      </c>
      <c r="I588" s="302">
        <v>0.89844987428710954</v>
      </c>
      <c r="J588" s="303">
        <v>0.43675160743136704</v>
      </c>
      <c r="K588" s="303">
        <v>0.49326954129252826</v>
      </c>
      <c r="L588" s="302">
        <v>0.57620359788049624</v>
      </c>
      <c r="M588" s="302">
        <v>0.52461195744249678</v>
      </c>
      <c r="N588" s="302">
        <v>0.5205696076024785</v>
      </c>
      <c r="O588" s="303">
        <v>0.54178763501942906</v>
      </c>
      <c r="P588" s="303">
        <v>0.51813271541680894</v>
      </c>
      <c r="Q588" s="302">
        <v>0.12847942600515158</v>
      </c>
      <c r="R588" s="303">
        <v>0.50851493948738902</v>
      </c>
      <c r="S588" s="303">
        <v>0</v>
      </c>
      <c r="T588" s="303">
        <v>0</v>
      </c>
      <c r="U588" s="303">
        <v>0.48280540345216927</v>
      </c>
      <c r="V588" s="309"/>
    </row>
    <row r="589" spans="1:22">
      <c r="A589" s="304" t="s">
        <v>582</v>
      </c>
      <c r="B589" s="305"/>
      <c r="C589" s="306">
        <v>0.45438442720500288</v>
      </c>
      <c r="D589" s="307">
        <v>0.50731237850337485</v>
      </c>
      <c r="E589" s="307">
        <v>0.49977747115596388</v>
      </c>
      <c r="F589" s="307">
        <v>0.5284736725952639</v>
      </c>
      <c r="G589" s="307">
        <v>0.45231248885289282</v>
      </c>
      <c r="H589" s="307">
        <v>0.46914318146121409</v>
      </c>
      <c r="I589" s="307">
        <v>0.93792321942793355</v>
      </c>
      <c r="J589" s="308">
        <v>0.48710506096689155</v>
      </c>
      <c r="K589" s="308">
        <v>0.54378578908074071</v>
      </c>
      <c r="L589" s="307">
        <v>0.70650137867400109</v>
      </c>
      <c r="M589" s="307">
        <v>0.57912222315565376</v>
      </c>
      <c r="N589" s="307">
        <v>0.57148112530140149</v>
      </c>
      <c r="O589" s="308">
        <v>0.63178028038271361</v>
      </c>
      <c r="P589" s="308">
        <v>0.55325490870297944</v>
      </c>
      <c r="Q589" s="307">
        <v>0.15994739908118649</v>
      </c>
      <c r="R589" s="308">
        <v>0.54296360536115418</v>
      </c>
      <c r="S589" s="308">
        <v>0</v>
      </c>
      <c r="T589" s="308">
        <v>0</v>
      </c>
      <c r="U589" s="308">
        <v>0.54781917038938988</v>
      </c>
      <c r="V589" s="309"/>
    </row>
    <row r="590" spans="1:22">
      <c r="A590" s="304" t="s">
        <v>583</v>
      </c>
      <c r="B590" s="310"/>
      <c r="C590" s="311">
        <v>4.8123403489081396</v>
      </c>
      <c r="D590" s="312">
        <v>6.03860586945415</v>
      </c>
      <c r="E590" s="312">
        <v>3.8459320205531666</v>
      </c>
      <c r="F590" s="312">
        <v>7.8378518496662055</v>
      </c>
      <c r="G590" s="312">
        <v>4.3062600056579576</v>
      </c>
      <c r="H590" s="312">
        <v>9.3674149973567431</v>
      </c>
      <c r="I590" s="312">
        <v>3.9473345140824012</v>
      </c>
      <c r="J590" s="314">
        <v>5.0353453535524508</v>
      </c>
      <c r="K590" s="314">
        <v>5.0516247788212452</v>
      </c>
      <c r="L590" s="312">
        <v>13.029778079350486</v>
      </c>
      <c r="M590" s="312">
        <v>5.4510265713156976</v>
      </c>
      <c r="N590" s="312">
        <v>5.0911517698922992</v>
      </c>
      <c r="O590" s="314">
        <v>8.9992645363284556</v>
      </c>
      <c r="P590" s="314">
        <v>3.51221932861705</v>
      </c>
      <c r="Q590" s="312">
        <v>3.146797307603491</v>
      </c>
      <c r="R590" s="314">
        <v>3.4448665873765161</v>
      </c>
      <c r="S590" s="314">
        <v>0</v>
      </c>
      <c r="T590" s="314">
        <v>0</v>
      </c>
      <c r="U590" s="314">
        <v>6.5013766937220607</v>
      </c>
      <c r="V590" s="309"/>
    </row>
    <row r="591" spans="1:22">
      <c r="A591" s="304" t="s">
        <v>584</v>
      </c>
      <c r="B591" s="50"/>
      <c r="C591" s="301">
        <v>3.406909891135753E-2</v>
      </c>
      <c r="D591" s="302">
        <v>3.9090918704219385E-3</v>
      </c>
      <c r="E591" s="302">
        <v>3.2205628654169167E-3</v>
      </c>
      <c r="F591" s="302">
        <v>7.4712554220921351E-3</v>
      </c>
      <c r="G591" s="302">
        <v>2.7415377945768728E-2</v>
      </c>
      <c r="H591" s="302">
        <v>1.3540978222369435E-3</v>
      </c>
      <c r="I591" s="302">
        <v>3.1499261719609211E-3</v>
      </c>
      <c r="J591" s="303">
        <v>1.8572812853928405E-2</v>
      </c>
      <c r="K591" s="303">
        <v>0.10617405925306669</v>
      </c>
      <c r="L591" s="302">
        <v>5.6749984886039235E-3</v>
      </c>
      <c r="M591" s="302">
        <v>1.6887104591950784E-2</v>
      </c>
      <c r="N591" s="302">
        <v>1.4780341807676093E-2</v>
      </c>
      <c r="O591" s="303">
        <v>3.0888481874024015E-2</v>
      </c>
      <c r="P591" s="303">
        <v>7.8903474945816333E-3</v>
      </c>
      <c r="Q591" s="302">
        <v>0</v>
      </c>
      <c r="R591" s="303">
        <v>7.6955907806764857E-3</v>
      </c>
      <c r="S591" s="303">
        <v>0</v>
      </c>
      <c r="T591" s="303">
        <v>0</v>
      </c>
      <c r="U591" s="303">
        <v>2.3505137343058351E-2</v>
      </c>
      <c r="V591" s="309"/>
    </row>
    <row r="592" spans="1:22">
      <c r="A592" s="304" t="s">
        <v>585</v>
      </c>
      <c r="B592" s="305"/>
      <c r="C592" s="306">
        <v>4.4771467610957946E-2</v>
      </c>
      <c r="D592" s="307">
        <v>3.1350240069942478E-3</v>
      </c>
      <c r="E592" s="307">
        <v>3.2618487886366477E-3</v>
      </c>
      <c r="F592" s="307">
        <v>4.3324846922983308E-3</v>
      </c>
      <c r="G592" s="307">
        <v>2.5342359963205958E-2</v>
      </c>
      <c r="H592" s="307">
        <v>2.9149815372647866E-3</v>
      </c>
      <c r="I592" s="307">
        <v>4.9221308083583918E-3</v>
      </c>
      <c r="J592" s="308">
        <v>2.3412785345937853E-2</v>
      </c>
      <c r="K592" s="308">
        <v>0.15541719206319132</v>
      </c>
      <c r="L592" s="307">
        <v>7.9828906814310187E-3</v>
      </c>
      <c r="M592" s="307">
        <v>1.6237214293345622E-2</v>
      </c>
      <c r="N592" s="307">
        <v>1.3074098353544327E-2</v>
      </c>
      <c r="O592" s="308">
        <v>4.1983422104360839E-2</v>
      </c>
      <c r="P592" s="308">
        <v>1.3596955621416143E-2</v>
      </c>
      <c r="Q592" s="307">
        <v>0</v>
      </c>
      <c r="R592" s="308">
        <v>1.3241177022223143E-2</v>
      </c>
      <c r="S592" s="308">
        <v>0</v>
      </c>
      <c r="T592" s="308">
        <v>0</v>
      </c>
      <c r="U592" s="308">
        <v>3.0797178043139545E-2</v>
      </c>
      <c r="V592" s="309"/>
    </row>
    <row r="593" spans="1:22">
      <c r="A593" s="304" t="s">
        <v>586</v>
      </c>
      <c r="B593" s="310"/>
      <c r="C593" s="311">
        <v>1.0702368699600415</v>
      </c>
      <c r="D593" s="312">
        <v>-7.7406786342769068E-2</v>
      </c>
      <c r="E593" s="312">
        <v>4.1285923219730979E-3</v>
      </c>
      <c r="F593" s="312">
        <v>-0.31387707297938044</v>
      </c>
      <c r="G593" s="312">
        <v>-0.20730179825627706</v>
      </c>
      <c r="H593" s="312">
        <v>0.15608837150278429</v>
      </c>
      <c r="I593" s="312">
        <v>0.17722046363974706</v>
      </c>
      <c r="J593" s="314">
        <v>0.48399724920094483</v>
      </c>
      <c r="K593" s="314">
        <v>4.9243132810124628</v>
      </c>
      <c r="L593" s="312">
        <v>0.23078921928270951</v>
      </c>
      <c r="M593" s="312">
        <v>-6.4989029860516162E-2</v>
      </c>
      <c r="N593" s="312">
        <v>-0.17062434541317667</v>
      </c>
      <c r="O593" s="314">
        <v>1.1094940230336823</v>
      </c>
      <c r="P593" s="314">
        <v>0.57066081268345104</v>
      </c>
      <c r="Q593" s="312">
        <v>0</v>
      </c>
      <c r="R593" s="314">
        <v>0.55455862415466572</v>
      </c>
      <c r="S593" s="314">
        <v>0</v>
      </c>
      <c r="T593" s="314">
        <v>0</v>
      </c>
      <c r="U593" s="314">
        <v>0.72920407000811938</v>
      </c>
      <c r="V593" s="309"/>
    </row>
    <row r="594" spans="1:22">
      <c r="A594" s="304" t="s">
        <v>587</v>
      </c>
      <c r="B594" s="50"/>
      <c r="C594" s="301">
        <v>2.5392604695709817E-3</v>
      </c>
      <c r="D594" s="302">
        <v>5.7726318505153182E-3</v>
      </c>
      <c r="E594" s="302">
        <v>1.3875875453879506E-2</v>
      </c>
      <c r="F594" s="302">
        <v>2.9766467562546362E-4</v>
      </c>
      <c r="G594" s="302">
        <v>5.1949620778493546E-3</v>
      </c>
      <c r="H594" s="302">
        <v>0</v>
      </c>
      <c r="I594" s="302">
        <v>0</v>
      </c>
      <c r="J594" s="303">
        <v>5.6924409261667978E-3</v>
      </c>
      <c r="K594" s="303">
        <v>4.7559302704622736E-4</v>
      </c>
      <c r="L594" s="302">
        <v>5.7974103197073997E-3</v>
      </c>
      <c r="M594" s="302">
        <v>1.157919508541488E-2</v>
      </c>
      <c r="N594" s="302">
        <v>5.5315344785303536E-3</v>
      </c>
      <c r="O594" s="303">
        <v>5.8769933203011906E-3</v>
      </c>
      <c r="P594" s="303">
        <v>0</v>
      </c>
      <c r="Q594" s="302">
        <v>0</v>
      </c>
      <c r="R594" s="303">
        <v>0</v>
      </c>
      <c r="S594" s="303">
        <v>0</v>
      </c>
      <c r="T594" s="303">
        <v>0</v>
      </c>
      <c r="U594" s="303">
        <v>5.6323361319449688E-3</v>
      </c>
      <c r="V594" s="309"/>
    </row>
    <row r="595" spans="1:22">
      <c r="A595" s="304" t="s">
        <v>588</v>
      </c>
      <c r="B595" s="305"/>
      <c r="C595" s="306">
        <v>2.8965882739572916E-3</v>
      </c>
      <c r="D595" s="307">
        <v>5.9266655538216259E-3</v>
      </c>
      <c r="E595" s="307">
        <v>1.2685564938877016E-2</v>
      </c>
      <c r="F595" s="307">
        <v>3.4964697982335207E-4</v>
      </c>
      <c r="G595" s="307">
        <v>2.6361694760613165E-3</v>
      </c>
      <c r="H595" s="307">
        <v>1.5696800536180722E-2</v>
      </c>
      <c r="I595" s="307">
        <v>0</v>
      </c>
      <c r="J595" s="308">
        <v>5.9105099504444467E-3</v>
      </c>
      <c r="K595" s="308">
        <v>4.4995126656446798E-3</v>
      </c>
      <c r="L595" s="307">
        <v>2.1847249983109752E-2</v>
      </c>
      <c r="M595" s="307">
        <v>2.3131125342715088E-2</v>
      </c>
      <c r="N595" s="307">
        <v>1.5171445034476795E-2</v>
      </c>
      <c r="O595" s="308">
        <v>1.778980638472559E-2</v>
      </c>
      <c r="P595" s="308">
        <v>0</v>
      </c>
      <c r="Q595" s="307">
        <v>0</v>
      </c>
      <c r="R595" s="308">
        <v>0</v>
      </c>
      <c r="S595" s="308">
        <v>0</v>
      </c>
      <c r="T595" s="308">
        <v>0</v>
      </c>
      <c r="U595" s="308">
        <v>1.0648226641068535E-2</v>
      </c>
      <c r="V595" s="309"/>
    </row>
    <row r="596" spans="1:22">
      <c r="A596" s="304" t="s">
        <v>589</v>
      </c>
      <c r="B596" s="310"/>
      <c r="C596" s="311">
        <v>3.5732780438630991E-2</v>
      </c>
      <c r="D596" s="312">
        <v>1.5403370330630776E-2</v>
      </c>
      <c r="E596" s="312">
        <v>-0.11903105150024904</v>
      </c>
      <c r="F596" s="312">
        <v>5.1982304197888459E-3</v>
      </c>
      <c r="G596" s="312">
        <v>-0.2558792601788038</v>
      </c>
      <c r="H596" s="312">
        <v>0</v>
      </c>
      <c r="I596" s="312">
        <v>0</v>
      </c>
      <c r="J596" s="314">
        <v>2.1806902427764889E-2</v>
      </c>
      <c r="K596" s="314">
        <v>0.40239196385984527</v>
      </c>
      <c r="L596" s="312">
        <v>1.6049839663402354</v>
      </c>
      <c r="M596" s="312">
        <v>1.1551930257300207</v>
      </c>
      <c r="N596" s="312">
        <v>0.96399105559464415</v>
      </c>
      <c r="O596" s="314">
        <v>1.1912813064424399</v>
      </c>
      <c r="P596" s="314">
        <v>0</v>
      </c>
      <c r="Q596" s="312">
        <v>0</v>
      </c>
      <c r="R596" s="314">
        <v>0</v>
      </c>
      <c r="S596" s="314">
        <v>0</v>
      </c>
      <c r="T596" s="314">
        <v>0</v>
      </c>
      <c r="U596" s="314">
        <v>0.50158905091235662</v>
      </c>
      <c r="V596" s="309"/>
    </row>
    <row r="597" spans="1:22">
      <c r="A597" s="304" t="s">
        <v>590</v>
      </c>
      <c r="B597" s="50"/>
      <c r="C597" s="301">
        <v>4.7138197372997723E-4</v>
      </c>
      <c r="D597" s="302">
        <v>7.7365169130617667E-4</v>
      </c>
      <c r="E597" s="302">
        <v>3.375708732993014E-4</v>
      </c>
      <c r="F597" s="302">
        <v>1.2686997277732871E-4</v>
      </c>
      <c r="G597" s="302">
        <v>0</v>
      </c>
      <c r="H597" s="302">
        <v>0</v>
      </c>
      <c r="I597" s="302">
        <v>0</v>
      </c>
      <c r="J597" s="303">
        <v>4.0359537398024665E-4</v>
      </c>
      <c r="K597" s="303">
        <v>3.5271615800514655E-4</v>
      </c>
      <c r="L597" s="302">
        <v>5.2105035951724735E-5</v>
      </c>
      <c r="M597" s="302">
        <v>1.9362552378781889E-4</v>
      </c>
      <c r="N597" s="302">
        <v>8.9796787644276182E-5</v>
      </c>
      <c r="O597" s="303">
        <v>1.5209795969768245E-4</v>
      </c>
      <c r="P597" s="303">
        <v>0</v>
      </c>
      <c r="Q597" s="302">
        <v>0</v>
      </c>
      <c r="R597" s="303">
        <v>0</v>
      </c>
      <c r="S597" s="303">
        <v>0</v>
      </c>
      <c r="T597" s="303">
        <v>0</v>
      </c>
      <c r="U597" s="303">
        <v>2.8770725491527579E-4</v>
      </c>
      <c r="V597" s="309"/>
    </row>
    <row r="598" spans="1:22">
      <c r="A598" s="304" t="s">
        <v>591</v>
      </c>
      <c r="B598" s="305"/>
      <c r="C598" s="306">
        <v>4.4249232779249237E-4</v>
      </c>
      <c r="D598" s="307">
        <v>6.9357131201197098E-4</v>
      </c>
      <c r="E598" s="307">
        <v>3.3589483307787453E-4</v>
      </c>
      <c r="F598" s="307">
        <v>1.5958246771424786E-4</v>
      </c>
      <c r="G598" s="307">
        <v>0</v>
      </c>
      <c r="H598" s="307">
        <v>0</v>
      </c>
      <c r="I598" s="307">
        <v>0</v>
      </c>
      <c r="J598" s="308">
        <v>3.8410192657933445E-4</v>
      </c>
      <c r="K598" s="308">
        <v>4.8644343328092734E-4</v>
      </c>
      <c r="L598" s="307">
        <v>4.5824903471605391E-5</v>
      </c>
      <c r="M598" s="307">
        <v>3.0587843248926021E-4</v>
      </c>
      <c r="N598" s="307">
        <v>7.2489598170750674E-5</v>
      </c>
      <c r="O598" s="308">
        <v>1.9940418806469392E-4</v>
      </c>
      <c r="P598" s="308">
        <v>0</v>
      </c>
      <c r="Q598" s="307">
        <v>0</v>
      </c>
      <c r="R598" s="308">
        <v>0</v>
      </c>
      <c r="S598" s="308">
        <v>0</v>
      </c>
      <c r="T598" s="308">
        <v>0</v>
      </c>
      <c r="U598" s="308">
        <v>2.9921631787025496E-4</v>
      </c>
      <c r="V598" s="309"/>
    </row>
    <row r="599" spans="1:22" ht="15.75" thickBot="1">
      <c r="A599" s="304" t="s">
        <v>592</v>
      </c>
      <c r="B599" s="316"/>
      <c r="C599" s="317">
        <v>-2.8889645937484856E-3</v>
      </c>
      <c r="D599" s="318">
        <v>-8.0080379294205691E-3</v>
      </c>
      <c r="E599" s="318">
        <v>-1.6760402214268722E-4</v>
      </c>
      <c r="F599" s="318">
        <v>3.271249493691915E-3</v>
      </c>
      <c r="G599" s="318">
        <v>0</v>
      </c>
      <c r="H599" s="318">
        <v>0</v>
      </c>
      <c r="I599" s="318">
        <v>0</v>
      </c>
      <c r="J599" s="319">
        <v>-1.9493447400912201E-3</v>
      </c>
      <c r="K599" s="319">
        <v>1.3372727527578078E-2</v>
      </c>
      <c r="L599" s="318">
        <v>-6.2801324801193441E-4</v>
      </c>
      <c r="M599" s="318">
        <v>1.1225290870144133E-2</v>
      </c>
      <c r="N599" s="318">
        <v>-1.7307189473525508E-3</v>
      </c>
      <c r="O599" s="319">
        <v>4.730622836701147E-3</v>
      </c>
      <c r="P599" s="319">
        <v>0</v>
      </c>
      <c r="Q599" s="318">
        <v>0</v>
      </c>
      <c r="R599" s="319">
        <v>0</v>
      </c>
      <c r="S599" s="319">
        <v>0</v>
      </c>
      <c r="T599" s="319">
        <v>0</v>
      </c>
      <c r="U599" s="319">
        <v>1.1509062954979162E-3</v>
      </c>
      <c r="V599" s="309"/>
    </row>
    <row r="600" spans="1:22" ht="15.75" thickTop="1">
      <c r="A600" s="304" t="s">
        <v>593</v>
      </c>
      <c r="B600" s="305"/>
      <c r="C600" s="306">
        <v>0.53642747094553911</v>
      </c>
      <c r="D600" s="307">
        <v>0.40294586622865058</v>
      </c>
      <c r="E600" s="307">
        <v>0.2459782377680467</v>
      </c>
      <c r="F600" s="307">
        <v>0.33703825663097364</v>
      </c>
      <c r="G600" s="307">
        <v>0.24897995996570024</v>
      </c>
      <c r="H600" s="307">
        <v>0.31863096090505516</v>
      </c>
      <c r="I600" s="307">
        <v>0.29551765400430824</v>
      </c>
      <c r="J600" s="308">
        <v>0.42320380025850818</v>
      </c>
      <c r="K600" s="308">
        <v>0</v>
      </c>
      <c r="L600" s="307">
        <v>0</v>
      </c>
      <c r="M600" s="307">
        <v>0</v>
      </c>
      <c r="N600" s="307">
        <v>0</v>
      </c>
      <c r="O600" s="308">
        <v>0</v>
      </c>
      <c r="P600" s="308">
        <v>0</v>
      </c>
      <c r="Q600" s="307">
        <v>0</v>
      </c>
      <c r="R600" s="308">
        <v>0</v>
      </c>
      <c r="S600" s="308">
        <v>0</v>
      </c>
      <c r="T600" s="308">
        <v>0</v>
      </c>
      <c r="U600" s="308">
        <v>0.42320380025850818</v>
      </c>
      <c r="V600" s="309"/>
    </row>
    <row r="601" spans="1:22">
      <c r="A601" s="304" t="s">
        <v>594</v>
      </c>
      <c r="B601" s="305"/>
      <c r="C601" s="306">
        <v>0.508340199057562</v>
      </c>
      <c r="D601" s="307">
        <v>0.39371146130722789</v>
      </c>
      <c r="E601" s="307">
        <v>0.23106989440928072</v>
      </c>
      <c r="F601" s="307">
        <v>0.34041700592045371</v>
      </c>
      <c r="G601" s="307">
        <v>0.20234888047672997</v>
      </c>
      <c r="H601" s="307">
        <v>0.12154559505409583</v>
      </c>
      <c r="I601" s="307">
        <v>0.12944434371239719</v>
      </c>
      <c r="J601" s="308">
        <v>0.39824232465579873</v>
      </c>
      <c r="K601" s="308">
        <v>0</v>
      </c>
      <c r="L601" s="307">
        <v>0</v>
      </c>
      <c r="M601" s="307">
        <v>0</v>
      </c>
      <c r="N601" s="307">
        <v>0</v>
      </c>
      <c r="O601" s="308">
        <v>0</v>
      </c>
      <c r="P601" s="308">
        <v>0</v>
      </c>
      <c r="Q601" s="307">
        <v>0</v>
      </c>
      <c r="R601" s="308">
        <v>0</v>
      </c>
      <c r="S601" s="308">
        <v>0</v>
      </c>
      <c r="T601" s="308">
        <v>0</v>
      </c>
      <c r="U601" s="308">
        <v>0.39824232465579873</v>
      </c>
      <c r="V601" s="309"/>
    </row>
    <row r="602" spans="1:22">
      <c r="A602" s="304" t="s">
        <v>595</v>
      </c>
      <c r="B602" s="310"/>
      <c r="C602" s="311">
        <v>-2.8087271887977106</v>
      </c>
      <c r="D602" s="312">
        <v>-0.92344049214226898</v>
      </c>
      <c r="E602" s="312">
        <v>-1.4908343358765981</v>
      </c>
      <c r="F602" s="312">
        <v>0.33787492894800653</v>
      </c>
      <c r="G602" s="312">
        <v>-4.6631079488970268</v>
      </c>
      <c r="H602" s="312">
        <v>-19.708536585095931</v>
      </c>
      <c r="I602" s="312">
        <v>-16.607331029191105</v>
      </c>
      <c r="J602" s="314">
        <v>-2.4961475602709449</v>
      </c>
      <c r="K602" s="314">
        <v>0</v>
      </c>
      <c r="L602" s="312">
        <v>0</v>
      </c>
      <c r="M602" s="312">
        <v>0</v>
      </c>
      <c r="N602" s="312">
        <v>0</v>
      </c>
      <c r="O602" s="314">
        <v>0</v>
      </c>
      <c r="P602" s="314">
        <v>0</v>
      </c>
      <c r="Q602" s="312">
        <v>0</v>
      </c>
      <c r="R602" s="314">
        <v>0</v>
      </c>
      <c r="S602" s="314">
        <v>0</v>
      </c>
      <c r="T602" s="314">
        <v>0</v>
      </c>
      <c r="U602" s="314">
        <v>-2.4961475602709449</v>
      </c>
      <c r="V602" s="309"/>
    </row>
    <row r="603" spans="1:22">
      <c r="A603" s="304" t="s">
        <v>596</v>
      </c>
      <c r="B603" s="50"/>
      <c r="C603" s="301">
        <v>4.0628508719040578E-2</v>
      </c>
      <c r="D603" s="302">
        <v>2.875312552232024E-2</v>
      </c>
      <c r="E603" s="302">
        <v>2.8145683550156259E-2</v>
      </c>
      <c r="F603" s="302">
        <v>3.0130514857904144E-2</v>
      </c>
      <c r="G603" s="302">
        <v>2.8504582944634475E-2</v>
      </c>
      <c r="H603" s="302">
        <v>8.592295574967778E-3</v>
      </c>
      <c r="I603" s="302">
        <v>6.9428185502026105E-2</v>
      </c>
      <c r="J603" s="303">
        <v>3.6274030125653042E-2</v>
      </c>
      <c r="K603" s="303">
        <v>0</v>
      </c>
      <c r="L603" s="302">
        <v>0</v>
      </c>
      <c r="M603" s="302">
        <v>0</v>
      </c>
      <c r="N603" s="302">
        <v>0</v>
      </c>
      <c r="O603" s="303">
        <v>0</v>
      </c>
      <c r="P603" s="303">
        <v>0</v>
      </c>
      <c r="Q603" s="302">
        <v>0</v>
      </c>
      <c r="R603" s="303">
        <v>0</v>
      </c>
      <c r="S603" s="303">
        <v>0</v>
      </c>
      <c r="T603" s="303">
        <v>0</v>
      </c>
      <c r="U603" s="303">
        <v>3.6274030125653042E-2</v>
      </c>
      <c r="V603" s="309"/>
    </row>
    <row r="604" spans="1:22">
      <c r="A604" s="304" t="s">
        <v>597</v>
      </c>
      <c r="B604" s="305"/>
      <c r="C604" s="306">
        <v>3.9103792250296622E-2</v>
      </c>
      <c r="D604" s="307">
        <v>2.6837351613243125E-2</v>
      </c>
      <c r="E604" s="307">
        <v>2.7999659776590611E-2</v>
      </c>
      <c r="F604" s="307">
        <v>2.5199075383367665E-2</v>
      </c>
      <c r="G604" s="307">
        <v>1.6906827664336439E-2</v>
      </c>
      <c r="H604" s="307">
        <v>7.2333848531684697E-3</v>
      </c>
      <c r="I604" s="307">
        <v>3.8264624919643296E-2</v>
      </c>
      <c r="J604" s="308">
        <v>3.3305115362391835E-2</v>
      </c>
      <c r="K604" s="308">
        <v>0</v>
      </c>
      <c r="L604" s="307">
        <v>0</v>
      </c>
      <c r="M604" s="307">
        <v>0</v>
      </c>
      <c r="N604" s="307">
        <v>0</v>
      </c>
      <c r="O604" s="308">
        <v>0</v>
      </c>
      <c r="P604" s="308">
        <v>0</v>
      </c>
      <c r="Q604" s="307">
        <v>0</v>
      </c>
      <c r="R604" s="308">
        <v>0</v>
      </c>
      <c r="S604" s="308">
        <v>0</v>
      </c>
      <c r="T604" s="308">
        <v>0</v>
      </c>
      <c r="U604" s="308">
        <v>3.3305115362391835E-2</v>
      </c>
      <c r="V604" s="309"/>
    </row>
    <row r="605" spans="1:22">
      <c r="A605" s="304" t="s">
        <v>598</v>
      </c>
      <c r="B605" s="310"/>
      <c r="C605" s="311">
        <v>-0.15247164687439557</v>
      </c>
      <c r="D605" s="312">
        <v>-0.19157739090771148</v>
      </c>
      <c r="E605" s="312">
        <v>-1.4602377356564764E-2</v>
      </c>
      <c r="F605" s="312">
        <v>-0.49314394745364787</v>
      </c>
      <c r="G605" s="312">
        <v>-1.1597755280298037</v>
      </c>
      <c r="H605" s="312">
        <v>-0.13589107217993082</v>
      </c>
      <c r="I605" s="312">
        <v>-3.116356058238281</v>
      </c>
      <c r="J605" s="314">
        <v>-0.29689147632612073</v>
      </c>
      <c r="K605" s="314">
        <v>0</v>
      </c>
      <c r="L605" s="312">
        <v>0</v>
      </c>
      <c r="M605" s="312">
        <v>0</v>
      </c>
      <c r="N605" s="312">
        <v>0</v>
      </c>
      <c r="O605" s="314">
        <v>0</v>
      </c>
      <c r="P605" s="314">
        <v>0</v>
      </c>
      <c r="Q605" s="312">
        <v>0</v>
      </c>
      <c r="R605" s="314">
        <v>0</v>
      </c>
      <c r="S605" s="314">
        <v>0</v>
      </c>
      <c r="T605" s="314">
        <v>0</v>
      </c>
      <c r="U605" s="314">
        <v>-0.29689147632612073</v>
      </c>
      <c r="V605" s="309"/>
    </row>
    <row r="606" spans="1:22">
      <c r="A606" s="304" t="s">
        <v>599</v>
      </c>
      <c r="B606" s="50"/>
      <c r="C606" s="301">
        <v>0.38845057915211922</v>
      </c>
      <c r="D606" s="302">
        <v>0.55740525056026513</v>
      </c>
      <c r="E606" s="302">
        <v>0.71159777779664968</v>
      </c>
      <c r="F606" s="302">
        <v>0.62619350880567859</v>
      </c>
      <c r="G606" s="302">
        <v>0.70236369290165213</v>
      </c>
      <c r="H606" s="302">
        <v>0.67277674351997707</v>
      </c>
      <c r="I606" s="302">
        <v>0.5842718552257683</v>
      </c>
      <c r="J606" s="303">
        <v>0.5156734191485346</v>
      </c>
      <c r="K606" s="303">
        <v>0</v>
      </c>
      <c r="L606" s="302">
        <v>0</v>
      </c>
      <c r="M606" s="302">
        <v>0</v>
      </c>
      <c r="N606" s="302">
        <v>0</v>
      </c>
      <c r="O606" s="303">
        <v>0</v>
      </c>
      <c r="P606" s="303">
        <v>0</v>
      </c>
      <c r="Q606" s="302">
        <v>0</v>
      </c>
      <c r="R606" s="303">
        <v>0</v>
      </c>
      <c r="S606" s="303">
        <v>0</v>
      </c>
      <c r="T606" s="303">
        <v>0</v>
      </c>
      <c r="U606" s="303">
        <v>0.5156734191485346</v>
      </c>
      <c r="V606" s="309"/>
    </row>
    <row r="607" spans="1:22">
      <c r="A607" s="304" t="s">
        <v>600</v>
      </c>
      <c r="B607" s="305"/>
      <c r="C607" s="306">
        <v>0.40776819141341147</v>
      </c>
      <c r="D607" s="307">
        <v>0.56915203778719292</v>
      </c>
      <c r="E607" s="307">
        <v>0.72585499750101523</v>
      </c>
      <c r="F607" s="307">
        <v>0.6324697098440728</v>
      </c>
      <c r="G607" s="307">
        <v>0.76346904847429842</v>
      </c>
      <c r="H607" s="307">
        <v>0.8240494590417311</v>
      </c>
      <c r="I607" s="307">
        <v>0.82330756424415252</v>
      </c>
      <c r="J607" s="308">
        <v>0.54023203887385463</v>
      </c>
      <c r="K607" s="308">
        <v>0</v>
      </c>
      <c r="L607" s="307">
        <v>0</v>
      </c>
      <c r="M607" s="307">
        <v>0</v>
      </c>
      <c r="N607" s="307">
        <v>0</v>
      </c>
      <c r="O607" s="308">
        <v>0</v>
      </c>
      <c r="P607" s="308">
        <v>0</v>
      </c>
      <c r="Q607" s="307">
        <v>0</v>
      </c>
      <c r="R607" s="308">
        <v>0</v>
      </c>
      <c r="S607" s="308">
        <v>0</v>
      </c>
      <c r="T607" s="308">
        <v>0</v>
      </c>
      <c r="U607" s="308">
        <v>0.54023203887385463</v>
      </c>
      <c r="V607" s="309"/>
    </row>
    <row r="608" spans="1:22">
      <c r="A608" s="304" t="s">
        <v>601</v>
      </c>
      <c r="B608" s="310"/>
      <c r="C608" s="311">
        <v>1.931761226129225</v>
      </c>
      <c r="D608" s="312">
        <v>1.1746787226927791</v>
      </c>
      <c r="E608" s="312">
        <v>1.4257219704365554</v>
      </c>
      <c r="F608" s="312">
        <v>0.62762010383942135</v>
      </c>
      <c r="G608" s="312">
        <v>6.1105355572646296</v>
      </c>
      <c r="H608" s="312">
        <v>15.127271552175403</v>
      </c>
      <c r="I608" s="312">
        <v>23.903570901838421</v>
      </c>
      <c r="J608" s="314">
        <v>2.455861972532003</v>
      </c>
      <c r="K608" s="314">
        <v>0</v>
      </c>
      <c r="L608" s="312">
        <v>0</v>
      </c>
      <c r="M608" s="312">
        <v>0</v>
      </c>
      <c r="N608" s="312">
        <v>0</v>
      </c>
      <c r="O608" s="314">
        <v>0</v>
      </c>
      <c r="P608" s="314">
        <v>0</v>
      </c>
      <c r="Q608" s="312">
        <v>0</v>
      </c>
      <c r="R608" s="314">
        <v>0</v>
      </c>
      <c r="S608" s="314">
        <v>0</v>
      </c>
      <c r="T608" s="314">
        <v>0</v>
      </c>
      <c r="U608" s="314">
        <v>2.455861972532003</v>
      </c>
      <c r="V608" s="309"/>
    </row>
    <row r="609" spans="1:22">
      <c r="A609" s="304" t="s">
        <v>602</v>
      </c>
      <c r="B609" s="50"/>
      <c r="C609" s="301">
        <v>3.0420425989042887E-2</v>
      </c>
      <c r="D609" s="302">
        <v>4.3562032956464842E-3</v>
      </c>
      <c r="E609" s="302">
        <v>3.1392183548064759E-3</v>
      </c>
      <c r="F609" s="302">
        <v>5.1201471936679682E-3</v>
      </c>
      <c r="G609" s="302">
        <v>1.1570101081895316E-2</v>
      </c>
      <c r="H609" s="302">
        <v>0</v>
      </c>
      <c r="I609" s="302">
        <v>5.0782305267897336E-2</v>
      </c>
      <c r="J609" s="303">
        <v>1.9222530434662558E-2</v>
      </c>
      <c r="K609" s="303">
        <v>0</v>
      </c>
      <c r="L609" s="302">
        <v>0</v>
      </c>
      <c r="M609" s="302">
        <v>0</v>
      </c>
      <c r="N609" s="302">
        <v>0</v>
      </c>
      <c r="O609" s="303">
        <v>0</v>
      </c>
      <c r="P609" s="303">
        <v>0</v>
      </c>
      <c r="Q609" s="302">
        <v>0</v>
      </c>
      <c r="R609" s="303">
        <v>0</v>
      </c>
      <c r="S609" s="303">
        <v>0</v>
      </c>
      <c r="T609" s="303">
        <v>0</v>
      </c>
      <c r="U609" s="303">
        <v>1.9222530434662558E-2</v>
      </c>
      <c r="V609" s="309"/>
    </row>
    <row r="610" spans="1:22">
      <c r="A610" s="304" t="s">
        <v>603</v>
      </c>
      <c r="B610" s="305"/>
      <c r="C610" s="306">
        <v>4.0516198240823503E-2</v>
      </c>
      <c r="D610" s="307">
        <v>2.8103770827824642E-3</v>
      </c>
      <c r="E610" s="307">
        <v>4.352154781226825E-3</v>
      </c>
      <c r="F610" s="307">
        <v>1.6302328136065434E-3</v>
      </c>
      <c r="G610" s="307">
        <v>8.5771784882060931E-3</v>
      </c>
      <c r="H610" s="307">
        <v>0</v>
      </c>
      <c r="I610" s="307">
        <v>8.9834671238070117E-3</v>
      </c>
      <c r="J610" s="308">
        <v>2.2416169939988483E-2</v>
      </c>
      <c r="K610" s="308">
        <v>0</v>
      </c>
      <c r="L610" s="307">
        <v>0</v>
      </c>
      <c r="M610" s="307">
        <v>0</v>
      </c>
      <c r="N610" s="307">
        <v>0</v>
      </c>
      <c r="O610" s="308">
        <v>0</v>
      </c>
      <c r="P610" s="308">
        <v>0</v>
      </c>
      <c r="Q610" s="307">
        <v>0</v>
      </c>
      <c r="R610" s="308">
        <v>0</v>
      </c>
      <c r="S610" s="308">
        <v>0</v>
      </c>
      <c r="T610" s="308">
        <v>0</v>
      </c>
      <c r="U610" s="308">
        <v>2.2416169939988483E-2</v>
      </c>
      <c r="V610" s="309"/>
    </row>
    <row r="611" spans="1:22">
      <c r="A611" s="304" t="s">
        <v>604</v>
      </c>
      <c r="B611" s="310"/>
      <c r="C611" s="311">
        <v>1.0095772251780617</v>
      </c>
      <c r="D611" s="312">
        <v>-0.15458262128640199</v>
      </c>
      <c r="E611" s="312">
        <v>0.1212936426420349</v>
      </c>
      <c r="F611" s="312">
        <v>-0.34899143800614246</v>
      </c>
      <c r="G611" s="312">
        <v>-0.29929225936892229</v>
      </c>
      <c r="H611" s="312">
        <v>0</v>
      </c>
      <c r="I611" s="312">
        <v>-4.1798838144090329</v>
      </c>
      <c r="J611" s="314">
        <v>0.31936395053259248</v>
      </c>
      <c r="K611" s="314">
        <v>0</v>
      </c>
      <c r="L611" s="312">
        <v>0</v>
      </c>
      <c r="M611" s="312">
        <v>0</v>
      </c>
      <c r="N611" s="312">
        <v>0</v>
      </c>
      <c r="O611" s="314">
        <v>0</v>
      </c>
      <c r="P611" s="314">
        <v>0</v>
      </c>
      <c r="Q611" s="312">
        <v>0</v>
      </c>
      <c r="R611" s="314">
        <v>0</v>
      </c>
      <c r="S611" s="314">
        <v>0</v>
      </c>
      <c r="T611" s="314">
        <v>0</v>
      </c>
      <c r="U611" s="314">
        <v>0.31936395053259248</v>
      </c>
      <c r="V611" s="309"/>
    </row>
    <row r="612" spans="1:22">
      <c r="A612" s="304" t="s">
        <v>605</v>
      </c>
      <c r="B612" s="50"/>
      <c r="C612" s="301">
        <v>3.0368672165544341E-3</v>
      </c>
      <c r="D612" s="302">
        <v>3.6242200367713447E-3</v>
      </c>
      <c r="E612" s="302">
        <v>1.0290671738102872E-2</v>
      </c>
      <c r="F612" s="302">
        <v>1.3654530714544851E-3</v>
      </c>
      <c r="G612" s="302">
        <v>8.5816631061178174E-3</v>
      </c>
      <c r="H612" s="302">
        <v>0</v>
      </c>
      <c r="I612" s="302">
        <v>0</v>
      </c>
      <c r="J612" s="303">
        <v>4.526508901720897E-3</v>
      </c>
      <c r="K612" s="303">
        <v>0</v>
      </c>
      <c r="L612" s="302">
        <v>0</v>
      </c>
      <c r="M612" s="302">
        <v>0</v>
      </c>
      <c r="N612" s="302">
        <v>0</v>
      </c>
      <c r="O612" s="303">
        <v>0</v>
      </c>
      <c r="P612" s="303">
        <v>0</v>
      </c>
      <c r="Q612" s="302">
        <v>0</v>
      </c>
      <c r="R612" s="303">
        <v>0</v>
      </c>
      <c r="S612" s="303">
        <v>0</v>
      </c>
      <c r="T612" s="303">
        <v>0</v>
      </c>
      <c r="U612" s="303">
        <v>4.526508901720897E-3</v>
      </c>
      <c r="V612" s="309"/>
    </row>
    <row r="613" spans="1:22">
      <c r="A613" s="304" t="s">
        <v>606</v>
      </c>
      <c r="B613" s="305"/>
      <c r="C613" s="306">
        <v>3.2610493889731868E-3</v>
      </c>
      <c r="D613" s="307">
        <v>4.6775998870759632E-3</v>
      </c>
      <c r="E613" s="307">
        <v>9.7503723436088985E-3</v>
      </c>
      <c r="F613" s="307">
        <v>3.8564647203595647E-5</v>
      </c>
      <c r="G613" s="307">
        <v>8.6980648964291307E-3</v>
      </c>
      <c r="H613" s="307">
        <v>4.7171561051004639E-2</v>
      </c>
      <c r="I613" s="307">
        <v>0</v>
      </c>
      <c r="J613" s="308">
        <v>4.6873782591671407E-3</v>
      </c>
      <c r="K613" s="308">
        <v>0</v>
      </c>
      <c r="L613" s="307">
        <v>0</v>
      </c>
      <c r="M613" s="307">
        <v>0</v>
      </c>
      <c r="N613" s="307">
        <v>0</v>
      </c>
      <c r="O613" s="308">
        <v>0</v>
      </c>
      <c r="P613" s="308">
        <v>0</v>
      </c>
      <c r="Q613" s="307">
        <v>0</v>
      </c>
      <c r="R613" s="308">
        <v>0</v>
      </c>
      <c r="S613" s="308">
        <v>0</v>
      </c>
      <c r="T613" s="308">
        <v>0</v>
      </c>
      <c r="U613" s="308">
        <v>4.6873782591671407E-3</v>
      </c>
      <c r="V613" s="309"/>
    </row>
    <row r="614" spans="1:22">
      <c r="A614" s="304" t="s">
        <v>607</v>
      </c>
      <c r="B614" s="310"/>
      <c r="C614" s="311">
        <v>2.2418217241875274E-2</v>
      </c>
      <c r="D614" s="312">
        <v>0.10533798503046185</v>
      </c>
      <c r="E614" s="312">
        <v>-5.4029939449397324E-2</v>
      </c>
      <c r="F614" s="312">
        <v>-0.13268884242508894</v>
      </c>
      <c r="G614" s="312">
        <v>1.1640179031131327E-2</v>
      </c>
      <c r="H614" s="312">
        <v>0</v>
      </c>
      <c r="I614" s="312">
        <v>0</v>
      </c>
      <c r="J614" s="314">
        <v>1.6086935744624373E-2</v>
      </c>
      <c r="K614" s="314">
        <v>0</v>
      </c>
      <c r="L614" s="312">
        <v>0</v>
      </c>
      <c r="M614" s="312">
        <v>0</v>
      </c>
      <c r="N614" s="312">
        <v>0</v>
      </c>
      <c r="O614" s="314">
        <v>0</v>
      </c>
      <c r="P614" s="314">
        <v>0</v>
      </c>
      <c r="Q614" s="312">
        <v>0</v>
      </c>
      <c r="R614" s="314">
        <v>0</v>
      </c>
      <c r="S614" s="314">
        <v>0</v>
      </c>
      <c r="T614" s="314">
        <v>0</v>
      </c>
      <c r="U614" s="314">
        <v>1.6086935744624373E-2</v>
      </c>
      <c r="V614" s="309"/>
    </row>
    <row r="615" spans="1:22">
      <c r="A615" s="304" t="s">
        <v>608</v>
      </c>
      <c r="B615" s="50"/>
      <c r="C615" s="301">
        <v>1.0361479777038099E-3</v>
      </c>
      <c r="D615" s="302">
        <v>2.9153343563460806E-3</v>
      </c>
      <c r="E615" s="302">
        <v>8.4841079223802547E-4</v>
      </c>
      <c r="F615" s="302">
        <v>1.5211944032118933E-4</v>
      </c>
      <c r="G615" s="302">
        <v>0</v>
      </c>
      <c r="H615" s="302">
        <v>0</v>
      </c>
      <c r="I615" s="302">
        <v>0</v>
      </c>
      <c r="J615" s="303">
        <v>1.0997111309206859E-3</v>
      </c>
      <c r="K615" s="303">
        <v>0</v>
      </c>
      <c r="L615" s="302">
        <v>0</v>
      </c>
      <c r="M615" s="302">
        <v>0</v>
      </c>
      <c r="N615" s="302">
        <v>0</v>
      </c>
      <c r="O615" s="303">
        <v>0</v>
      </c>
      <c r="P615" s="303">
        <v>0</v>
      </c>
      <c r="Q615" s="302">
        <v>0</v>
      </c>
      <c r="R615" s="303">
        <v>0</v>
      </c>
      <c r="S615" s="303">
        <v>0</v>
      </c>
      <c r="T615" s="303">
        <v>0</v>
      </c>
      <c r="U615" s="303">
        <v>1.0997111309206859E-3</v>
      </c>
      <c r="V615" s="309"/>
    </row>
    <row r="616" spans="1:22">
      <c r="A616" s="304" t="s">
        <v>609</v>
      </c>
      <c r="B616" s="305"/>
      <c r="C616" s="306">
        <v>1.0105696489333981E-3</v>
      </c>
      <c r="D616" s="307">
        <v>2.811172322477649E-3</v>
      </c>
      <c r="E616" s="307">
        <v>9.7292118827763824E-4</v>
      </c>
      <c r="F616" s="307">
        <v>2.4541139129560867E-4</v>
      </c>
      <c r="G616" s="307">
        <v>0</v>
      </c>
      <c r="H616" s="307">
        <v>0</v>
      </c>
      <c r="I616" s="307">
        <v>0</v>
      </c>
      <c r="J616" s="308">
        <v>1.1169729087990867E-3</v>
      </c>
      <c r="K616" s="308">
        <v>0</v>
      </c>
      <c r="L616" s="307">
        <v>0</v>
      </c>
      <c r="M616" s="307">
        <v>0</v>
      </c>
      <c r="N616" s="307">
        <v>0</v>
      </c>
      <c r="O616" s="308">
        <v>0</v>
      </c>
      <c r="P616" s="308">
        <v>0</v>
      </c>
      <c r="Q616" s="307">
        <v>0</v>
      </c>
      <c r="R616" s="308">
        <v>0</v>
      </c>
      <c r="S616" s="308">
        <v>0</v>
      </c>
      <c r="T616" s="308">
        <v>0</v>
      </c>
      <c r="U616" s="308">
        <v>1.1169729087990867E-3</v>
      </c>
      <c r="V616" s="309"/>
    </row>
    <row r="617" spans="1:22">
      <c r="A617" s="328" t="s">
        <v>610</v>
      </c>
      <c r="B617" s="310"/>
      <c r="C617" s="311">
        <v>-2.5578328770411779E-3</v>
      </c>
      <c r="D617" s="312">
        <v>-1.0416203386843159E-2</v>
      </c>
      <c r="E617" s="312">
        <v>1.2451039603961277E-2</v>
      </c>
      <c r="F617" s="312">
        <v>9.3291950974419349E-3</v>
      </c>
      <c r="G617" s="312">
        <v>0</v>
      </c>
      <c r="H617" s="312">
        <v>0</v>
      </c>
      <c r="I617" s="312">
        <v>0</v>
      </c>
      <c r="J617" s="314">
        <v>1.7261777878400768E-3</v>
      </c>
      <c r="K617" s="314">
        <v>0</v>
      </c>
      <c r="L617" s="312">
        <v>0</v>
      </c>
      <c r="M617" s="312">
        <v>0</v>
      </c>
      <c r="N617" s="312">
        <v>0</v>
      </c>
      <c r="O617" s="314">
        <v>0</v>
      </c>
      <c r="P617" s="314">
        <v>0</v>
      </c>
      <c r="Q617" s="312">
        <v>0</v>
      </c>
      <c r="R617" s="314">
        <v>0</v>
      </c>
      <c r="S617" s="314">
        <v>0</v>
      </c>
      <c r="T617" s="314">
        <v>0</v>
      </c>
      <c r="U617" s="314">
        <v>1.7261777878400768E-3</v>
      </c>
      <c r="V617" s="309"/>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sheetPr>
  <dimension ref="A1:BA627"/>
  <sheetViews>
    <sheetView topLeftCell="A2" zoomScale="90" zoomScaleNormal="90" zoomScalePageLayoutView="90" workbookViewId="0">
      <pane xSplit="5" ySplit="5" topLeftCell="F598" activePane="bottomRight" state="frozenSplit"/>
      <selection activeCell="A2" sqref="A2 A2"/>
      <selection pane="topRight" activeCell="A2" sqref="A2"/>
      <selection pane="bottomLeft" activeCell="A2" sqref="A2"/>
      <selection pane="bottomRight" activeCell="A6" sqref="A6:XFD6"/>
    </sheetView>
  </sheetViews>
  <sheetFormatPr defaultColWidth="8.88671875" defaultRowHeight="12.75"/>
  <cols>
    <col min="1" max="1" width="6.44140625" style="35" customWidth="1"/>
    <col min="2" max="2" width="32.109375" style="36" customWidth="1"/>
    <col min="3" max="3" width="35.109375" style="36" customWidth="1"/>
    <col min="4" max="4" width="10.21875" style="35" customWidth="1"/>
    <col min="5" max="5" width="6.77734375" style="35" customWidth="1"/>
    <col min="6" max="6" width="11.88671875" style="15" customWidth="1"/>
    <col min="7" max="7" width="11.88671875" style="37" customWidth="1"/>
    <col min="8" max="8" width="11.33203125" style="15" customWidth="1"/>
    <col min="9" max="9" width="11.33203125" style="37" customWidth="1"/>
    <col min="10" max="11" width="10.77734375" style="15" customWidth="1"/>
    <col min="12" max="12" width="10.44140625" style="15" customWidth="1"/>
    <col min="13" max="13" width="13.44140625" style="38" customWidth="1"/>
    <col min="14" max="14" width="10.44140625" style="38" customWidth="1"/>
    <col min="15" max="15" width="9.88671875" style="38" customWidth="1"/>
    <col min="16" max="16" width="11.44140625" style="15" customWidth="1"/>
    <col min="17" max="17" width="12.21875" style="37" customWidth="1"/>
    <col min="18" max="18" width="9.44140625" style="15" customWidth="1"/>
    <col min="19" max="19" width="9.44140625" style="37" customWidth="1"/>
    <col min="20" max="20" width="10.88671875" style="15" customWidth="1"/>
    <col min="21" max="21" width="10.88671875" style="37" customWidth="1"/>
    <col min="22" max="22" width="10.44140625" style="15" customWidth="1"/>
    <col min="23" max="23" width="10.44140625" style="37" customWidth="1"/>
    <col min="24" max="25" width="10.33203125" style="15" customWidth="1"/>
    <col min="26" max="26" width="8.77734375" style="15" customWidth="1"/>
    <col min="27" max="27" width="11.44140625" style="38" customWidth="1"/>
    <col min="28" max="28" width="12.44140625" style="38" customWidth="1"/>
    <col min="29" max="29" width="10.21875" style="38" customWidth="1"/>
    <col min="30" max="30" width="11.77734375" style="15" customWidth="1"/>
    <col min="31" max="31" width="12.33203125" style="37" customWidth="1"/>
    <col min="32" max="33" width="8.77734375" style="15" customWidth="1"/>
    <col min="34" max="34" width="8.88671875" style="15" customWidth="1"/>
    <col min="35" max="16384" width="8.88671875" style="15"/>
  </cols>
  <sheetData>
    <row r="1" spans="1:53" hidden="1">
      <c r="A1" s="18"/>
      <c r="B1" s="19"/>
      <c r="C1" s="19"/>
      <c r="D1" s="20"/>
      <c r="E1" s="18"/>
      <c r="F1" s="21">
        <f>SUM(H1,J1,L1,M1,N1,R1)</f>
        <v>0</v>
      </c>
      <c r="G1" s="22">
        <f>SUM(I1,K1,O1,P1,Q1,S1)</f>
        <v>0</v>
      </c>
      <c r="H1" s="20"/>
      <c r="I1" s="20"/>
      <c r="J1" s="20"/>
      <c r="K1" s="20"/>
      <c r="L1" s="20"/>
      <c r="M1" s="20"/>
      <c r="N1" s="20"/>
      <c r="O1" s="20"/>
      <c r="P1" s="20"/>
      <c r="Q1" s="20"/>
      <c r="R1" s="20"/>
      <c r="S1" s="20"/>
      <c r="T1" s="23">
        <f>SUM(V1,X1,Z1,AA1,AB1,AF1)</f>
        <v>0</v>
      </c>
      <c r="U1" s="282">
        <f>SUM(W1,Y1,AC1,AD1,AE1,AG1)</f>
        <v>0</v>
      </c>
      <c r="V1" s="20"/>
      <c r="W1" s="20"/>
      <c r="X1" s="20"/>
      <c r="Y1" s="20"/>
      <c r="Z1" s="20"/>
      <c r="AA1" s="20"/>
      <c r="AB1" s="20"/>
      <c r="AC1" s="20"/>
      <c r="AD1" s="20"/>
      <c r="AE1" s="20"/>
      <c r="AF1" s="20"/>
      <c r="AG1" s="20"/>
    </row>
    <row r="2" spans="1:53" s="14" customFormat="1" ht="18" customHeight="1" thickBot="1">
      <c r="A2" s="16" t="s">
        <v>0</v>
      </c>
      <c r="B2" s="16"/>
      <c r="C2" s="16"/>
      <c r="D2" s="16"/>
      <c r="E2" s="16"/>
      <c r="F2" s="10" t="s">
        <v>1</v>
      </c>
      <c r="G2" s="11"/>
      <c r="H2" s="11"/>
      <c r="I2" s="11"/>
      <c r="J2" s="11"/>
      <c r="K2" s="11"/>
      <c r="L2" s="11"/>
      <c r="M2" s="11"/>
      <c r="N2" s="12"/>
      <c r="O2" s="11"/>
      <c r="P2" s="11"/>
      <c r="Q2" s="11"/>
      <c r="R2" s="11"/>
      <c r="S2" s="11"/>
      <c r="T2" s="10" t="s">
        <v>2</v>
      </c>
      <c r="U2" s="11"/>
      <c r="V2" s="11"/>
      <c r="W2" s="11"/>
      <c r="X2" s="11"/>
      <c r="Y2" s="11"/>
      <c r="Z2" s="11"/>
      <c r="AA2" s="11"/>
      <c r="AB2" s="12"/>
      <c r="AC2" s="11"/>
      <c r="AD2" s="11"/>
      <c r="AE2" s="11"/>
      <c r="AF2" s="17"/>
      <c r="AG2" s="11"/>
    </row>
    <row r="3" spans="1:53" s="14" customFormat="1" ht="12.75" customHeight="1" thickTop="1">
      <c r="A3" s="24" t="s">
        <v>698</v>
      </c>
      <c r="B3" s="25"/>
      <c r="C3" s="25"/>
      <c r="D3" s="25"/>
      <c r="E3" s="25"/>
      <c r="F3" s="26" t="s">
        <v>3</v>
      </c>
      <c r="G3" s="27"/>
      <c r="H3" s="9"/>
      <c r="I3" s="8"/>
      <c r="J3" s="9"/>
      <c r="K3" s="8"/>
      <c r="L3" s="283" t="s">
        <v>4</v>
      </c>
      <c r="M3" s="284"/>
      <c r="N3" s="13"/>
      <c r="O3" s="6"/>
      <c r="P3" s="5"/>
      <c r="Q3" s="5"/>
      <c r="R3" s="7"/>
      <c r="S3" s="8"/>
      <c r="T3" s="26" t="s">
        <v>3</v>
      </c>
      <c r="U3" s="27"/>
      <c r="V3" s="9"/>
      <c r="W3" s="8"/>
      <c r="X3" s="9"/>
      <c r="Y3" s="8"/>
      <c r="Z3" s="283" t="s">
        <v>4</v>
      </c>
      <c r="AA3" s="284"/>
      <c r="AB3" s="13"/>
      <c r="AC3" s="6"/>
      <c r="AD3" s="5"/>
      <c r="AE3" s="5"/>
      <c r="AF3" s="7"/>
      <c r="AG3" s="613"/>
    </row>
    <row r="4" spans="1:53" s="14" customFormat="1" ht="118.9" customHeight="1">
      <c r="A4" s="28" t="s">
        <v>5</v>
      </c>
      <c r="B4" s="29"/>
      <c r="C4" s="29"/>
      <c r="D4" s="29"/>
      <c r="E4" s="29"/>
      <c r="F4" s="285" t="s">
        <v>699</v>
      </c>
      <c r="G4" s="4"/>
      <c r="H4" s="652" t="s">
        <v>6</v>
      </c>
      <c r="I4" s="653"/>
      <c r="J4" s="283" t="s">
        <v>7</v>
      </c>
      <c r="K4" s="3"/>
      <c r="L4" s="2" t="s">
        <v>8</v>
      </c>
      <c r="M4" s="2" t="s">
        <v>9</v>
      </c>
      <c r="N4" s="286" t="s">
        <v>10</v>
      </c>
      <c r="O4" s="3" t="s">
        <v>8</v>
      </c>
      <c r="P4" s="3" t="s">
        <v>11</v>
      </c>
      <c r="Q4" s="3" t="s">
        <v>12</v>
      </c>
      <c r="R4" s="287" t="s">
        <v>13</v>
      </c>
      <c r="S4" s="3"/>
      <c r="T4" s="285" t="s">
        <v>700</v>
      </c>
      <c r="U4" s="4"/>
      <c r="V4" s="283" t="s">
        <v>6</v>
      </c>
      <c r="W4" s="3"/>
      <c r="X4" s="283" t="s">
        <v>7</v>
      </c>
      <c r="Y4" s="3"/>
      <c r="Z4" s="2" t="s">
        <v>8</v>
      </c>
      <c r="AA4" s="2" t="s">
        <v>9</v>
      </c>
      <c r="AB4" s="286" t="s">
        <v>10</v>
      </c>
      <c r="AC4" s="3" t="s">
        <v>8</v>
      </c>
      <c r="AD4" s="3" t="s">
        <v>11</v>
      </c>
      <c r="AE4" s="3" t="s">
        <v>12</v>
      </c>
      <c r="AF4" s="287" t="s">
        <v>13</v>
      </c>
      <c r="AG4" s="614"/>
    </row>
    <row r="5" spans="1:53" s="598" customFormat="1" ht="38.25" customHeight="1" thickBot="1">
      <c r="A5" s="602" t="s">
        <v>14</v>
      </c>
      <c r="B5" s="603" t="s">
        <v>15</v>
      </c>
      <c r="C5" s="604" t="s">
        <v>16</v>
      </c>
      <c r="D5" s="605" t="s">
        <v>17</v>
      </c>
      <c r="E5" s="606" t="s">
        <v>18</v>
      </c>
      <c r="F5" s="607">
        <v>2020</v>
      </c>
      <c r="G5" s="608">
        <v>2021</v>
      </c>
      <c r="H5" s="609">
        <v>2020</v>
      </c>
      <c r="I5" s="610">
        <v>2021</v>
      </c>
      <c r="J5" s="609">
        <v>2020</v>
      </c>
      <c r="K5" s="611">
        <v>2021</v>
      </c>
      <c r="L5" s="612">
        <v>2020</v>
      </c>
      <c r="M5" s="609">
        <v>2020</v>
      </c>
      <c r="N5" s="609">
        <v>2020</v>
      </c>
      <c r="O5" s="610">
        <v>2021</v>
      </c>
      <c r="P5" s="610">
        <v>2021</v>
      </c>
      <c r="Q5" s="611">
        <v>2021</v>
      </c>
      <c r="R5" s="612">
        <v>2020</v>
      </c>
      <c r="S5" s="611">
        <v>2021</v>
      </c>
      <c r="T5" s="607">
        <v>2020</v>
      </c>
      <c r="U5" s="608">
        <v>2021</v>
      </c>
      <c r="V5" s="609">
        <v>2020</v>
      </c>
      <c r="W5" s="610">
        <v>2021</v>
      </c>
      <c r="X5" s="609">
        <v>2020</v>
      </c>
      <c r="Y5" s="611">
        <v>2021</v>
      </c>
      <c r="Z5" s="612">
        <v>2020</v>
      </c>
      <c r="AA5" s="609">
        <v>2020</v>
      </c>
      <c r="AB5" s="609">
        <v>2020</v>
      </c>
      <c r="AC5" s="610">
        <v>2021</v>
      </c>
      <c r="AD5" s="610">
        <v>2021</v>
      </c>
      <c r="AE5" s="611">
        <v>2021</v>
      </c>
      <c r="AF5" s="612">
        <v>2020</v>
      </c>
      <c r="AG5" s="615">
        <v>2021</v>
      </c>
      <c r="AH5" s="620"/>
      <c r="AI5" s="620"/>
      <c r="AJ5" s="621"/>
      <c r="AK5" s="621"/>
      <c r="AL5" s="622"/>
      <c r="AM5" s="622"/>
      <c r="AN5" s="621"/>
      <c r="AO5" s="621"/>
      <c r="AP5" s="621"/>
      <c r="AQ5" s="621"/>
      <c r="AR5" s="621"/>
      <c r="AS5" s="621"/>
      <c r="AT5" s="621"/>
      <c r="AU5" s="621"/>
      <c r="AV5" s="622"/>
      <c r="AW5" s="622"/>
      <c r="AX5" s="622"/>
      <c r="AY5" s="622"/>
      <c r="AZ5" s="622"/>
      <c r="BA5" s="622"/>
    </row>
    <row r="6" spans="1:53" s="14" customFormat="1" ht="40.5" customHeight="1" thickTop="1">
      <c r="A6" s="30" t="s">
        <v>14</v>
      </c>
      <c r="B6" s="31" t="s">
        <v>15</v>
      </c>
      <c r="C6" s="31" t="s">
        <v>19</v>
      </c>
      <c r="D6" s="30" t="s">
        <v>20</v>
      </c>
      <c r="E6" s="30" t="s">
        <v>21</v>
      </c>
      <c r="F6" s="32" t="s">
        <v>22</v>
      </c>
      <c r="G6" s="32" t="s">
        <v>23</v>
      </c>
      <c r="H6" s="32" t="s">
        <v>24</v>
      </c>
      <c r="I6" s="32" t="s">
        <v>25</v>
      </c>
      <c r="J6" s="32" t="s">
        <v>26</v>
      </c>
      <c r="K6" s="32" t="s">
        <v>27</v>
      </c>
      <c r="L6" s="32" t="s">
        <v>28</v>
      </c>
      <c r="M6" s="32" t="s">
        <v>29</v>
      </c>
      <c r="N6" s="32" t="s">
        <v>30</v>
      </c>
      <c r="O6" s="32" t="s">
        <v>31</v>
      </c>
      <c r="P6" s="32" t="s">
        <v>32</v>
      </c>
      <c r="Q6" s="32" t="s">
        <v>33</v>
      </c>
      <c r="R6" s="32" t="s">
        <v>34</v>
      </c>
      <c r="S6" s="32" t="s">
        <v>35</v>
      </c>
      <c r="T6" s="32" t="s">
        <v>36</v>
      </c>
      <c r="U6" s="32" t="s">
        <v>37</v>
      </c>
      <c r="V6" s="32" t="s">
        <v>38</v>
      </c>
      <c r="W6" s="32" t="s">
        <v>39</v>
      </c>
      <c r="X6" s="32" t="s">
        <v>40</v>
      </c>
      <c r="Y6" s="32" t="s">
        <v>41</v>
      </c>
      <c r="Z6" s="32" t="s">
        <v>42</v>
      </c>
      <c r="AA6" s="32" t="s">
        <v>43</v>
      </c>
      <c r="AB6" s="32" t="s">
        <v>44</v>
      </c>
      <c r="AC6" s="32" t="s">
        <v>45</v>
      </c>
      <c r="AD6" s="32" t="s">
        <v>46</v>
      </c>
      <c r="AE6" s="32" t="s">
        <v>47</v>
      </c>
      <c r="AF6" s="32" t="s">
        <v>48</v>
      </c>
      <c r="AG6" s="32" t="s">
        <v>49</v>
      </c>
    </row>
    <row r="7" spans="1:53" s="14" customFormat="1" ht="13.9" customHeight="1">
      <c r="A7" s="393" t="s">
        <v>50</v>
      </c>
      <c r="B7" s="394" t="s">
        <v>51</v>
      </c>
      <c r="C7" s="1"/>
      <c r="D7" s="395">
        <v>100858</v>
      </c>
      <c r="E7" s="395">
        <v>1</v>
      </c>
      <c r="F7" s="450">
        <f t="shared" ref="F7" si="0">SUM(H7,J7,L7,M7,N7,R7)</f>
        <v>739203</v>
      </c>
      <c r="G7" s="451">
        <f t="shared" ref="G7" si="1">SUM(I7,K7,O7,P7,Q7,S7)</f>
        <v>728575</v>
      </c>
      <c r="H7" s="452">
        <v>648751</v>
      </c>
      <c r="I7" s="453">
        <v>539905</v>
      </c>
      <c r="J7" s="452"/>
      <c r="K7" s="453"/>
      <c r="L7" s="452">
        <v>90452</v>
      </c>
      <c r="M7" s="452"/>
      <c r="N7" s="452"/>
      <c r="O7" s="453">
        <v>188670</v>
      </c>
      <c r="P7" s="453"/>
      <c r="Q7" s="453"/>
      <c r="R7" s="452"/>
      <c r="S7" s="453"/>
      <c r="T7" s="450">
        <f t="shared" ref="T7" si="2">SUM(V7,X7,Z7,AA7,AB7,AF7)</f>
        <v>113362</v>
      </c>
      <c r="U7" s="451">
        <f t="shared" ref="U7" si="3">SUM(W7,Y7,AC7,AD7,AE7,AG7)</f>
        <v>140816</v>
      </c>
      <c r="V7" s="452">
        <v>84915</v>
      </c>
      <c r="W7" s="453">
        <v>99879</v>
      </c>
      <c r="X7" s="452">
        <v>2562</v>
      </c>
      <c r="Y7" s="453">
        <v>2291</v>
      </c>
      <c r="Z7" s="452">
        <v>25885</v>
      </c>
      <c r="AA7" s="452"/>
      <c r="AB7" s="452"/>
      <c r="AC7" s="453">
        <v>38646</v>
      </c>
      <c r="AD7" s="453"/>
      <c r="AE7" s="453"/>
      <c r="AF7" s="452"/>
      <c r="AG7" s="616"/>
    </row>
    <row r="8" spans="1:53">
      <c r="A8" s="393" t="s">
        <v>50</v>
      </c>
      <c r="B8" s="394" t="s">
        <v>52</v>
      </c>
      <c r="C8" s="489"/>
      <c r="D8" s="490">
        <v>100751</v>
      </c>
      <c r="E8" s="490">
        <v>1</v>
      </c>
      <c r="F8" s="450">
        <f t="shared" ref="F8:F71" si="4">SUM(H8,J8,L8,M8,N8,R8)</f>
        <v>888610</v>
      </c>
      <c r="G8" s="451">
        <f t="shared" ref="G8:G71" si="5">SUM(I8,K8,O8,P8,Q8,S8)</f>
        <v>852132</v>
      </c>
      <c r="H8" s="452">
        <v>544088</v>
      </c>
      <c r="I8" s="453">
        <v>591056</v>
      </c>
      <c r="J8" s="452">
        <v>15638</v>
      </c>
      <c r="K8" s="453">
        <v>14700</v>
      </c>
      <c r="L8" s="452">
        <v>219966</v>
      </c>
      <c r="M8" s="452">
        <v>108918</v>
      </c>
      <c r="N8" s="452"/>
      <c r="O8" s="453">
        <v>128179</v>
      </c>
      <c r="P8" s="453">
        <v>118197</v>
      </c>
      <c r="Q8" s="453"/>
      <c r="R8" s="452"/>
      <c r="S8" s="453"/>
      <c r="T8" s="450">
        <f t="shared" ref="T8:T71" si="6">SUM(V8,X8,Z8,AA8,AB8,AF8)</f>
        <v>104483</v>
      </c>
      <c r="U8" s="451">
        <f t="shared" ref="U8:U71" si="7">SUM(W8,Y8,AC8,AD8,AE8,AG8)</f>
        <v>114696</v>
      </c>
      <c r="V8" s="452">
        <v>58333</v>
      </c>
      <c r="W8" s="453">
        <v>65279</v>
      </c>
      <c r="X8" s="452">
        <v>8735</v>
      </c>
      <c r="Y8" s="453">
        <v>9554</v>
      </c>
      <c r="Z8" s="452">
        <v>30844</v>
      </c>
      <c r="AA8" s="452">
        <v>6571</v>
      </c>
      <c r="AB8" s="452"/>
      <c r="AC8" s="453">
        <v>30603</v>
      </c>
      <c r="AD8" s="453">
        <v>9260</v>
      </c>
      <c r="AE8" s="453"/>
      <c r="AF8" s="452"/>
      <c r="AG8" s="616"/>
    </row>
    <row r="9" spans="1:53">
      <c r="A9" s="393" t="s">
        <v>50</v>
      </c>
      <c r="B9" s="394" t="s">
        <v>53</v>
      </c>
      <c r="C9" s="491"/>
      <c r="D9" s="490">
        <v>100663</v>
      </c>
      <c r="E9" s="490">
        <v>1</v>
      </c>
      <c r="F9" s="450">
        <f t="shared" si="4"/>
        <v>321593</v>
      </c>
      <c r="G9" s="451">
        <f t="shared" si="5"/>
        <v>313734</v>
      </c>
      <c r="H9" s="452">
        <v>203878</v>
      </c>
      <c r="I9" s="453">
        <v>184801</v>
      </c>
      <c r="J9" s="452">
        <v>83</v>
      </c>
      <c r="K9" s="453">
        <v>135</v>
      </c>
      <c r="L9" s="452">
        <v>117620</v>
      </c>
      <c r="M9" s="452">
        <v>12</v>
      </c>
      <c r="N9" s="452"/>
      <c r="O9" s="453">
        <v>128765</v>
      </c>
      <c r="P9" s="453">
        <v>33</v>
      </c>
      <c r="Q9" s="453"/>
      <c r="R9" s="452"/>
      <c r="S9" s="453"/>
      <c r="T9" s="450">
        <f t="shared" si="6"/>
        <v>55924</v>
      </c>
      <c r="U9" s="451">
        <f t="shared" si="7"/>
        <v>60668</v>
      </c>
      <c r="V9" s="452">
        <v>28200</v>
      </c>
      <c r="W9" s="453">
        <v>26565</v>
      </c>
      <c r="X9" s="452"/>
      <c r="Y9" s="453">
        <v>14</v>
      </c>
      <c r="Z9" s="452">
        <v>27697</v>
      </c>
      <c r="AA9" s="452">
        <v>27</v>
      </c>
      <c r="AB9" s="452"/>
      <c r="AC9" s="453">
        <v>34035</v>
      </c>
      <c r="AD9" s="453">
        <v>54</v>
      </c>
      <c r="AE9" s="453"/>
      <c r="AF9" s="452"/>
      <c r="AG9" s="616"/>
    </row>
    <row r="10" spans="1:53">
      <c r="A10" s="393" t="s">
        <v>50</v>
      </c>
      <c r="B10" s="394" t="s">
        <v>54</v>
      </c>
      <c r="C10" s="492"/>
      <c r="D10" s="490">
        <v>100706</v>
      </c>
      <c r="E10" s="490">
        <v>2</v>
      </c>
      <c r="F10" s="450">
        <f t="shared" si="4"/>
        <v>220554</v>
      </c>
      <c r="G10" s="451">
        <f t="shared" si="5"/>
        <v>212025</v>
      </c>
      <c r="H10" s="452">
        <v>116460</v>
      </c>
      <c r="I10" s="453">
        <v>97210</v>
      </c>
      <c r="J10" s="452"/>
      <c r="K10" s="453"/>
      <c r="L10" s="452">
        <v>104094</v>
      </c>
      <c r="M10" s="452"/>
      <c r="N10" s="452"/>
      <c r="O10" s="453">
        <v>114815</v>
      </c>
      <c r="P10" s="453"/>
      <c r="Q10" s="453"/>
      <c r="R10" s="452"/>
      <c r="S10" s="453"/>
      <c r="T10" s="450">
        <f t="shared" si="6"/>
        <v>30156</v>
      </c>
      <c r="U10" s="451">
        <f t="shared" si="7"/>
        <v>31793</v>
      </c>
      <c r="V10" s="452">
        <v>13992</v>
      </c>
      <c r="W10" s="453">
        <v>13181</v>
      </c>
      <c r="X10" s="452"/>
      <c r="Y10" s="453"/>
      <c r="Z10" s="452">
        <v>16164</v>
      </c>
      <c r="AA10" s="452"/>
      <c r="AB10" s="452"/>
      <c r="AC10" s="453">
        <v>18612</v>
      </c>
      <c r="AD10" s="453"/>
      <c r="AE10" s="453"/>
      <c r="AF10" s="452"/>
      <c r="AG10" s="616"/>
    </row>
    <row r="11" spans="1:53">
      <c r="A11" s="393" t="s">
        <v>50</v>
      </c>
      <c r="B11" s="394" t="s">
        <v>58</v>
      </c>
      <c r="C11" s="398"/>
      <c r="D11" s="490">
        <v>102094</v>
      </c>
      <c r="E11" s="490">
        <v>2</v>
      </c>
      <c r="F11" s="450">
        <f t="shared" si="4"/>
        <v>231181</v>
      </c>
      <c r="G11" s="451">
        <f t="shared" si="5"/>
        <v>216947</v>
      </c>
      <c r="H11" s="452">
        <v>182430</v>
      </c>
      <c r="I11" s="453">
        <v>165599</v>
      </c>
      <c r="J11" s="452">
        <v>246</v>
      </c>
      <c r="K11" s="453">
        <v>20</v>
      </c>
      <c r="L11" s="452">
        <v>48505</v>
      </c>
      <c r="M11" s="452"/>
      <c r="N11" s="452"/>
      <c r="O11" s="453">
        <v>51328</v>
      </c>
      <c r="P11" s="453"/>
      <c r="Q11" s="453"/>
      <c r="R11" s="452"/>
      <c r="S11" s="453"/>
      <c r="T11" s="450">
        <f t="shared" si="6"/>
        <v>19964</v>
      </c>
      <c r="U11" s="451">
        <f t="shared" si="7"/>
        <v>20935</v>
      </c>
      <c r="V11" s="452">
        <v>12602</v>
      </c>
      <c r="W11" s="453">
        <v>13270</v>
      </c>
      <c r="X11" s="452"/>
      <c r="Y11" s="453">
        <v>0</v>
      </c>
      <c r="Z11" s="452">
        <v>7362</v>
      </c>
      <c r="AA11" s="452"/>
      <c r="AB11" s="452"/>
      <c r="AC11" s="453">
        <v>7665</v>
      </c>
      <c r="AD11" s="453"/>
      <c r="AE11" s="453"/>
      <c r="AF11" s="452"/>
      <c r="AG11" s="616"/>
    </row>
    <row r="12" spans="1:53">
      <c r="A12" s="393" t="s">
        <v>50</v>
      </c>
      <c r="B12" s="394" t="s">
        <v>55</v>
      </c>
      <c r="C12" s="489"/>
      <c r="D12" s="490">
        <v>100654</v>
      </c>
      <c r="E12" s="490">
        <v>3</v>
      </c>
      <c r="F12" s="450">
        <f t="shared" si="4"/>
        <v>150414</v>
      </c>
      <c r="G12" s="451">
        <f t="shared" si="5"/>
        <v>133316</v>
      </c>
      <c r="H12" s="452">
        <v>88756</v>
      </c>
      <c r="I12" s="453">
        <v>64202</v>
      </c>
      <c r="J12" s="452">
        <v>89</v>
      </c>
      <c r="K12" s="453">
        <v>88</v>
      </c>
      <c r="L12" s="452">
        <v>61569</v>
      </c>
      <c r="M12" s="452"/>
      <c r="N12" s="452"/>
      <c r="O12" s="453">
        <v>69026</v>
      </c>
      <c r="P12" s="453"/>
      <c r="Q12" s="453"/>
      <c r="R12" s="452"/>
      <c r="S12" s="453"/>
      <c r="T12" s="450">
        <f t="shared" si="6"/>
        <v>17926</v>
      </c>
      <c r="U12" s="451">
        <f t="shared" si="7"/>
        <v>16399</v>
      </c>
      <c r="V12" s="452">
        <v>6967</v>
      </c>
      <c r="W12" s="453">
        <v>5366</v>
      </c>
      <c r="X12" s="452">
        <v>1393</v>
      </c>
      <c r="Y12" s="453">
        <v>593</v>
      </c>
      <c r="Z12" s="452">
        <v>9566</v>
      </c>
      <c r="AA12" s="452"/>
      <c r="AB12" s="452"/>
      <c r="AC12" s="453">
        <v>10440</v>
      </c>
      <c r="AD12" s="453"/>
      <c r="AE12" s="453"/>
      <c r="AF12" s="452"/>
      <c r="AG12" s="616"/>
    </row>
    <row r="13" spans="1:53">
      <c r="A13" s="393" t="s">
        <v>50</v>
      </c>
      <c r="B13" s="394" t="s">
        <v>56</v>
      </c>
      <c r="C13" s="489"/>
      <c r="D13" s="490">
        <v>101480</v>
      </c>
      <c r="E13" s="490">
        <v>3</v>
      </c>
      <c r="F13" s="450">
        <f t="shared" si="4"/>
        <v>205277</v>
      </c>
      <c r="G13" s="451">
        <f t="shared" si="5"/>
        <v>205725</v>
      </c>
      <c r="H13" s="452">
        <v>62503</v>
      </c>
      <c r="I13" s="453">
        <v>71243</v>
      </c>
      <c r="J13" s="452">
        <v>2397</v>
      </c>
      <c r="K13" s="453">
        <v>2946</v>
      </c>
      <c r="L13" s="452">
        <v>140377</v>
      </c>
      <c r="M13" s="452"/>
      <c r="N13" s="452"/>
      <c r="O13" s="453">
        <v>131536</v>
      </c>
      <c r="P13" s="453"/>
      <c r="Q13" s="453"/>
      <c r="R13" s="452"/>
      <c r="S13" s="453"/>
      <c r="T13" s="450">
        <f t="shared" si="6"/>
        <v>24869</v>
      </c>
      <c r="U13" s="451">
        <f t="shared" si="7"/>
        <v>25896</v>
      </c>
      <c r="V13" s="452">
        <v>1821</v>
      </c>
      <c r="W13" s="453">
        <v>2772</v>
      </c>
      <c r="X13" s="452">
        <v>0</v>
      </c>
      <c r="Y13" s="453">
        <v>0</v>
      </c>
      <c r="Z13" s="452">
        <v>23048</v>
      </c>
      <c r="AA13" s="452"/>
      <c r="AB13" s="452"/>
      <c r="AC13" s="453">
        <v>23124</v>
      </c>
      <c r="AD13" s="453"/>
      <c r="AE13" s="453"/>
      <c r="AF13" s="452"/>
      <c r="AG13" s="616"/>
    </row>
    <row r="14" spans="1:53">
      <c r="A14" s="393" t="s">
        <v>50</v>
      </c>
      <c r="B14" s="394" t="s">
        <v>57</v>
      </c>
      <c r="C14" s="489"/>
      <c r="D14" s="490">
        <v>102368</v>
      </c>
      <c r="E14" s="490">
        <v>3</v>
      </c>
      <c r="F14" s="450">
        <f t="shared" si="4"/>
        <v>313997</v>
      </c>
      <c r="G14" s="451">
        <f t="shared" si="5"/>
        <v>284057</v>
      </c>
      <c r="H14" s="452">
        <v>156059</v>
      </c>
      <c r="I14" s="453">
        <v>133930</v>
      </c>
      <c r="J14" s="452">
        <v>2</v>
      </c>
      <c r="K14" s="453">
        <v>0</v>
      </c>
      <c r="L14" s="452">
        <v>149098</v>
      </c>
      <c r="M14" s="452">
        <v>0</v>
      </c>
      <c r="N14" s="452">
        <v>8838</v>
      </c>
      <c r="O14" s="453">
        <v>141746</v>
      </c>
      <c r="P14" s="453">
        <v>0</v>
      </c>
      <c r="Q14" s="453">
        <v>8381</v>
      </c>
      <c r="R14" s="452"/>
      <c r="S14" s="453">
        <v>0</v>
      </c>
      <c r="T14" s="450">
        <f t="shared" si="6"/>
        <v>53405</v>
      </c>
      <c r="U14" s="451">
        <f t="shared" si="7"/>
        <v>54116</v>
      </c>
      <c r="V14" s="452">
        <v>11016</v>
      </c>
      <c r="W14" s="453">
        <v>7493</v>
      </c>
      <c r="X14" s="452">
        <v>0</v>
      </c>
      <c r="Y14" s="453">
        <v>0</v>
      </c>
      <c r="Z14" s="452">
        <v>41300</v>
      </c>
      <c r="AA14" s="452">
        <v>0</v>
      </c>
      <c r="AB14" s="452">
        <v>1089</v>
      </c>
      <c r="AC14" s="453">
        <v>45171</v>
      </c>
      <c r="AD14" s="453">
        <v>0</v>
      </c>
      <c r="AE14" s="453">
        <v>1452</v>
      </c>
      <c r="AF14" s="452">
        <v>0</v>
      </c>
      <c r="AG14" s="616">
        <v>0</v>
      </c>
    </row>
    <row r="15" spans="1:53">
      <c r="A15" s="393" t="s">
        <v>50</v>
      </c>
      <c r="B15" s="394" t="s">
        <v>61</v>
      </c>
      <c r="C15" s="491"/>
      <c r="D15" s="490">
        <v>101879</v>
      </c>
      <c r="E15" s="490">
        <v>3</v>
      </c>
      <c r="F15" s="450">
        <f t="shared" si="4"/>
        <v>160804</v>
      </c>
      <c r="G15" s="451">
        <f t="shared" si="5"/>
        <v>155013</v>
      </c>
      <c r="H15" s="452">
        <v>98108</v>
      </c>
      <c r="I15" s="453">
        <v>85150</v>
      </c>
      <c r="J15" s="452"/>
      <c r="K15" s="453">
        <v>1777</v>
      </c>
      <c r="L15" s="452">
        <v>62696</v>
      </c>
      <c r="M15" s="452"/>
      <c r="N15" s="452"/>
      <c r="O15" s="453">
        <v>68086</v>
      </c>
      <c r="P15" s="453"/>
      <c r="Q15" s="453"/>
      <c r="R15" s="452"/>
      <c r="S15" s="453"/>
      <c r="T15" s="450">
        <f t="shared" si="6"/>
        <v>30344</v>
      </c>
      <c r="U15" s="451">
        <f t="shared" si="7"/>
        <v>38830</v>
      </c>
      <c r="V15" s="452">
        <v>3118</v>
      </c>
      <c r="W15" s="453">
        <v>3999</v>
      </c>
      <c r="X15" s="452"/>
      <c r="Y15" s="453"/>
      <c r="Z15" s="452">
        <v>27226</v>
      </c>
      <c r="AA15" s="452"/>
      <c r="AB15" s="452"/>
      <c r="AC15" s="453">
        <v>34831</v>
      </c>
      <c r="AD15" s="453"/>
      <c r="AE15" s="453"/>
      <c r="AF15" s="452"/>
      <c r="AG15" s="616"/>
    </row>
    <row r="16" spans="1:53">
      <c r="A16" s="393" t="s">
        <v>50</v>
      </c>
      <c r="B16" s="394" t="s">
        <v>59</v>
      </c>
      <c r="C16" s="394"/>
      <c r="D16" s="395">
        <v>100724</v>
      </c>
      <c r="E16" s="395">
        <v>4</v>
      </c>
      <c r="F16" s="450">
        <f t="shared" si="4"/>
        <v>109486</v>
      </c>
      <c r="G16" s="451">
        <f t="shared" si="5"/>
        <v>102268</v>
      </c>
      <c r="H16" s="452">
        <v>53196</v>
      </c>
      <c r="I16" s="453">
        <v>40538</v>
      </c>
      <c r="J16" s="452"/>
      <c r="K16" s="453"/>
      <c r="L16" s="452">
        <v>56290</v>
      </c>
      <c r="M16" s="452"/>
      <c r="N16" s="452"/>
      <c r="O16" s="453">
        <v>61730</v>
      </c>
      <c r="P16" s="453"/>
      <c r="Q16" s="453"/>
      <c r="R16" s="452"/>
      <c r="S16" s="453"/>
      <c r="T16" s="450">
        <f t="shared" si="6"/>
        <v>12084</v>
      </c>
      <c r="U16" s="451">
        <f t="shared" si="7"/>
        <v>12685</v>
      </c>
      <c r="V16" s="452">
        <v>6031</v>
      </c>
      <c r="W16" s="453">
        <v>6291</v>
      </c>
      <c r="X16" s="452"/>
      <c r="Y16" s="453"/>
      <c r="Z16" s="452">
        <v>6053</v>
      </c>
      <c r="AA16" s="452"/>
      <c r="AB16" s="452"/>
      <c r="AC16" s="453">
        <v>6394</v>
      </c>
      <c r="AD16" s="453"/>
      <c r="AE16" s="453"/>
      <c r="AF16" s="452"/>
      <c r="AG16" s="616"/>
    </row>
    <row r="17" spans="1:33">
      <c r="A17" s="393" t="s">
        <v>50</v>
      </c>
      <c r="B17" s="394" t="s">
        <v>60</v>
      </c>
      <c r="C17" s="493"/>
      <c r="D17" s="395">
        <v>100830</v>
      </c>
      <c r="E17" s="395">
        <v>3</v>
      </c>
      <c r="F17" s="450">
        <f t="shared" si="4"/>
        <v>114790</v>
      </c>
      <c r="G17" s="451">
        <f t="shared" si="5"/>
        <v>103768</v>
      </c>
      <c r="H17" s="452">
        <v>78377</v>
      </c>
      <c r="I17" s="453">
        <v>65381</v>
      </c>
      <c r="J17" s="452">
        <v>312</v>
      </c>
      <c r="K17" s="453">
        <v>326</v>
      </c>
      <c r="L17" s="452">
        <v>36101</v>
      </c>
      <c r="M17" s="452"/>
      <c r="N17" s="452"/>
      <c r="O17" s="453">
        <v>38061</v>
      </c>
      <c r="P17" s="453"/>
      <c r="Q17" s="453"/>
      <c r="R17" s="452"/>
      <c r="S17" s="453"/>
      <c r="T17" s="450">
        <f t="shared" si="6"/>
        <v>13696</v>
      </c>
      <c r="U17" s="451">
        <f t="shared" si="7"/>
        <v>15670</v>
      </c>
      <c r="V17" s="452">
        <v>4822</v>
      </c>
      <c r="W17" s="453">
        <v>5431</v>
      </c>
      <c r="X17" s="452">
        <v>0</v>
      </c>
      <c r="Y17" s="453">
        <v>0</v>
      </c>
      <c r="Z17" s="452">
        <v>8874</v>
      </c>
      <c r="AA17" s="452"/>
      <c r="AB17" s="452"/>
      <c r="AC17" s="453">
        <v>10239</v>
      </c>
      <c r="AD17" s="453"/>
      <c r="AE17" s="453"/>
      <c r="AF17" s="452"/>
      <c r="AG17" s="616"/>
    </row>
    <row r="18" spans="1:33">
      <c r="A18" s="393" t="s">
        <v>50</v>
      </c>
      <c r="B18" s="394" t="s">
        <v>62</v>
      </c>
      <c r="C18" s="394"/>
      <c r="D18" s="395">
        <v>101709</v>
      </c>
      <c r="E18" s="395">
        <v>5</v>
      </c>
      <c r="F18" s="450">
        <f t="shared" si="4"/>
        <v>62260</v>
      </c>
      <c r="G18" s="451">
        <f t="shared" si="5"/>
        <v>61185</v>
      </c>
      <c r="H18" s="452">
        <v>42965</v>
      </c>
      <c r="I18" s="453">
        <v>43725</v>
      </c>
      <c r="J18" s="452">
        <v>6</v>
      </c>
      <c r="K18" s="453">
        <v>12</v>
      </c>
      <c r="L18" s="452">
        <v>19289</v>
      </c>
      <c r="M18" s="452"/>
      <c r="N18" s="452"/>
      <c r="O18" s="453">
        <v>17448</v>
      </c>
      <c r="P18" s="453"/>
      <c r="Q18" s="453"/>
      <c r="R18" s="452"/>
      <c r="S18" s="453"/>
      <c r="T18" s="450">
        <f t="shared" si="6"/>
        <v>6659</v>
      </c>
      <c r="U18" s="451">
        <f t="shared" si="7"/>
        <v>7643</v>
      </c>
      <c r="V18" s="452">
        <v>3873</v>
      </c>
      <c r="W18" s="453">
        <v>4609</v>
      </c>
      <c r="X18" s="452">
        <v>0</v>
      </c>
      <c r="Y18" s="453">
        <v>159</v>
      </c>
      <c r="Z18" s="452">
        <v>2786</v>
      </c>
      <c r="AA18" s="452"/>
      <c r="AB18" s="452"/>
      <c r="AC18" s="453">
        <v>2875</v>
      </c>
      <c r="AD18" s="453"/>
      <c r="AE18" s="453"/>
      <c r="AF18" s="452"/>
      <c r="AG18" s="616"/>
    </row>
    <row r="19" spans="1:33">
      <c r="A19" s="393" t="s">
        <v>50</v>
      </c>
      <c r="B19" s="394" t="s">
        <v>63</v>
      </c>
      <c r="C19" s="494"/>
      <c r="D19" s="395">
        <v>101587</v>
      </c>
      <c r="E19" s="395">
        <v>4</v>
      </c>
      <c r="F19" s="450">
        <f t="shared" si="4"/>
        <v>63964</v>
      </c>
      <c r="G19" s="451">
        <f t="shared" si="5"/>
        <v>63685</v>
      </c>
      <c r="H19" s="452">
        <v>34485</v>
      </c>
      <c r="I19" s="453">
        <v>28565</v>
      </c>
      <c r="J19" s="452">
        <v>210</v>
      </c>
      <c r="K19" s="453">
        <v>174</v>
      </c>
      <c r="L19" s="452">
        <v>29269</v>
      </c>
      <c r="M19" s="452"/>
      <c r="N19" s="452"/>
      <c r="O19" s="453">
        <v>34946</v>
      </c>
      <c r="P19" s="453"/>
      <c r="Q19" s="453"/>
      <c r="R19" s="452"/>
      <c r="S19" s="453"/>
      <c r="T19" s="450">
        <f t="shared" si="6"/>
        <v>68129</v>
      </c>
      <c r="U19" s="451">
        <f t="shared" si="7"/>
        <v>67160</v>
      </c>
      <c r="V19" s="452">
        <v>722</v>
      </c>
      <c r="W19" s="453">
        <v>671</v>
      </c>
      <c r="X19" s="452"/>
      <c r="Y19" s="453">
        <v>99</v>
      </c>
      <c r="Z19" s="452">
        <v>67407</v>
      </c>
      <c r="AA19" s="452"/>
      <c r="AB19" s="452"/>
      <c r="AC19" s="453">
        <v>66390</v>
      </c>
      <c r="AD19" s="453"/>
      <c r="AE19" s="453"/>
      <c r="AF19" s="452"/>
      <c r="AG19" s="616"/>
    </row>
    <row r="20" spans="1:33">
      <c r="A20" s="393" t="s">
        <v>50</v>
      </c>
      <c r="B20" s="394" t="s">
        <v>64</v>
      </c>
      <c r="C20" s="495" t="s">
        <v>922</v>
      </c>
      <c r="D20" s="496">
        <v>100812</v>
      </c>
      <c r="E20" s="497">
        <v>5</v>
      </c>
      <c r="F20" s="450">
        <f t="shared" si="4"/>
        <v>65049</v>
      </c>
      <c r="G20" s="451">
        <f t="shared" si="5"/>
        <v>61616</v>
      </c>
      <c r="H20" s="452">
        <v>7390</v>
      </c>
      <c r="I20" s="453">
        <v>5566</v>
      </c>
      <c r="J20" s="452">
        <v>1051</v>
      </c>
      <c r="K20" s="453">
        <v>1034</v>
      </c>
      <c r="L20" s="452">
        <v>56608</v>
      </c>
      <c r="M20" s="452"/>
      <c r="N20" s="452"/>
      <c r="O20" s="453">
        <v>55016</v>
      </c>
      <c r="P20" s="453"/>
      <c r="Q20" s="453"/>
      <c r="R20" s="452"/>
      <c r="S20" s="453"/>
      <c r="T20" s="450">
        <f t="shared" si="6"/>
        <v>2982</v>
      </c>
      <c r="U20" s="451">
        <f t="shared" si="7"/>
        <v>3729</v>
      </c>
      <c r="V20" s="452">
        <v>63</v>
      </c>
      <c r="W20" s="453">
        <v>36</v>
      </c>
      <c r="X20" s="452"/>
      <c r="Y20" s="453"/>
      <c r="Z20" s="452">
        <v>2919</v>
      </c>
      <c r="AA20" s="452"/>
      <c r="AB20" s="452"/>
      <c r="AC20" s="453">
        <v>3693</v>
      </c>
      <c r="AD20" s="453"/>
      <c r="AE20" s="453"/>
      <c r="AF20" s="452"/>
      <c r="AG20" s="616"/>
    </row>
    <row r="21" spans="1:33">
      <c r="A21" s="393" t="s">
        <v>50</v>
      </c>
      <c r="B21" s="403" t="s">
        <v>65</v>
      </c>
      <c r="C21" s="489"/>
      <c r="D21" s="490">
        <v>101505</v>
      </c>
      <c r="E21" s="490">
        <v>8</v>
      </c>
      <c r="F21" s="450">
        <f t="shared" si="4"/>
        <v>161295</v>
      </c>
      <c r="G21" s="451">
        <f t="shared" si="5"/>
        <v>158618</v>
      </c>
      <c r="H21" s="452">
        <v>54889</v>
      </c>
      <c r="I21" s="453">
        <v>45846</v>
      </c>
      <c r="J21" s="452"/>
      <c r="K21" s="453">
        <v>0</v>
      </c>
      <c r="L21" s="452">
        <v>105724</v>
      </c>
      <c r="M21" s="452"/>
      <c r="N21" s="452">
        <v>682</v>
      </c>
      <c r="O21" s="453">
        <v>112772</v>
      </c>
      <c r="P21" s="453"/>
      <c r="Q21" s="453"/>
      <c r="R21" s="452"/>
      <c r="S21" s="453"/>
      <c r="T21" s="450">
        <f t="shared" si="6"/>
        <v>0</v>
      </c>
      <c r="U21" s="451">
        <f t="shared" si="7"/>
        <v>0</v>
      </c>
      <c r="V21" s="452"/>
      <c r="W21" s="453"/>
      <c r="X21" s="452"/>
      <c r="Y21" s="453"/>
      <c r="Z21" s="452"/>
      <c r="AA21" s="452"/>
      <c r="AB21" s="452"/>
      <c r="AC21" s="453"/>
      <c r="AD21" s="453"/>
      <c r="AE21" s="453"/>
      <c r="AF21" s="452"/>
      <c r="AG21" s="616"/>
    </row>
    <row r="22" spans="1:33">
      <c r="A22" s="393" t="s">
        <v>50</v>
      </c>
      <c r="B22" s="403" t="s">
        <v>701</v>
      </c>
      <c r="C22" s="489"/>
      <c r="D22" s="490">
        <v>101514</v>
      </c>
      <c r="E22" s="490">
        <v>8</v>
      </c>
      <c r="F22" s="450">
        <f t="shared" si="4"/>
        <v>176934</v>
      </c>
      <c r="G22" s="451">
        <f t="shared" si="5"/>
        <v>168202</v>
      </c>
      <c r="H22" s="452">
        <v>79956</v>
      </c>
      <c r="I22" s="453">
        <v>57971</v>
      </c>
      <c r="J22" s="452"/>
      <c r="K22" s="453">
        <v>0</v>
      </c>
      <c r="L22" s="452">
        <v>96978</v>
      </c>
      <c r="M22" s="452"/>
      <c r="N22" s="452"/>
      <c r="O22" s="453">
        <v>110231</v>
      </c>
      <c r="P22" s="453"/>
      <c r="Q22" s="453"/>
      <c r="R22" s="452"/>
      <c r="S22" s="453"/>
      <c r="T22" s="450">
        <f t="shared" si="6"/>
        <v>0</v>
      </c>
      <c r="U22" s="451">
        <f t="shared" si="7"/>
        <v>0</v>
      </c>
      <c r="V22" s="452"/>
      <c r="W22" s="453"/>
      <c r="X22" s="452"/>
      <c r="Y22" s="453"/>
      <c r="Z22" s="452"/>
      <c r="AA22" s="452"/>
      <c r="AB22" s="452"/>
      <c r="AC22" s="453"/>
      <c r="AD22" s="453"/>
      <c r="AE22" s="453"/>
      <c r="AF22" s="452"/>
      <c r="AG22" s="616"/>
    </row>
    <row r="23" spans="1:33">
      <c r="A23" s="393" t="s">
        <v>50</v>
      </c>
      <c r="B23" s="394" t="s">
        <v>66</v>
      </c>
      <c r="C23" s="404" t="s">
        <v>923</v>
      </c>
      <c r="D23" s="490">
        <v>102429</v>
      </c>
      <c r="E23" s="395">
        <v>9</v>
      </c>
      <c r="F23" s="450">
        <f t="shared" si="4"/>
        <v>70747</v>
      </c>
      <c r="G23" s="451">
        <f t="shared" si="5"/>
        <v>65693</v>
      </c>
      <c r="H23" s="452">
        <v>33898</v>
      </c>
      <c r="I23" s="453">
        <v>41411</v>
      </c>
      <c r="J23" s="452">
        <v>2868</v>
      </c>
      <c r="K23" s="453">
        <v>0</v>
      </c>
      <c r="L23" s="452">
        <v>31891</v>
      </c>
      <c r="M23" s="452">
        <v>2090</v>
      </c>
      <c r="N23" s="452"/>
      <c r="O23" s="453">
        <v>22019</v>
      </c>
      <c r="P23" s="453">
        <v>2263</v>
      </c>
      <c r="Q23" s="453"/>
      <c r="R23" s="452"/>
      <c r="S23" s="453"/>
      <c r="T23" s="450">
        <f t="shared" si="6"/>
        <v>0</v>
      </c>
      <c r="U23" s="451">
        <f t="shared" si="7"/>
        <v>0</v>
      </c>
      <c r="V23" s="452"/>
      <c r="W23" s="453"/>
      <c r="X23" s="452"/>
      <c r="Y23" s="453"/>
      <c r="Z23" s="452"/>
      <c r="AA23" s="452"/>
      <c r="AB23" s="452"/>
      <c r="AC23" s="453"/>
      <c r="AD23" s="453"/>
      <c r="AE23" s="453"/>
      <c r="AF23" s="452"/>
      <c r="AG23" s="616"/>
    </row>
    <row r="24" spans="1:33">
      <c r="A24" s="393" t="s">
        <v>50</v>
      </c>
      <c r="B24" s="405" t="s">
        <v>67</v>
      </c>
      <c r="C24" s="498" t="s">
        <v>924</v>
      </c>
      <c r="D24" s="490">
        <v>102030</v>
      </c>
      <c r="E24" s="395">
        <v>9</v>
      </c>
      <c r="F24" s="450">
        <f t="shared" si="4"/>
        <v>54962</v>
      </c>
      <c r="G24" s="451">
        <f t="shared" si="5"/>
        <v>49598</v>
      </c>
      <c r="H24" s="452">
        <v>30222</v>
      </c>
      <c r="I24" s="453">
        <v>30894</v>
      </c>
      <c r="J24" s="452">
        <v>30</v>
      </c>
      <c r="K24" s="453">
        <v>174</v>
      </c>
      <c r="L24" s="452">
        <v>20271</v>
      </c>
      <c r="M24" s="452"/>
      <c r="N24" s="452">
        <v>4439</v>
      </c>
      <c r="O24" s="453">
        <v>18529</v>
      </c>
      <c r="P24" s="453"/>
      <c r="Q24" s="453"/>
      <c r="R24" s="452"/>
      <c r="S24" s="453">
        <v>1</v>
      </c>
      <c r="T24" s="450">
        <f t="shared" si="6"/>
        <v>0</v>
      </c>
      <c r="U24" s="451">
        <f t="shared" si="7"/>
        <v>0</v>
      </c>
      <c r="V24" s="452"/>
      <c r="W24" s="453"/>
      <c r="X24" s="452"/>
      <c r="Y24" s="453"/>
      <c r="Z24" s="452"/>
      <c r="AA24" s="452"/>
      <c r="AB24" s="452"/>
      <c r="AC24" s="453"/>
      <c r="AD24" s="453"/>
      <c r="AE24" s="453"/>
      <c r="AF24" s="452"/>
      <c r="AG24" s="616"/>
    </row>
    <row r="25" spans="1:33">
      <c r="A25" s="393" t="s">
        <v>50</v>
      </c>
      <c r="B25" s="405" t="s">
        <v>717</v>
      </c>
      <c r="C25" s="499" t="s">
        <v>925</v>
      </c>
      <c r="D25" s="500" t="s">
        <v>904</v>
      </c>
      <c r="E25" s="395">
        <v>8</v>
      </c>
      <c r="F25" s="450">
        <f t="shared" si="4"/>
        <v>155707</v>
      </c>
      <c r="G25" s="451">
        <f t="shared" si="5"/>
        <v>148053</v>
      </c>
      <c r="H25" s="452">
        <v>62239</v>
      </c>
      <c r="I25" s="453">
        <v>83315</v>
      </c>
      <c r="J25" s="452">
        <v>20558</v>
      </c>
      <c r="K25" s="453">
        <v>0</v>
      </c>
      <c r="L25" s="452">
        <v>72910</v>
      </c>
      <c r="M25" s="452"/>
      <c r="N25" s="452"/>
      <c r="O25" s="453">
        <v>64738</v>
      </c>
      <c r="P25" s="453"/>
      <c r="Q25" s="453"/>
      <c r="R25" s="452"/>
      <c r="S25" s="453"/>
      <c r="T25" s="450">
        <f t="shared" si="6"/>
        <v>0</v>
      </c>
      <c r="U25" s="451">
        <f t="shared" si="7"/>
        <v>0</v>
      </c>
      <c r="V25" s="452"/>
      <c r="W25" s="453"/>
      <c r="X25" s="452"/>
      <c r="Y25" s="453"/>
      <c r="Z25" s="452"/>
      <c r="AA25" s="452"/>
      <c r="AB25" s="452"/>
      <c r="AC25" s="453"/>
      <c r="AD25" s="453"/>
      <c r="AE25" s="453"/>
      <c r="AF25" s="452"/>
      <c r="AG25" s="616"/>
    </row>
    <row r="26" spans="1:33">
      <c r="A26" s="393" t="s">
        <v>50</v>
      </c>
      <c r="B26" s="394" t="s">
        <v>68</v>
      </c>
      <c r="C26" s="501"/>
      <c r="D26" s="490">
        <v>101240</v>
      </c>
      <c r="E26" s="395">
        <v>9</v>
      </c>
      <c r="F26" s="450">
        <f t="shared" si="4"/>
        <v>97135</v>
      </c>
      <c r="G26" s="451">
        <f t="shared" si="5"/>
        <v>95762</v>
      </c>
      <c r="H26" s="452">
        <v>52282</v>
      </c>
      <c r="I26" s="453">
        <v>48380</v>
      </c>
      <c r="J26" s="452"/>
      <c r="K26" s="453">
        <v>0</v>
      </c>
      <c r="L26" s="452">
        <v>44853</v>
      </c>
      <c r="M26" s="452"/>
      <c r="N26" s="452"/>
      <c r="O26" s="453">
        <v>47382</v>
      </c>
      <c r="P26" s="453"/>
      <c r="Q26" s="453"/>
      <c r="R26" s="452"/>
      <c r="S26" s="453"/>
      <c r="T26" s="450">
        <f t="shared" si="6"/>
        <v>0</v>
      </c>
      <c r="U26" s="451">
        <f t="shared" si="7"/>
        <v>0</v>
      </c>
      <c r="V26" s="452"/>
      <c r="W26" s="453"/>
      <c r="X26" s="452"/>
      <c r="Y26" s="453"/>
      <c r="Z26" s="452"/>
      <c r="AA26" s="452"/>
      <c r="AB26" s="452"/>
      <c r="AC26" s="453"/>
      <c r="AD26" s="453"/>
      <c r="AE26" s="453"/>
      <c r="AF26" s="452"/>
      <c r="AG26" s="616"/>
    </row>
    <row r="27" spans="1:33">
      <c r="A27" s="393" t="s">
        <v>50</v>
      </c>
      <c r="B27" s="403" t="s">
        <v>702</v>
      </c>
      <c r="C27" s="489"/>
      <c r="D27" s="490">
        <v>101286</v>
      </c>
      <c r="E27" s="395">
        <v>9</v>
      </c>
      <c r="F27" s="450">
        <f t="shared" si="4"/>
        <v>86139</v>
      </c>
      <c r="G27" s="451">
        <f t="shared" si="5"/>
        <v>79389</v>
      </c>
      <c r="H27" s="452">
        <v>48117</v>
      </c>
      <c r="I27" s="453">
        <v>49243</v>
      </c>
      <c r="J27" s="452">
        <v>3045</v>
      </c>
      <c r="K27" s="453">
        <v>1358</v>
      </c>
      <c r="L27" s="452">
        <v>34977</v>
      </c>
      <c r="M27" s="452"/>
      <c r="N27" s="452"/>
      <c r="O27" s="453">
        <v>28788</v>
      </c>
      <c r="P27" s="453"/>
      <c r="Q27" s="453"/>
      <c r="R27" s="452"/>
      <c r="S27" s="453"/>
      <c r="T27" s="450">
        <f t="shared" si="6"/>
        <v>0</v>
      </c>
      <c r="U27" s="451">
        <f t="shared" si="7"/>
        <v>0</v>
      </c>
      <c r="V27" s="452"/>
      <c r="W27" s="453"/>
      <c r="X27" s="452"/>
      <c r="Y27" s="453"/>
      <c r="Z27" s="452"/>
      <c r="AA27" s="452"/>
      <c r="AB27" s="452"/>
      <c r="AC27" s="453"/>
      <c r="AD27" s="453"/>
      <c r="AE27" s="453"/>
      <c r="AF27" s="452"/>
      <c r="AG27" s="616"/>
    </row>
    <row r="28" spans="1:33">
      <c r="A28" s="393" t="s">
        <v>50</v>
      </c>
      <c r="B28" s="403" t="s">
        <v>703</v>
      </c>
      <c r="C28" s="491"/>
      <c r="D28" s="490">
        <v>101295</v>
      </c>
      <c r="E28" s="395">
        <v>9</v>
      </c>
      <c r="F28" s="450">
        <f t="shared" si="4"/>
        <v>119234</v>
      </c>
      <c r="G28" s="451">
        <f t="shared" si="5"/>
        <v>112994</v>
      </c>
      <c r="H28" s="452">
        <v>80964</v>
      </c>
      <c r="I28" s="453">
        <v>65521</v>
      </c>
      <c r="J28" s="452"/>
      <c r="K28" s="453">
        <v>0</v>
      </c>
      <c r="L28" s="452">
        <v>38270</v>
      </c>
      <c r="M28" s="452"/>
      <c r="N28" s="452"/>
      <c r="O28" s="453">
        <v>47473</v>
      </c>
      <c r="P28" s="453"/>
      <c r="Q28" s="453"/>
      <c r="R28" s="452"/>
      <c r="S28" s="453"/>
      <c r="T28" s="450">
        <f t="shared" si="6"/>
        <v>0</v>
      </c>
      <c r="U28" s="451">
        <f t="shared" si="7"/>
        <v>0</v>
      </c>
      <c r="V28" s="452"/>
      <c r="W28" s="453"/>
      <c r="X28" s="452"/>
      <c r="Y28" s="453"/>
      <c r="Z28" s="452"/>
      <c r="AA28" s="452"/>
      <c r="AB28" s="452"/>
      <c r="AC28" s="453"/>
      <c r="AD28" s="453"/>
      <c r="AE28" s="453"/>
      <c r="AF28" s="452"/>
      <c r="AG28" s="616"/>
    </row>
    <row r="29" spans="1:33">
      <c r="A29" s="393" t="s">
        <v>50</v>
      </c>
      <c r="B29" s="394" t="s">
        <v>69</v>
      </c>
      <c r="C29" s="489"/>
      <c r="D29" s="490">
        <v>101569</v>
      </c>
      <c r="E29" s="490">
        <v>9</v>
      </c>
      <c r="F29" s="450">
        <f t="shared" si="4"/>
        <v>68517</v>
      </c>
      <c r="G29" s="451">
        <f t="shared" si="5"/>
        <v>66086</v>
      </c>
      <c r="H29" s="452">
        <v>30307</v>
      </c>
      <c r="I29" s="453">
        <v>21052</v>
      </c>
      <c r="J29" s="452">
        <v>740</v>
      </c>
      <c r="K29" s="453">
        <v>522</v>
      </c>
      <c r="L29" s="452">
        <v>37470</v>
      </c>
      <c r="M29" s="452"/>
      <c r="N29" s="452"/>
      <c r="O29" s="453">
        <v>44126</v>
      </c>
      <c r="P29" s="453"/>
      <c r="Q29" s="453">
        <v>386</v>
      </c>
      <c r="R29" s="452"/>
      <c r="S29" s="453"/>
      <c r="T29" s="450">
        <f t="shared" si="6"/>
        <v>0</v>
      </c>
      <c r="U29" s="451">
        <f t="shared" si="7"/>
        <v>0</v>
      </c>
      <c r="V29" s="452"/>
      <c r="W29" s="453"/>
      <c r="X29" s="452"/>
      <c r="Y29" s="453"/>
      <c r="Z29" s="452"/>
      <c r="AA29" s="452"/>
      <c r="AB29" s="452"/>
      <c r="AC29" s="453"/>
      <c r="AD29" s="453"/>
      <c r="AE29" s="453"/>
      <c r="AF29" s="452"/>
      <c r="AG29" s="616"/>
    </row>
    <row r="30" spans="1:33">
      <c r="A30" s="393" t="s">
        <v>50</v>
      </c>
      <c r="B30" s="394" t="s">
        <v>70</v>
      </c>
      <c r="C30" s="397" t="s">
        <v>926</v>
      </c>
      <c r="D30" s="490">
        <v>101736</v>
      </c>
      <c r="E30" s="490">
        <v>9</v>
      </c>
      <c r="F30" s="450">
        <f t="shared" si="4"/>
        <v>62327</v>
      </c>
      <c r="G30" s="451">
        <f t="shared" si="5"/>
        <v>58998</v>
      </c>
      <c r="H30" s="452">
        <v>45059</v>
      </c>
      <c r="I30" s="453">
        <v>38528</v>
      </c>
      <c r="J30" s="452"/>
      <c r="K30" s="453">
        <v>0</v>
      </c>
      <c r="L30" s="452">
        <v>17268</v>
      </c>
      <c r="M30" s="452"/>
      <c r="N30" s="452"/>
      <c r="O30" s="453">
        <v>20470</v>
      </c>
      <c r="P30" s="453"/>
      <c r="Q30" s="453"/>
      <c r="R30" s="452"/>
      <c r="S30" s="453"/>
      <c r="T30" s="450">
        <f t="shared" si="6"/>
        <v>0</v>
      </c>
      <c r="U30" s="451">
        <f t="shared" si="7"/>
        <v>0</v>
      </c>
      <c r="V30" s="452"/>
      <c r="W30" s="453"/>
      <c r="X30" s="452"/>
      <c r="Y30" s="453"/>
      <c r="Z30" s="452"/>
      <c r="AA30" s="452"/>
      <c r="AB30" s="452"/>
      <c r="AC30" s="453"/>
      <c r="AD30" s="453"/>
      <c r="AE30" s="453"/>
      <c r="AF30" s="452"/>
      <c r="AG30" s="616"/>
    </row>
    <row r="31" spans="1:33">
      <c r="A31" s="393" t="s">
        <v>50</v>
      </c>
      <c r="B31" s="394" t="s">
        <v>71</v>
      </c>
      <c r="C31" s="489"/>
      <c r="D31" s="490">
        <v>102067</v>
      </c>
      <c r="E31" s="490">
        <v>9</v>
      </c>
      <c r="F31" s="450">
        <f t="shared" si="4"/>
        <v>91902</v>
      </c>
      <c r="G31" s="451">
        <f t="shared" si="5"/>
        <v>88841</v>
      </c>
      <c r="H31" s="452">
        <v>41063</v>
      </c>
      <c r="I31" s="453">
        <v>40778</v>
      </c>
      <c r="J31" s="452"/>
      <c r="K31" s="453">
        <v>0</v>
      </c>
      <c r="L31" s="452">
        <v>50839</v>
      </c>
      <c r="M31" s="452"/>
      <c r="N31" s="452"/>
      <c r="O31" s="453">
        <v>48063</v>
      </c>
      <c r="P31" s="453"/>
      <c r="Q31" s="453"/>
      <c r="R31" s="452"/>
      <c r="S31" s="453"/>
      <c r="T31" s="450">
        <f t="shared" si="6"/>
        <v>0</v>
      </c>
      <c r="U31" s="451">
        <f t="shared" si="7"/>
        <v>0</v>
      </c>
      <c r="V31" s="452"/>
      <c r="W31" s="453"/>
      <c r="X31" s="452"/>
      <c r="Y31" s="453"/>
      <c r="Z31" s="452"/>
      <c r="AA31" s="452"/>
      <c r="AB31" s="452"/>
      <c r="AC31" s="453"/>
      <c r="AD31" s="453"/>
      <c r="AE31" s="453"/>
      <c r="AF31" s="452"/>
      <c r="AG31" s="616"/>
    </row>
    <row r="32" spans="1:33">
      <c r="A32" s="393" t="s">
        <v>50</v>
      </c>
      <c r="B32" s="394" t="s">
        <v>72</v>
      </c>
      <c r="C32" s="489"/>
      <c r="D32" s="490">
        <v>251260</v>
      </c>
      <c r="E32" s="490">
        <v>9</v>
      </c>
      <c r="F32" s="450">
        <f t="shared" si="4"/>
        <v>104065</v>
      </c>
      <c r="G32" s="451">
        <f t="shared" si="5"/>
        <v>96103</v>
      </c>
      <c r="H32" s="452">
        <v>13957</v>
      </c>
      <c r="I32" s="453">
        <v>37781</v>
      </c>
      <c r="J32" s="452">
        <v>41628</v>
      </c>
      <c r="K32" s="453">
        <v>16457</v>
      </c>
      <c r="L32" s="452">
        <v>47918</v>
      </c>
      <c r="M32" s="452">
        <v>63</v>
      </c>
      <c r="N32" s="452"/>
      <c r="O32" s="453">
        <v>41081</v>
      </c>
      <c r="P32" s="453">
        <v>9</v>
      </c>
      <c r="Q32" s="453">
        <v>0</v>
      </c>
      <c r="R32" s="452">
        <v>499</v>
      </c>
      <c r="S32" s="453">
        <v>775</v>
      </c>
      <c r="T32" s="450">
        <f t="shared" si="6"/>
        <v>0</v>
      </c>
      <c r="U32" s="451">
        <f t="shared" si="7"/>
        <v>0</v>
      </c>
      <c r="V32" s="452"/>
      <c r="W32" s="453"/>
      <c r="X32" s="452"/>
      <c r="Y32" s="453"/>
      <c r="Z32" s="452"/>
      <c r="AA32" s="452"/>
      <c r="AB32" s="452"/>
      <c r="AC32" s="453"/>
      <c r="AD32" s="453"/>
      <c r="AE32" s="453"/>
      <c r="AF32" s="452"/>
      <c r="AG32" s="616"/>
    </row>
    <row r="33" spans="1:35">
      <c r="A33" s="393" t="s">
        <v>50</v>
      </c>
      <c r="B33" s="394" t="s">
        <v>73</v>
      </c>
      <c r="C33" s="501"/>
      <c r="D33" s="490">
        <v>100760</v>
      </c>
      <c r="E33" s="490">
        <v>10</v>
      </c>
      <c r="F33" s="450">
        <f t="shared" si="4"/>
        <v>32016</v>
      </c>
      <c r="G33" s="451">
        <f t="shared" si="5"/>
        <v>29197</v>
      </c>
      <c r="H33" s="452">
        <v>11305</v>
      </c>
      <c r="I33" s="453">
        <v>10216</v>
      </c>
      <c r="J33" s="452"/>
      <c r="K33" s="453">
        <v>0</v>
      </c>
      <c r="L33" s="452">
        <v>20711</v>
      </c>
      <c r="M33" s="452"/>
      <c r="N33" s="452"/>
      <c r="O33" s="453">
        <v>18981</v>
      </c>
      <c r="P33" s="453"/>
      <c r="Q33" s="453"/>
      <c r="R33" s="452"/>
      <c r="S33" s="453"/>
      <c r="T33" s="450">
        <f t="shared" si="6"/>
        <v>0</v>
      </c>
      <c r="U33" s="451">
        <f t="shared" si="7"/>
        <v>0</v>
      </c>
      <c r="V33" s="452"/>
      <c r="W33" s="453"/>
      <c r="X33" s="452"/>
      <c r="Y33" s="453"/>
      <c r="Z33" s="452"/>
      <c r="AA33" s="452"/>
      <c r="AB33" s="452"/>
      <c r="AC33" s="453"/>
      <c r="AD33" s="453"/>
      <c r="AE33" s="453"/>
      <c r="AF33" s="452"/>
      <c r="AG33" s="616"/>
    </row>
    <row r="34" spans="1:35">
      <c r="A34" s="393" t="s">
        <v>50</v>
      </c>
      <c r="B34" s="403" t="s">
        <v>704</v>
      </c>
      <c r="C34" s="489"/>
      <c r="D34" s="490">
        <v>101028</v>
      </c>
      <c r="E34" s="490">
        <v>10</v>
      </c>
      <c r="F34" s="450">
        <f t="shared" si="4"/>
        <v>34657</v>
      </c>
      <c r="G34" s="451">
        <f t="shared" si="5"/>
        <v>29478</v>
      </c>
      <c r="H34" s="452">
        <v>12781</v>
      </c>
      <c r="I34" s="453">
        <v>12130</v>
      </c>
      <c r="J34" s="452">
        <v>4192</v>
      </c>
      <c r="K34" s="453">
        <v>5446</v>
      </c>
      <c r="L34" s="452">
        <v>17607</v>
      </c>
      <c r="M34" s="452"/>
      <c r="N34" s="452"/>
      <c r="O34" s="453">
        <v>11768</v>
      </c>
      <c r="P34" s="453">
        <v>0</v>
      </c>
      <c r="Q34" s="453">
        <v>65</v>
      </c>
      <c r="R34" s="452">
        <v>77</v>
      </c>
      <c r="S34" s="453">
        <v>69</v>
      </c>
      <c r="T34" s="450">
        <f t="shared" si="6"/>
        <v>0</v>
      </c>
      <c r="U34" s="451">
        <f t="shared" si="7"/>
        <v>0</v>
      </c>
      <c r="V34" s="452"/>
      <c r="W34" s="453"/>
      <c r="X34" s="452"/>
      <c r="Y34" s="453"/>
      <c r="Z34" s="452"/>
      <c r="AA34" s="452"/>
      <c r="AB34" s="452"/>
      <c r="AC34" s="453"/>
      <c r="AD34" s="453"/>
      <c r="AE34" s="453"/>
      <c r="AF34" s="452"/>
      <c r="AG34" s="616"/>
    </row>
    <row r="35" spans="1:35">
      <c r="A35" s="393" t="s">
        <v>50</v>
      </c>
      <c r="B35" s="406" t="s">
        <v>705</v>
      </c>
      <c r="C35" s="491"/>
      <c r="D35" s="490">
        <v>101143</v>
      </c>
      <c r="E35" s="490">
        <v>10</v>
      </c>
      <c r="F35" s="450">
        <f t="shared" si="4"/>
        <v>41035</v>
      </c>
      <c r="G35" s="451">
        <f t="shared" si="5"/>
        <v>42949</v>
      </c>
      <c r="H35" s="452">
        <v>22170</v>
      </c>
      <c r="I35" s="453">
        <v>23093</v>
      </c>
      <c r="J35" s="452">
        <v>77</v>
      </c>
      <c r="K35" s="453">
        <v>0</v>
      </c>
      <c r="L35" s="452">
        <v>18727</v>
      </c>
      <c r="M35" s="452"/>
      <c r="N35" s="452">
        <v>61</v>
      </c>
      <c r="O35" s="453">
        <v>19856</v>
      </c>
      <c r="P35" s="453"/>
      <c r="Q35" s="453"/>
      <c r="R35" s="452"/>
      <c r="S35" s="453"/>
      <c r="T35" s="450">
        <f t="shared" si="6"/>
        <v>0</v>
      </c>
      <c r="U35" s="451">
        <f t="shared" si="7"/>
        <v>0</v>
      </c>
      <c r="V35" s="452"/>
      <c r="W35" s="453"/>
      <c r="X35" s="452"/>
      <c r="Y35" s="453"/>
      <c r="Z35" s="452"/>
      <c r="AA35" s="452"/>
      <c r="AB35" s="452"/>
      <c r="AC35" s="453"/>
      <c r="AD35" s="453"/>
      <c r="AE35" s="453"/>
      <c r="AF35" s="452"/>
      <c r="AG35" s="616"/>
    </row>
    <row r="36" spans="1:35">
      <c r="A36" s="393" t="s">
        <v>50</v>
      </c>
      <c r="B36" s="394" t="s">
        <v>74</v>
      </c>
      <c r="C36" s="489"/>
      <c r="D36" s="490">
        <v>101301</v>
      </c>
      <c r="E36" s="490">
        <v>10</v>
      </c>
      <c r="F36" s="450">
        <f t="shared" si="4"/>
        <v>31509</v>
      </c>
      <c r="G36" s="451">
        <f t="shared" si="5"/>
        <v>30959</v>
      </c>
      <c r="H36" s="452">
        <v>14061</v>
      </c>
      <c r="I36" s="453">
        <v>14416</v>
      </c>
      <c r="J36" s="452"/>
      <c r="K36" s="453">
        <v>0</v>
      </c>
      <c r="L36" s="452">
        <v>17448</v>
      </c>
      <c r="M36" s="452"/>
      <c r="N36" s="452"/>
      <c r="O36" s="453">
        <v>16543</v>
      </c>
      <c r="P36" s="453"/>
      <c r="Q36" s="453"/>
      <c r="R36" s="452"/>
      <c r="S36" s="453"/>
      <c r="T36" s="450">
        <f t="shared" si="6"/>
        <v>0</v>
      </c>
      <c r="U36" s="451">
        <f t="shared" si="7"/>
        <v>0</v>
      </c>
      <c r="V36" s="452"/>
      <c r="W36" s="453"/>
      <c r="X36" s="452"/>
      <c r="Y36" s="453"/>
      <c r="Z36" s="452"/>
      <c r="AA36" s="452"/>
      <c r="AB36" s="452"/>
      <c r="AC36" s="453"/>
      <c r="AD36" s="453"/>
      <c r="AE36" s="453"/>
      <c r="AF36" s="452"/>
      <c r="AG36" s="616"/>
    </row>
    <row r="37" spans="1:35">
      <c r="A37" s="393" t="s">
        <v>50</v>
      </c>
      <c r="B37" s="394" t="s">
        <v>75</v>
      </c>
      <c r="C37" s="489"/>
      <c r="D37" s="490">
        <v>101602</v>
      </c>
      <c r="E37" s="490">
        <v>10</v>
      </c>
      <c r="F37" s="450">
        <f t="shared" si="4"/>
        <v>37853</v>
      </c>
      <c r="G37" s="451">
        <f t="shared" si="5"/>
        <v>38610</v>
      </c>
      <c r="H37" s="452">
        <v>18618</v>
      </c>
      <c r="I37" s="453">
        <v>21127</v>
      </c>
      <c r="J37" s="452">
        <v>963</v>
      </c>
      <c r="K37" s="453">
        <v>486</v>
      </c>
      <c r="L37" s="452">
        <v>18272</v>
      </c>
      <c r="M37" s="452"/>
      <c r="N37" s="452"/>
      <c r="O37" s="453">
        <v>16997</v>
      </c>
      <c r="P37" s="453"/>
      <c r="Q37" s="453"/>
      <c r="R37" s="452"/>
      <c r="S37" s="453"/>
      <c r="T37" s="450">
        <f t="shared" si="6"/>
        <v>0</v>
      </c>
      <c r="U37" s="451">
        <f t="shared" si="7"/>
        <v>0</v>
      </c>
      <c r="V37" s="452"/>
      <c r="W37" s="453"/>
      <c r="X37" s="452"/>
      <c r="Y37" s="453"/>
      <c r="Z37" s="452"/>
      <c r="AA37" s="452"/>
      <c r="AB37" s="452"/>
      <c r="AC37" s="453"/>
      <c r="AD37" s="453"/>
      <c r="AE37" s="453"/>
      <c r="AF37" s="452"/>
      <c r="AG37" s="616"/>
    </row>
    <row r="38" spans="1:35">
      <c r="A38" s="393" t="s">
        <v>50</v>
      </c>
      <c r="B38" s="407" t="s">
        <v>706</v>
      </c>
      <c r="C38" s="502"/>
      <c r="D38" s="490">
        <v>101897</v>
      </c>
      <c r="E38" s="490">
        <v>10</v>
      </c>
      <c r="F38" s="450">
        <f t="shared" si="4"/>
        <v>56491</v>
      </c>
      <c r="G38" s="451">
        <f t="shared" si="5"/>
        <v>49137</v>
      </c>
      <c r="H38" s="452">
        <v>21613</v>
      </c>
      <c r="I38" s="453">
        <v>21832</v>
      </c>
      <c r="J38" s="452">
        <v>2459</v>
      </c>
      <c r="K38" s="453">
        <v>212</v>
      </c>
      <c r="L38" s="452">
        <v>32419</v>
      </c>
      <c r="M38" s="452"/>
      <c r="N38" s="452"/>
      <c r="O38" s="453">
        <v>27093</v>
      </c>
      <c r="P38" s="453"/>
      <c r="Q38" s="453"/>
      <c r="R38" s="452"/>
      <c r="S38" s="453"/>
      <c r="T38" s="450">
        <f t="shared" si="6"/>
        <v>0</v>
      </c>
      <c r="U38" s="451">
        <f t="shared" si="7"/>
        <v>0</v>
      </c>
      <c r="V38" s="452"/>
      <c r="W38" s="453"/>
      <c r="X38" s="452"/>
      <c r="Y38" s="453"/>
      <c r="Z38" s="452"/>
      <c r="AA38" s="452"/>
      <c r="AB38" s="452"/>
      <c r="AC38" s="453"/>
      <c r="AD38" s="453"/>
      <c r="AE38" s="453"/>
      <c r="AF38" s="452"/>
      <c r="AG38" s="616"/>
    </row>
    <row r="39" spans="1:35">
      <c r="A39" s="393" t="s">
        <v>50</v>
      </c>
      <c r="B39" s="394" t="s">
        <v>76</v>
      </c>
      <c r="C39" s="502"/>
      <c r="D39" s="490">
        <v>102076</v>
      </c>
      <c r="E39" s="490">
        <v>10</v>
      </c>
      <c r="F39" s="450">
        <f t="shared" si="4"/>
        <v>56582</v>
      </c>
      <c r="G39" s="451">
        <f t="shared" si="5"/>
        <v>54059</v>
      </c>
      <c r="H39" s="452">
        <v>18360</v>
      </c>
      <c r="I39" s="453">
        <v>15106</v>
      </c>
      <c r="J39" s="452"/>
      <c r="K39" s="453">
        <v>0</v>
      </c>
      <c r="L39" s="452">
        <v>38222</v>
      </c>
      <c r="M39" s="452"/>
      <c r="N39" s="452"/>
      <c r="O39" s="453">
        <v>38953</v>
      </c>
      <c r="P39" s="453"/>
      <c r="Q39" s="453"/>
      <c r="R39" s="452"/>
      <c r="S39" s="453"/>
      <c r="T39" s="450">
        <f t="shared" si="6"/>
        <v>0</v>
      </c>
      <c r="U39" s="451">
        <f t="shared" si="7"/>
        <v>0</v>
      </c>
      <c r="V39" s="452"/>
      <c r="W39" s="453"/>
      <c r="X39" s="452"/>
      <c r="Y39" s="453"/>
      <c r="Z39" s="452"/>
      <c r="AA39" s="452"/>
      <c r="AB39" s="452"/>
      <c r="AC39" s="453"/>
      <c r="AD39" s="453"/>
      <c r="AE39" s="453"/>
      <c r="AF39" s="452"/>
      <c r="AG39" s="616"/>
    </row>
    <row r="40" spans="1:35">
      <c r="A40" s="393" t="s">
        <v>50</v>
      </c>
      <c r="B40" s="403" t="s">
        <v>707</v>
      </c>
      <c r="C40" s="501"/>
      <c r="D40" s="490">
        <v>102313</v>
      </c>
      <c r="E40" s="490">
        <v>12</v>
      </c>
      <c r="F40" s="450">
        <f t="shared" si="4"/>
        <v>40736</v>
      </c>
      <c r="G40" s="451">
        <f t="shared" si="5"/>
        <v>39698</v>
      </c>
      <c r="H40" s="452">
        <v>17420</v>
      </c>
      <c r="I40" s="453">
        <v>16648</v>
      </c>
      <c r="J40" s="452">
        <v>1148</v>
      </c>
      <c r="K40" s="453">
        <v>1376</v>
      </c>
      <c r="L40" s="452">
        <v>22168</v>
      </c>
      <c r="M40" s="452"/>
      <c r="N40" s="452"/>
      <c r="O40" s="453">
        <v>21674</v>
      </c>
      <c r="P40" s="453"/>
      <c r="Q40" s="453"/>
      <c r="R40" s="452"/>
      <c r="S40" s="453"/>
      <c r="T40" s="450">
        <f t="shared" si="6"/>
        <v>0</v>
      </c>
      <c r="U40" s="451">
        <f t="shared" si="7"/>
        <v>0</v>
      </c>
      <c r="V40" s="452"/>
      <c r="W40" s="453"/>
      <c r="X40" s="452"/>
      <c r="Y40" s="453"/>
      <c r="Z40" s="452"/>
      <c r="AA40" s="452"/>
      <c r="AB40" s="452"/>
      <c r="AC40" s="453"/>
      <c r="AD40" s="453"/>
      <c r="AE40" s="453"/>
      <c r="AF40" s="452"/>
      <c r="AG40" s="616"/>
    </row>
    <row r="41" spans="1:35">
      <c r="A41" s="393" t="s">
        <v>50</v>
      </c>
      <c r="B41" s="403" t="s">
        <v>708</v>
      </c>
      <c r="C41" s="489"/>
      <c r="D41" s="490">
        <v>101462</v>
      </c>
      <c r="E41" s="490">
        <v>13</v>
      </c>
      <c r="F41" s="450">
        <f t="shared" si="4"/>
        <v>16483</v>
      </c>
      <c r="G41" s="451">
        <f t="shared" si="5"/>
        <v>16838</v>
      </c>
      <c r="H41" s="452">
        <v>11136</v>
      </c>
      <c r="I41" s="453">
        <v>9718</v>
      </c>
      <c r="J41" s="452"/>
      <c r="K41" s="453">
        <v>0</v>
      </c>
      <c r="L41" s="452">
        <v>5347</v>
      </c>
      <c r="M41" s="452"/>
      <c r="N41" s="452"/>
      <c r="O41" s="453">
        <v>7120</v>
      </c>
      <c r="P41" s="453"/>
      <c r="Q41" s="453"/>
      <c r="R41" s="452"/>
      <c r="S41" s="453"/>
      <c r="T41" s="450">
        <f t="shared" si="6"/>
        <v>0</v>
      </c>
      <c r="U41" s="451">
        <f t="shared" si="7"/>
        <v>0</v>
      </c>
      <c r="V41" s="452"/>
      <c r="W41" s="453"/>
      <c r="X41" s="452"/>
      <c r="Y41" s="453"/>
      <c r="Z41" s="452"/>
      <c r="AA41" s="452"/>
      <c r="AB41" s="452"/>
      <c r="AC41" s="453"/>
      <c r="AD41" s="453"/>
      <c r="AE41" s="453"/>
      <c r="AF41" s="452"/>
      <c r="AG41" s="616"/>
    </row>
    <row r="42" spans="1:35">
      <c r="A42" s="393" t="s">
        <v>50</v>
      </c>
      <c r="B42" s="394" t="s">
        <v>77</v>
      </c>
      <c r="C42" s="489"/>
      <c r="D42" s="490">
        <v>101471</v>
      </c>
      <c r="E42" s="490">
        <v>13</v>
      </c>
      <c r="F42" s="450">
        <f t="shared" si="4"/>
        <v>11298</v>
      </c>
      <c r="G42" s="451">
        <f t="shared" si="5"/>
        <v>12753</v>
      </c>
      <c r="H42" s="452">
        <v>5978</v>
      </c>
      <c r="I42" s="453">
        <v>83</v>
      </c>
      <c r="J42" s="452">
        <v>5320</v>
      </c>
      <c r="K42" s="453">
        <v>12670</v>
      </c>
      <c r="L42" s="452"/>
      <c r="M42" s="452"/>
      <c r="N42" s="452"/>
      <c r="O42" s="453">
        <v>0</v>
      </c>
      <c r="P42" s="453"/>
      <c r="Q42" s="453"/>
      <c r="R42" s="452"/>
      <c r="S42" s="453"/>
      <c r="T42" s="450">
        <f t="shared" si="6"/>
        <v>0</v>
      </c>
      <c r="U42" s="451">
        <f t="shared" si="7"/>
        <v>0</v>
      </c>
      <c r="V42" s="452"/>
      <c r="W42" s="453"/>
      <c r="X42" s="452"/>
      <c r="Y42" s="453"/>
      <c r="Z42" s="452"/>
      <c r="AA42" s="452"/>
      <c r="AB42" s="452"/>
      <c r="AC42" s="453"/>
      <c r="AD42" s="453"/>
      <c r="AE42" s="453"/>
      <c r="AF42" s="452"/>
      <c r="AG42" s="616"/>
    </row>
    <row r="43" spans="1:35">
      <c r="A43" s="393" t="s">
        <v>50</v>
      </c>
      <c r="B43" s="394" t="s">
        <v>78</v>
      </c>
      <c r="C43" s="489"/>
      <c r="D43" s="490">
        <v>101994</v>
      </c>
      <c r="E43" s="490">
        <v>13</v>
      </c>
      <c r="F43" s="450">
        <f t="shared" si="4"/>
        <v>9397</v>
      </c>
      <c r="G43" s="451">
        <f t="shared" si="5"/>
        <v>8607</v>
      </c>
      <c r="H43" s="452">
        <v>6922</v>
      </c>
      <c r="I43" s="453">
        <v>7238</v>
      </c>
      <c r="J43" s="452">
        <v>2078</v>
      </c>
      <c r="K43" s="453">
        <v>0</v>
      </c>
      <c r="L43" s="452">
        <v>397</v>
      </c>
      <c r="M43" s="452"/>
      <c r="N43" s="452"/>
      <c r="O43" s="453">
        <v>1369</v>
      </c>
      <c r="P43" s="453"/>
      <c r="Q43" s="453"/>
      <c r="R43" s="452"/>
      <c r="S43" s="453"/>
      <c r="T43" s="450">
        <f t="shared" si="6"/>
        <v>0</v>
      </c>
      <c r="U43" s="451">
        <f t="shared" si="7"/>
        <v>0</v>
      </c>
      <c r="V43" s="452"/>
      <c r="W43" s="453"/>
      <c r="X43" s="452"/>
      <c r="Y43" s="453"/>
      <c r="Z43" s="452"/>
      <c r="AA43" s="452"/>
      <c r="AB43" s="452"/>
      <c r="AC43" s="453"/>
      <c r="AD43" s="453"/>
      <c r="AE43" s="453"/>
      <c r="AF43" s="452"/>
      <c r="AG43" s="616"/>
    </row>
    <row r="44" spans="1:35">
      <c r="A44" s="393" t="s">
        <v>50</v>
      </c>
      <c r="B44" s="394" t="s">
        <v>79</v>
      </c>
      <c r="C44" s="489"/>
      <c r="D44" s="490">
        <v>101648</v>
      </c>
      <c r="E44" s="490">
        <v>15</v>
      </c>
      <c r="F44" s="450">
        <f t="shared" si="4"/>
        <v>12708</v>
      </c>
      <c r="G44" s="451">
        <f t="shared" si="5"/>
        <v>10955</v>
      </c>
      <c r="H44" s="452">
        <v>11896</v>
      </c>
      <c r="I44" s="453">
        <v>10112</v>
      </c>
      <c r="J44" s="452"/>
      <c r="K44" s="453">
        <v>0</v>
      </c>
      <c r="L44" s="452">
        <v>812</v>
      </c>
      <c r="M44" s="452"/>
      <c r="N44" s="452"/>
      <c r="O44" s="453">
        <v>843</v>
      </c>
      <c r="P44" s="453"/>
      <c r="Q44" s="453"/>
      <c r="R44" s="452"/>
      <c r="S44" s="453"/>
      <c r="T44" s="450">
        <f t="shared" si="6"/>
        <v>0</v>
      </c>
      <c r="U44" s="451">
        <f t="shared" si="7"/>
        <v>0</v>
      </c>
      <c r="V44" s="452"/>
      <c r="W44" s="453"/>
      <c r="X44" s="452"/>
      <c r="Y44" s="453"/>
      <c r="Z44" s="452"/>
      <c r="AA44" s="452"/>
      <c r="AB44" s="452"/>
      <c r="AC44" s="453"/>
      <c r="AD44" s="453"/>
      <c r="AE44" s="453"/>
      <c r="AF44" s="452"/>
      <c r="AG44" s="616"/>
    </row>
    <row r="45" spans="1:35" s="14" customFormat="1" ht="15.75" customHeight="1">
      <c r="A45" s="460" t="s">
        <v>80</v>
      </c>
      <c r="B45" s="461" t="s">
        <v>83</v>
      </c>
      <c r="C45" s="503"/>
      <c r="D45" s="504">
        <v>106458</v>
      </c>
      <c r="E45" s="504">
        <v>3</v>
      </c>
      <c r="F45" s="450">
        <f t="shared" si="4"/>
        <v>245199</v>
      </c>
      <c r="G45" s="451">
        <f t="shared" si="5"/>
        <v>230485</v>
      </c>
      <c r="H45" s="463">
        <v>153757</v>
      </c>
      <c r="I45" s="459">
        <v>93910</v>
      </c>
      <c r="J45" s="463">
        <v>10865</v>
      </c>
      <c r="K45" s="459">
        <v>8558</v>
      </c>
      <c r="L45" s="463">
        <v>79604</v>
      </c>
      <c r="M45" s="463">
        <v>973</v>
      </c>
      <c r="N45" s="463"/>
      <c r="O45" s="459">
        <v>126350</v>
      </c>
      <c r="P45" s="459">
        <v>1667</v>
      </c>
      <c r="Q45" s="459"/>
      <c r="R45" s="463"/>
      <c r="S45" s="459"/>
      <c r="T45" s="450">
        <f t="shared" si="6"/>
        <v>105992</v>
      </c>
      <c r="U45" s="451">
        <f t="shared" si="7"/>
        <v>108538</v>
      </c>
      <c r="V45" s="463">
        <v>19766</v>
      </c>
      <c r="W45" s="459">
        <v>14463</v>
      </c>
      <c r="X45" s="463"/>
      <c r="Y45" s="459">
        <v>3</v>
      </c>
      <c r="Z45" s="463">
        <v>86226</v>
      </c>
      <c r="AA45" s="463"/>
      <c r="AB45" s="463"/>
      <c r="AC45" s="459">
        <v>94072</v>
      </c>
      <c r="AD45" s="459"/>
      <c r="AE45" s="459"/>
      <c r="AF45" s="463"/>
      <c r="AG45" s="617"/>
      <c r="AH45" s="623"/>
      <c r="AI45" s="623"/>
    </row>
    <row r="46" spans="1:35" s="464" customFormat="1">
      <c r="A46" s="460" t="s">
        <v>80</v>
      </c>
      <c r="B46" s="461" t="s">
        <v>84</v>
      </c>
      <c r="C46" s="505"/>
      <c r="D46" s="504">
        <v>106467</v>
      </c>
      <c r="E46" s="504">
        <v>3</v>
      </c>
      <c r="F46" s="450">
        <f t="shared" si="4"/>
        <v>240477</v>
      </c>
      <c r="G46" s="451">
        <f t="shared" si="5"/>
        <v>220615</v>
      </c>
      <c r="H46" s="463">
        <v>149549</v>
      </c>
      <c r="I46" s="459">
        <v>54508</v>
      </c>
      <c r="J46" s="463">
        <v>18540</v>
      </c>
      <c r="K46" s="459">
        <v>16689</v>
      </c>
      <c r="L46" s="463">
        <v>69674</v>
      </c>
      <c r="M46" s="463"/>
      <c r="N46" s="463">
        <v>2714</v>
      </c>
      <c r="O46" s="459">
        <v>139608</v>
      </c>
      <c r="P46" s="459"/>
      <c r="Q46" s="459">
        <v>9810</v>
      </c>
      <c r="R46" s="463"/>
      <c r="S46" s="459"/>
      <c r="T46" s="450">
        <f t="shared" si="6"/>
        <v>11892</v>
      </c>
      <c r="U46" s="451">
        <f t="shared" si="7"/>
        <v>10691</v>
      </c>
      <c r="V46" s="463">
        <v>2481</v>
      </c>
      <c r="W46" s="459">
        <v>954</v>
      </c>
      <c r="X46" s="463">
        <v>27</v>
      </c>
      <c r="Y46" s="459"/>
      <c r="Z46" s="463">
        <v>8895</v>
      </c>
      <c r="AA46" s="463"/>
      <c r="AB46" s="463">
        <v>489</v>
      </c>
      <c r="AC46" s="459">
        <v>8684</v>
      </c>
      <c r="AD46" s="459"/>
      <c r="AE46" s="459">
        <v>1053</v>
      </c>
      <c r="AF46" s="463"/>
      <c r="AG46" s="617"/>
    </row>
    <row r="47" spans="1:35" s="464" customFormat="1">
      <c r="A47" s="460" t="s">
        <v>80</v>
      </c>
      <c r="B47" s="461" t="s">
        <v>86</v>
      </c>
      <c r="C47" s="503"/>
      <c r="D47" s="504">
        <v>107071</v>
      </c>
      <c r="E47" s="504">
        <v>4</v>
      </c>
      <c r="F47" s="450">
        <f t="shared" si="4"/>
        <v>91190</v>
      </c>
      <c r="G47" s="451">
        <f t="shared" si="5"/>
        <v>75260</v>
      </c>
      <c r="H47" s="463">
        <v>48999</v>
      </c>
      <c r="I47" s="459">
        <v>12997</v>
      </c>
      <c r="J47" s="463">
        <v>5733</v>
      </c>
      <c r="K47" s="459">
        <v>509</v>
      </c>
      <c r="L47" s="463">
        <v>36458</v>
      </c>
      <c r="M47" s="463"/>
      <c r="N47" s="463"/>
      <c r="O47" s="459">
        <v>61754</v>
      </c>
      <c r="P47" s="459"/>
      <c r="Q47" s="459"/>
      <c r="R47" s="463"/>
      <c r="S47" s="459"/>
      <c r="T47" s="450">
        <f t="shared" si="6"/>
        <v>9789</v>
      </c>
      <c r="U47" s="451">
        <f t="shared" si="7"/>
        <v>9006</v>
      </c>
      <c r="V47" s="463">
        <v>1086</v>
      </c>
      <c r="W47" s="459">
        <v>402</v>
      </c>
      <c r="X47" s="463"/>
      <c r="Y47" s="459"/>
      <c r="Z47" s="463">
        <v>8703</v>
      </c>
      <c r="AA47" s="463"/>
      <c r="AB47" s="463"/>
      <c r="AC47" s="459">
        <v>8604</v>
      </c>
      <c r="AD47" s="459"/>
      <c r="AE47" s="459"/>
      <c r="AF47" s="463"/>
      <c r="AG47" s="617"/>
    </row>
    <row r="48" spans="1:35" s="464" customFormat="1">
      <c r="A48" s="460" t="s">
        <v>80</v>
      </c>
      <c r="B48" s="461" t="s">
        <v>87</v>
      </c>
      <c r="C48" s="505"/>
      <c r="D48" s="504">
        <v>107983</v>
      </c>
      <c r="E48" s="504">
        <v>4</v>
      </c>
      <c r="F48" s="450">
        <f t="shared" si="4"/>
        <v>98593</v>
      </c>
      <c r="G48" s="451">
        <f t="shared" si="5"/>
        <v>95156</v>
      </c>
      <c r="H48" s="463">
        <v>71515</v>
      </c>
      <c r="I48" s="459">
        <v>26336</v>
      </c>
      <c r="J48" s="463">
        <v>1579</v>
      </c>
      <c r="K48" s="459">
        <v>1315</v>
      </c>
      <c r="L48" s="463">
        <v>25499</v>
      </c>
      <c r="M48" s="463"/>
      <c r="N48" s="463"/>
      <c r="O48" s="459">
        <v>67505</v>
      </c>
      <c r="P48" s="459"/>
      <c r="Q48" s="459"/>
      <c r="R48" s="463"/>
      <c r="S48" s="459"/>
      <c r="T48" s="450">
        <f t="shared" si="6"/>
        <v>15069</v>
      </c>
      <c r="U48" s="451">
        <f t="shared" si="7"/>
        <v>17235</v>
      </c>
      <c r="V48" s="463">
        <v>1269</v>
      </c>
      <c r="W48" s="459">
        <v>318</v>
      </c>
      <c r="X48" s="463"/>
      <c r="Y48" s="459"/>
      <c r="Z48" s="463">
        <v>13800</v>
      </c>
      <c r="AA48" s="463"/>
      <c r="AB48" s="463"/>
      <c r="AC48" s="459">
        <v>16917</v>
      </c>
      <c r="AD48" s="459"/>
      <c r="AE48" s="459"/>
      <c r="AF48" s="463"/>
      <c r="AG48" s="617"/>
    </row>
    <row r="49" spans="1:33" s="464" customFormat="1">
      <c r="A49" s="460" t="s">
        <v>80</v>
      </c>
      <c r="B49" s="461" t="s">
        <v>81</v>
      </c>
      <c r="C49" s="503"/>
      <c r="D49" s="504">
        <v>106397</v>
      </c>
      <c r="E49" s="504">
        <v>1</v>
      </c>
      <c r="F49" s="450">
        <f t="shared" si="4"/>
        <v>657386</v>
      </c>
      <c r="G49" s="451">
        <f t="shared" si="5"/>
        <v>651379</v>
      </c>
      <c r="H49" s="463">
        <v>564996</v>
      </c>
      <c r="I49" s="459">
        <v>161331</v>
      </c>
      <c r="J49" s="463">
        <v>4940</v>
      </c>
      <c r="K49" s="459">
        <v>1826</v>
      </c>
      <c r="L49" s="463">
        <v>84847</v>
      </c>
      <c r="M49" s="463">
        <v>352</v>
      </c>
      <c r="N49" s="463"/>
      <c r="O49" s="459">
        <v>486061</v>
      </c>
      <c r="P49" s="459">
        <v>280</v>
      </c>
      <c r="Q49" s="459"/>
      <c r="R49" s="463">
        <v>2251</v>
      </c>
      <c r="S49" s="459">
        <v>1881</v>
      </c>
      <c r="T49" s="450">
        <f t="shared" si="6"/>
        <v>79052</v>
      </c>
      <c r="U49" s="451">
        <f t="shared" si="7"/>
        <v>86525</v>
      </c>
      <c r="V49" s="463">
        <v>47068</v>
      </c>
      <c r="W49" s="459">
        <v>31943</v>
      </c>
      <c r="X49" s="463">
        <v>363</v>
      </c>
      <c r="Y49" s="459">
        <v>484</v>
      </c>
      <c r="Z49" s="463">
        <v>31537</v>
      </c>
      <c r="AA49" s="463">
        <v>81</v>
      </c>
      <c r="AB49" s="463">
        <v>3</v>
      </c>
      <c r="AC49" s="459">
        <v>54026</v>
      </c>
      <c r="AD49" s="459">
        <v>72</v>
      </c>
      <c r="AE49" s="459"/>
      <c r="AF49" s="463"/>
      <c r="AG49" s="617"/>
    </row>
    <row r="50" spans="1:33" s="464" customFormat="1">
      <c r="A50" s="460" t="s">
        <v>80</v>
      </c>
      <c r="B50" s="461" t="s">
        <v>89</v>
      </c>
      <c r="C50" s="503"/>
      <c r="D50" s="504">
        <v>108092</v>
      </c>
      <c r="E50" s="504">
        <v>6</v>
      </c>
      <c r="F50" s="450">
        <f t="shared" si="4"/>
        <v>148021</v>
      </c>
      <c r="G50" s="451">
        <f t="shared" si="5"/>
        <v>136161</v>
      </c>
      <c r="H50" s="463">
        <v>85154</v>
      </c>
      <c r="I50" s="459">
        <v>10455</v>
      </c>
      <c r="J50" s="463">
        <v>15778</v>
      </c>
      <c r="K50" s="459">
        <v>13213</v>
      </c>
      <c r="L50" s="463">
        <v>47077</v>
      </c>
      <c r="M50" s="463">
        <v>12</v>
      </c>
      <c r="N50" s="463"/>
      <c r="O50" s="459">
        <v>112493</v>
      </c>
      <c r="P50" s="459"/>
      <c r="Q50" s="459"/>
      <c r="R50" s="463"/>
      <c r="S50" s="459"/>
      <c r="T50" s="450">
        <f t="shared" si="6"/>
        <v>582</v>
      </c>
      <c r="U50" s="451">
        <f t="shared" si="7"/>
        <v>852</v>
      </c>
      <c r="V50" s="463">
        <v>0</v>
      </c>
      <c r="W50" s="459"/>
      <c r="X50" s="463"/>
      <c r="Y50" s="459"/>
      <c r="Z50" s="463">
        <v>582</v>
      </c>
      <c r="AA50" s="463"/>
      <c r="AB50" s="463"/>
      <c r="AC50" s="459">
        <v>852</v>
      </c>
      <c r="AD50" s="459"/>
      <c r="AE50" s="459"/>
      <c r="AF50" s="463"/>
      <c r="AG50" s="617"/>
    </row>
    <row r="51" spans="1:33" s="464" customFormat="1">
      <c r="A51" s="460" t="s">
        <v>80</v>
      </c>
      <c r="B51" s="461" t="s">
        <v>82</v>
      </c>
      <c r="C51" s="503"/>
      <c r="D51" s="504">
        <v>106245</v>
      </c>
      <c r="E51" s="504">
        <v>2</v>
      </c>
      <c r="F51" s="450">
        <f t="shared" si="4"/>
        <v>170986</v>
      </c>
      <c r="G51" s="451">
        <f t="shared" si="5"/>
        <v>157112</v>
      </c>
      <c r="H51" s="463">
        <v>80394</v>
      </c>
      <c r="I51" s="459">
        <v>8288</v>
      </c>
      <c r="J51" s="463">
        <v>13149</v>
      </c>
      <c r="K51" s="459">
        <v>8933</v>
      </c>
      <c r="L51" s="463">
        <v>77443</v>
      </c>
      <c r="M51" s="463"/>
      <c r="N51" s="463"/>
      <c r="O51" s="459">
        <v>139891</v>
      </c>
      <c r="P51" s="459"/>
      <c r="Q51" s="459"/>
      <c r="R51" s="463"/>
      <c r="S51" s="459"/>
      <c r="T51" s="450">
        <f t="shared" si="6"/>
        <v>36529</v>
      </c>
      <c r="U51" s="451">
        <f t="shared" si="7"/>
        <v>36628</v>
      </c>
      <c r="V51" s="463">
        <v>12170</v>
      </c>
      <c r="W51" s="459">
        <v>4788</v>
      </c>
      <c r="X51" s="463">
        <v>12187</v>
      </c>
      <c r="Y51" s="459">
        <v>12954</v>
      </c>
      <c r="Z51" s="463">
        <v>12172</v>
      </c>
      <c r="AA51" s="463"/>
      <c r="AB51" s="463"/>
      <c r="AC51" s="459">
        <v>18886</v>
      </c>
      <c r="AD51" s="459"/>
      <c r="AE51" s="459"/>
      <c r="AF51" s="463"/>
      <c r="AG51" s="617"/>
    </row>
    <row r="52" spans="1:33" s="464" customFormat="1">
      <c r="A52" s="460" t="s">
        <v>80</v>
      </c>
      <c r="B52" s="461" t="s">
        <v>88</v>
      </c>
      <c r="C52" s="506"/>
      <c r="D52" s="504">
        <v>106485</v>
      </c>
      <c r="E52" s="504">
        <v>4</v>
      </c>
      <c r="F52" s="450">
        <f t="shared" si="4"/>
        <v>64047</v>
      </c>
      <c r="G52" s="451">
        <f t="shared" si="5"/>
        <v>62115</v>
      </c>
      <c r="H52" s="463">
        <v>31890</v>
      </c>
      <c r="I52" s="459">
        <v>27066</v>
      </c>
      <c r="J52" s="463">
        <v>13431</v>
      </c>
      <c r="K52" s="459">
        <v>13235</v>
      </c>
      <c r="L52" s="463">
        <v>18726</v>
      </c>
      <c r="M52" s="463"/>
      <c r="N52" s="463"/>
      <c r="O52" s="459">
        <v>21814</v>
      </c>
      <c r="P52" s="459"/>
      <c r="Q52" s="459"/>
      <c r="R52" s="463"/>
      <c r="S52" s="459"/>
      <c r="T52" s="450">
        <f t="shared" si="6"/>
        <v>6913</v>
      </c>
      <c r="U52" s="451">
        <f t="shared" si="7"/>
        <v>7062</v>
      </c>
      <c r="V52" s="463">
        <v>605</v>
      </c>
      <c r="W52" s="459">
        <v>883</v>
      </c>
      <c r="X52" s="463">
        <v>1497</v>
      </c>
      <c r="Y52" s="459">
        <v>1464</v>
      </c>
      <c r="Z52" s="463">
        <v>4811</v>
      </c>
      <c r="AA52" s="463"/>
      <c r="AB52" s="463"/>
      <c r="AC52" s="459">
        <v>4715</v>
      </c>
      <c r="AD52" s="459"/>
      <c r="AE52" s="459"/>
      <c r="AF52" s="463"/>
      <c r="AG52" s="617"/>
    </row>
    <row r="53" spans="1:33" s="464" customFormat="1">
      <c r="A53" s="460" t="s">
        <v>80</v>
      </c>
      <c r="B53" s="461" t="s">
        <v>109</v>
      </c>
      <c r="C53" s="506"/>
      <c r="D53" s="504">
        <v>106263</v>
      </c>
      <c r="E53" s="504">
        <v>15</v>
      </c>
      <c r="F53" s="450">
        <f t="shared" si="4"/>
        <v>19701</v>
      </c>
      <c r="G53" s="451">
        <f t="shared" si="5"/>
        <v>24170</v>
      </c>
      <c r="H53" s="463">
        <v>11762</v>
      </c>
      <c r="I53" s="459">
        <v>3589</v>
      </c>
      <c r="J53" s="463">
        <v>236</v>
      </c>
      <c r="K53" s="459">
        <v>292</v>
      </c>
      <c r="L53" s="463">
        <v>4710</v>
      </c>
      <c r="M53" s="463">
        <v>2993</v>
      </c>
      <c r="N53" s="463"/>
      <c r="O53" s="459">
        <v>15969</v>
      </c>
      <c r="P53" s="459">
        <v>4320</v>
      </c>
      <c r="Q53" s="459"/>
      <c r="R53" s="463"/>
      <c r="S53" s="459"/>
      <c r="T53" s="450">
        <f t="shared" si="6"/>
        <v>63129</v>
      </c>
      <c r="U53" s="451">
        <f t="shared" si="7"/>
        <v>61434</v>
      </c>
      <c r="V53" s="463">
        <v>43626</v>
      </c>
      <c r="W53" s="459">
        <v>34121</v>
      </c>
      <c r="X53" s="463">
        <v>3973</v>
      </c>
      <c r="Y53" s="459">
        <v>2888</v>
      </c>
      <c r="Z53" s="463">
        <v>9040</v>
      </c>
      <c r="AA53" s="463">
        <v>6490</v>
      </c>
      <c r="AB53" s="463"/>
      <c r="AC53" s="459">
        <v>22210</v>
      </c>
      <c r="AD53" s="459">
        <v>2215</v>
      </c>
      <c r="AE53" s="459"/>
      <c r="AF53" s="463"/>
      <c r="AG53" s="617"/>
    </row>
    <row r="54" spans="1:33" s="464" customFormat="1">
      <c r="A54" s="460" t="s">
        <v>80</v>
      </c>
      <c r="B54" s="461" t="s">
        <v>90</v>
      </c>
      <c r="C54" s="506" t="s">
        <v>927</v>
      </c>
      <c r="D54" s="504">
        <v>106412</v>
      </c>
      <c r="E54" s="504">
        <v>6</v>
      </c>
      <c r="F54" s="450">
        <f t="shared" si="4"/>
        <v>66358</v>
      </c>
      <c r="G54" s="451">
        <f t="shared" si="5"/>
        <v>66530</v>
      </c>
      <c r="H54" s="463">
        <v>50958</v>
      </c>
      <c r="I54" s="459">
        <v>11030</v>
      </c>
      <c r="J54" s="463">
        <v>107</v>
      </c>
      <c r="K54" s="459">
        <v>0</v>
      </c>
      <c r="L54" s="463">
        <v>15293</v>
      </c>
      <c r="M54" s="463"/>
      <c r="N54" s="463"/>
      <c r="O54" s="459">
        <v>31231</v>
      </c>
      <c r="P54" s="459"/>
      <c r="Q54" s="459">
        <v>24269</v>
      </c>
      <c r="R54" s="463"/>
      <c r="S54" s="459"/>
      <c r="T54" s="450">
        <f t="shared" si="6"/>
        <v>2010</v>
      </c>
      <c r="U54" s="451">
        <f t="shared" si="7"/>
        <v>2663</v>
      </c>
      <c r="V54" s="463">
        <v>1158</v>
      </c>
      <c r="W54" s="459">
        <v>520</v>
      </c>
      <c r="X54" s="463"/>
      <c r="Y54" s="459"/>
      <c r="Z54" s="463">
        <v>852</v>
      </c>
      <c r="AA54" s="463"/>
      <c r="AB54" s="463"/>
      <c r="AC54" s="459">
        <v>1380</v>
      </c>
      <c r="AD54" s="459"/>
      <c r="AE54" s="459">
        <v>763</v>
      </c>
      <c r="AF54" s="463"/>
      <c r="AG54" s="617"/>
    </row>
    <row r="55" spans="1:33" s="464" customFormat="1">
      <c r="A55" s="460" t="s">
        <v>80</v>
      </c>
      <c r="B55" s="461" t="s">
        <v>85</v>
      </c>
      <c r="C55" s="506"/>
      <c r="D55" s="504">
        <v>106704</v>
      </c>
      <c r="E55" s="504">
        <v>3</v>
      </c>
      <c r="F55" s="450">
        <f t="shared" si="4"/>
        <v>252347</v>
      </c>
      <c r="G55" s="451">
        <f t="shared" si="5"/>
        <v>237704</v>
      </c>
      <c r="H55" s="463">
        <v>196194</v>
      </c>
      <c r="I55" s="459">
        <v>78707</v>
      </c>
      <c r="J55" s="463">
        <v>4136</v>
      </c>
      <c r="K55" s="459">
        <v>3117</v>
      </c>
      <c r="L55" s="463">
        <v>47906</v>
      </c>
      <c r="M55" s="463">
        <v>1105</v>
      </c>
      <c r="N55" s="463">
        <v>3006</v>
      </c>
      <c r="O55" s="459">
        <v>150992</v>
      </c>
      <c r="P55" s="459">
        <v>2000</v>
      </c>
      <c r="Q55" s="459">
        <v>2888</v>
      </c>
      <c r="R55" s="463"/>
      <c r="S55" s="459"/>
      <c r="T55" s="450">
        <f t="shared" si="6"/>
        <v>36739</v>
      </c>
      <c r="U55" s="451">
        <f t="shared" si="7"/>
        <v>36411</v>
      </c>
      <c r="V55" s="463">
        <v>16029</v>
      </c>
      <c r="W55" s="459">
        <v>9200</v>
      </c>
      <c r="X55" s="463">
        <v>15</v>
      </c>
      <c r="Y55" s="459"/>
      <c r="Z55" s="463">
        <v>17514</v>
      </c>
      <c r="AA55" s="463">
        <v>2019</v>
      </c>
      <c r="AB55" s="463">
        <v>1162</v>
      </c>
      <c r="AC55" s="459">
        <v>22452</v>
      </c>
      <c r="AD55" s="459">
        <v>2847</v>
      </c>
      <c r="AE55" s="459">
        <v>1912</v>
      </c>
      <c r="AF55" s="463"/>
      <c r="AG55" s="617"/>
    </row>
    <row r="56" spans="1:33" s="464" customFormat="1">
      <c r="A56" s="460" t="s">
        <v>80</v>
      </c>
      <c r="B56" s="461" t="s">
        <v>94</v>
      </c>
      <c r="C56" s="506"/>
      <c r="D56" s="504">
        <v>107327</v>
      </c>
      <c r="E56" s="504">
        <v>10</v>
      </c>
      <c r="F56" s="450">
        <f t="shared" si="4"/>
        <v>27031</v>
      </c>
      <c r="G56" s="451">
        <f t="shared" si="5"/>
        <v>24802</v>
      </c>
      <c r="H56" s="463">
        <v>15595</v>
      </c>
      <c r="I56" s="459">
        <v>4171</v>
      </c>
      <c r="J56" s="463">
        <v>63</v>
      </c>
      <c r="K56" s="459">
        <v>63</v>
      </c>
      <c r="L56" s="463">
        <v>11373</v>
      </c>
      <c r="M56" s="463"/>
      <c r="N56" s="463"/>
      <c r="O56" s="459">
        <v>20568</v>
      </c>
      <c r="P56" s="459"/>
      <c r="Q56" s="459"/>
      <c r="R56" s="463"/>
      <c r="S56" s="459"/>
      <c r="T56" s="450">
        <f t="shared" si="6"/>
        <v>0</v>
      </c>
      <c r="U56" s="451">
        <f t="shared" si="7"/>
        <v>0</v>
      </c>
      <c r="V56" s="463"/>
      <c r="W56" s="459"/>
      <c r="X56" s="463"/>
      <c r="Y56" s="459"/>
      <c r="Z56" s="463"/>
      <c r="AA56" s="463"/>
      <c r="AB56" s="463"/>
      <c r="AC56" s="459"/>
      <c r="AD56" s="459"/>
      <c r="AE56" s="459"/>
      <c r="AF56" s="463"/>
      <c r="AG56" s="617"/>
    </row>
    <row r="57" spans="1:33" s="464" customFormat="1">
      <c r="A57" s="460" t="s">
        <v>80</v>
      </c>
      <c r="B57" s="461" t="s">
        <v>92</v>
      </c>
      <c r="C57" s="506"/>
      <c r="D57" s="504">
        <v>106449</v>
      </c>
      <c r="E57" s="504">
        <v>9</v>
      </c>
      <c r="F57" s="450">
        <f t="shared" si="4"/>
        <v>72387</v>
      </c>
      <c r="G57" s="451">
        <f t="shared" si="5"/>
        <v>64429</v>
      </c>
      <c r="H57" s="463">
        <v>37125</v>
      </c>
      <c r="I57" s="459">
        <v>15344</v>
      </c>
      <c r="J57" s="463">
        <v>7470</v>
      </c>
      <c r="K57" s="459">
        <v>5474</v>
      </c>
      <c r="L57" s="463">
        <v>27686</v>
      </c>
      <c r="M57" s="463">
        <v>106</v>
      </c>
      <c r="N57" s="463"/>
      <c r="O57" s="459">
        <v>43533</v>
      </c>
      <c r="P57" s="459">
        <v>78</v>
      </c>
      <c r="Q57" s="459"/>
      <c r="R57" s="463"/>
      <c r="S57" s="459"/>
      <c r="T57" s="450">
        <f t="shared" si="6"/>
        <v>0</v>
      </c>
      <c r="U57" s="451">
        <f t="shared" si="7"/>
        <v>0</v>
      </c>
      <c r="V57" s="463"/>
      <c r="W57" s="459"/>
      <c r="X57" s="463"/>
      <c r="Y57" s="459"/>
      <c r="Z57" s="463"/>
      <c r="AA57" s="463"/>
      <c r="AB57" s="463"/>
      <c r="AC57" s="459"/>
      <c r="AD57" s="459"/>
      <c r="AE57" s="459"/>
      <c r="AF57" s="463"/>
      <c r="AG57" s="617"/>
    </row>
    <row r="58" spans="1:33" s="464" customFormat="1">
      <c r="A58" s="460" t="s">
        <v>80</v>
      </c>
      <c r="B58" s="461" t="s">
        <v>96</v>
      </c>
      <c r="C58" s="506"/>
      <c r="D58" s="504">
        <v>420538</v>
      </c>
      <c r="E58" s="504">
        <v>10</v>
      </c>
      <c r="F58" s="450">
        <f t="shared" si="4"/>
        <v>27281</v>
      </c>
      <c r="G58" s="451">
        <f t="shared" si="5"/>
        <v>25209</v>
      </c>
      <c r="H58" s="463">
        <v>14495</v>
      </c>
      <c r="I58" s="459">
        <v>10241</v>
      </c>
      <c r="J58" s="463">
        <v>641</v>
      </c>
      <c r="K58" s="459">
        <v>471</v>
      </c>
      <c r="L58" s="463">
        <v>11653</v>
      </c>
      <c r="M58" s="463">
        <v>255</v>
      </c>
      <c r="N58" s="463">
        <v>237</v>
      </c>
      <c r="O58" s="459">
        <v>14407</v>
      </c>
      <c r="P58" s="459">
        <v>90</v>
      </c>
      <c r="Q58" s="459"/>
      <c r="R58" s="463"/>
      <c r="S58" s="459"/>
      <c r="T58" s="450">
        <f t="shared" si="6"/>
        <v>0</v>
      </c>
      <c r="U58" s="451">
        <f t="shared" si="7"/>
        <v>0</v>
      </c>
      <c r="V58" s="463"/>
      <c r="W58" s="459"/>
      <c r="X58" s="463"/>
      <c r="Y58" s="459"/>
      <c r="Z58" s="463"/>
      <c r="AA58" s="463"/>
      <c r="AB58" s="463"/>
      <c r="AC58" s="459"/>
      <c r="AD58" s="459"/>
      <c r="AE58" s="459"/>
      <c r="AF58" s="463"/>
      <c r="AG58" s="617"/>
    </row>
    <row r="59" spans="1:33" s="464" customFormat="1">
      <c r="A59" s="460" t="s">
        <v>80</v>
      </c>
      <c r="B59" s="465" t="s">
        <v>95</v>
      </c>
      <c r="C59" s="506"/>
      <c r="D59" s="504">
        <v>107318</v>
      </c>
      <c r="E59" s="504">
        <v>10</v>
      </c>
      <c r="F59" s="450">
        <f t="shared" si="4"/>
        <v>22753</v>
      </c>
      <c r="G59" s="451">
        <f t="shared" si="5"/>
        <v>21068</v>
      </c>
      <c r="H59" s="463">
        <v>15113</v>
      </c>
      <c r="I59" s="459">
        <v>9332</v>
      </c>
      <c r="J59" s="463">
        <v>6</v>
      </c>
      <c r="K59" s="459">
        <v>6</v>
      </c>
      <c r="L59" s="463">
        <v>7588</v>
      </c>
      <c r="M59" s="463">
        <v>30</v>
      </c>
      <c r="N59" s="463">
        <v>16</v>
      </c>
      <c r="O59" s="459">
        <v>11730</v>
      </c>
      <c r="P59" s="459"/>
      <c r="Q59" s="459"/>
      <c r="R59" s="463"/>
      <c r="S59" s="459"/>
      <c r="T59" s="450">
        <f t="shared" si="6"/>
        <v>0</v>
      </c>
      <c r="U59" s="451">
        <f t="shared" si="7"/>
        <v>0</v>
      </c>
      <c r="V59" s="463"/>
      <c r="W59" s="459"/>
      <c r="X59" s="463"/>
      <c r="Y59" s="459"/>
      <c r="Z59" s="463"/>
      <c r="AA59" s="463"/>
      <c r="AB59" s="463"/>
      <c r="AC59" s="459"/>
      <c r="AD59" s="459"/>
      <c r="AE59" s="459"/>
      <c r="AF59" s="463"/>
      <c r="AG59" s="617"/>
    </row>
    <row r="60" spans="1:33" s="464" customFormat="1">
      <c r="A60" s="460" t="s">
        <v>80</v>
      </c>
      <c r="B60" s="461" t="s">
        <v>97</v>
      </c>
      <c r="C60" s="506"/>
      <c r="D60" s="504">
        <v>440402</v>
      </c>
      <c r="E60" s="504">
        <v>10</v>
      </c>
      <c r="F60" s="450">
        <f t="shared" si="4"/>
        <v>54706</v>
      </c>
      <c r="G60" s="451">
        <f t="shared" si="5"/>
        <v>48782</v>
      </c>
      <c r="H60" s="463">
        <v>24324</v>
      </c>
      <c r="I60" s="459">
        <v>19137</v>
      </c>
      <c r="J60" s="463">
        <v>5623</v>
      </c>
      <c r="K60" s="459">
        <v>4335</v>
      </c>
      <c r="L60" s="463">
        <v>24759</v>
      </c>
      <c r="M60" s="463"/>
      <c r="N60" s="463"/>
      <c r="O60" s="459">
        <v>25310</v>
      </c>
      <c r="P60" s="459"/>
      <c r="Q60" s="459"/>
      <c r="R60" s="463"/>
      <c r="S60" s="459"/>
      <c r="T60" s="450">
        <f t="shared" si="6"/>
        <v>0</v>
      </c>
      <c r="U60" s="451">
        <f t="shared" si="7"/>
        <v>0</v>
      </c>
      <c r="V60" s="463"/>
      <c r="W60" s="459"/>
      <c r="X60" s="463"/>
      <c r="Y60" s="459"/>
      <c r="Z60" s="463"/>
      <c r="AA60" s="463"/>
      <c r="AB60" s="463"/>
      <c r="AC60" s="459"/>
      <c r="AD60" s="459"/>
      <c r="AE60" s="459"/>
      <c r="AF60" s="463"/>
      <c r="AG60" s="617"/>
    </row>
    <row r="61" spans="1:33" s="464" customFormat="1">
      <c r="A61" s="460" t="s">
        <v>80</v>
      </c>
      <c r="B61" s="461" t="s">
        <v>720</v>
      </c>
      <c r="C61" s="506" t="s">
        <v>721</v>
      </c>
      <c r="D61" s="504">
        <v>107521</v>
      </c>
      <c r="E61" s="504">
        <v>10</v>
      </c>
      <c r="F61" s="450">
        <f t="shared" si="4"/>
        <v>20316</v>
      </c>
      <c r="G61" s="451">
        <f t="shared" si="5"/>
        <v>20285</v>
      </c>
      <c r="H61" s="463">
        <v>13450</v>
      </c>
      <c r="I61" s="459">
        <v>8940</v>
      </c>
      <c r="J61" s="463">
        <v>2778</v>
      </c>
      <c r="K61" s="459">
        <v>6853</v>
      </c>
      <c r="L61" s="463">
        <v>4088</v>
      </c>
      <c r="M61" s="463"/>
      <c r="N61" s="463"/>
      <c r="O61" s="459">
        <v>4492</v>
      </c>
      <c r="P61" s="459"/>
      <c r="Q61" s="459"/>
      <c r="R61" s="463"/>
      <c r="S61" s="459"/>
      <c r="T61" s="450">
        <f t="shared" si="6"/>
        <v>0</v>
      </c>
      <c r="U61" s="451">
        <f t="shared" si="7"/>
        <v>0</v>
      </c>
      <c r="V61" s="463"/>
      <c r="W61" s="459"/>
      <c r="X61" s="463"/>
      <c r="Y61" s="459"/>
      <c r="Z61" s="463"/>
      <c r="AA61" s="463"/>
      <c r="AB61" s="463"/>
      <c r="AC61" s="459"/>
      <c r="AD61" s="459"/>
      <c r="AE61" s="459"/>
      <c r="AF61" s="463"/>
      <c r="AG61" s="617"/>
    </row>
    <row r="62" spans="1:33" s="464" customFormat="1">
      <c r="A62" s="460" t="s">
        <v>80</v>
      </c>
      <c r="B62" s="461" t="s">
        <v>98</v>
      </c>
      <c r="C62" s="503"/>
      <c r="D62" s="504">
        <v>106625</v>
      </c>
      <c r="E62" s="504">
        <v>10</v>
      </c>
      <c r="F62" s="450">
        <f t="shared" si="4"/>
        <v>33908</v>
      </c>
      <c r="G62" s="451">
        <f t="shared" si="5"/>
        <v>32688</v>
      </c>
      <c r="H62" s="463">
        <v>17865</v>
      </c>
      <c r="I62" s="459">
        <v>16134</v>
      </c>
      <c r="J62" s="463">
        <v>2040</v>
      </c>
      <c r="K62" s="459">
        <v>1257</v>
      </c>
      <c r="L62" s="463">
        <v>13084</v>
      </c>
      <c r="M62" s="463">
        <v>919</v>
      </c>
      <c r="N62" s="463"/>
      <c r="O62" s="459">
        <v>13858</v>
      </c>
      <c r="P62" s="459">
        <v>1439</v>
      </c>
      <c r="Q62" s="459"/>
      <c r="R62" s="463"/>
      <c r="S62" s="459"/>
      <c r="T62" s="450">
        <f t="shared" si="6"/>
        <v>0</v>
      </c>
      <c r="U62" s="451">
        <f t="shared" si="7"/>
        <v>0</v>
      </c>
      <c r="V62" s="463"/>
      <c r="W62" s="459"/>
      <c r="X62" s="463"/>
      <c r="Y62" s="459"/>
      <c r="Z62" s="463"/>
      <c r="AA62" s="463"/>
      <c r="AB62" s="463"/>
      <c r="AC62" s="459"/>
      <c r="AD62" s="459"/>
      <c r="AE62" s="459"/>
      <c r="AF62" s="463"/>
      <c r="AG62" s="617"/>
    </row>
    <row r="63" spans="1:33" s="464" customFormat="1">
      <c r="A63" s="460" t="s">
        <v>80</v>
      </c>
      <c r="B63" s="461" t="s">
        <v>99</v>
      </c>
      <c r="C63" s="503"/>
      <c r="D63" s="504">
        <v>106795</v>
      </c>
      <c r="E63" s="504">
        <v>10</v>
      </c>
      <c r="F63" s="450">
        <f t="shared" si="4"/>
        <v>28978</v>
      </c>
      <c r="G63" s="451">
        <f t="shared" si="5"/>
        <v>26791</v>
      </c>
      <c r="H63" s="463">
        <v>11081</v>
      </c>
      <c r="I63" s="459">
        <v>13349</v>
      </c>
      <c r="J63" s="463">
        <v>5628</v>
      </c>
      <c r="K63" s="459">
        <v>423</v>
      </c>
      <c r="L63" s="463">
        <v>10115</v>
      </c>
      <c r="M63" s="463">
        <v>1980</v>
      </c>
      <c r="N63" s="463">
        <v>174</v>
      </c>
      <c r="O63" s="459">
        <v>11248</v>
      </c>
      <c r="P63" s="459">
        <v>1527</v>
      </c>
      <c r="Q63" s="459">
        <v>244</v>
      </c>
      <c r="R63" s="463"/>
      <c r="S63" s="459"/>
      <c r="T63" s="450">
        <f t="shared" si="6"/>
        <v>0</v>
      </c>
      <c r="U63" s="451">
        <f t="shared" si="7"/>
        <v>0</v>
      </c>
      <c r="V63" s="463"/>
      <c r="W63" s="459"/>
      <c r="X63" s="463"/>
      <c r="Y63" s="459"/>
      <c r="Z63" s="463"/>
      <c r="AA63" s="463"/>
      <c r="AB63" s="463"/>
      <c r="AC63" s="459"/>
      <c r="AD63" s="459"/>
      <c r="AE63" s="459"/>
      <c r="AF63" s="463"/>
      <c r="AG63" s="617"/>
    </row>
    <row r="64" spans="1:33" s="464" customFormat="1">
      <c r="A64" s="462" t="s">
        <v>80</v>
      </c>
      <c r="B64" s="461" t="s">
        <v>100</v>
      </c>
      <c r="C64" s="503"/>
      <c r="D64" s="504">
        <v>106883</v>
      </c>
      <c r="E64" s="504">
        <v>10</v>
      </c>
      <c r="F64" s="450">
        <f t="shared" si="4"/>
        <v>26274</v>
      </c>
      <c r="G64" s="451">
        <f t="shared" si="5"/>
        <v>21139</v>
      </c>
      <c r="H64" s="463">
        <v>11032</v>
      </c>
      <c r="I64" s="459">
        <v>6484</v>
      </c>
      <c r="J64" s="463">
        <v>4861</v>
      </c>
      <c r="K64" s="459">
        <v>1886</v>
      </c>
      <c r="L64" s="463">
        <v>10381</v>
      </c>
      <c r="M64" s="463"/>
      <c r="N64" s="463"/>
      <c r="O64" s="459">
        <v>12769</v>
      </c>
      <c r="P64" s="459"/>
      <c r="Q64" s="459"/>
      <c r="R64" s="463"/>
      <c r="S64" s="459"/>
      <c r="T64" s="450">
        <f t="shared" si="6"/>
        <v>0</v>
      </c>
      <c r="U64" s="451">
        <f t="shared" si="7"/>
        <v>0</v>
      </c>
      <c r="V64" s="463"/>
      <c r="W64" s="459"/>
      <c r="X64" s="463"/>
      <c r="Y64" s="459"/>
      <c r="Z64" s="463"/>
      <c r="AA64" s="463"/>
      <c r="AB64" s="463"/>
      <c r="AC64" s="459"/>
      <c r="AD64" s="459"/>
      <c r="AE64" s="459"/>
      <c r="AF64" s="463"/>
      <c r="AG64" s="617"/>
    </row>
    <row r="65" spans="1:33" s="464" customFormat="1">
      <c r="A65" s="460" t="s">
        <v>80</v>
      </c>
      <c r="B65" s="461" t="s">
        <v>101</v>
      </c>
      <c r="C65" s="503"/>
      <c r="D65" s="504">
        <v>107460</v>
      </c>
      <c r="E65" s="504">
        <v>10</v>
      </c>
      <c r="F65" s="450">
        <f t="shared" si="4"/>
        <v>37304</v>
      </c>
      <c r="G65" s="451">
        <f t="shared" si="5"/>
        <v>34445</v>
      </c>
      <c r="H65" s="463">
        <v>21052</v>
      </c>
      <c r="I65" s="459">
        <v>8345</v>
      </c>
      <c r="J65" s="463">
        <v>2149</v>
      </c>
      <c r="K65" s="459">
        <v>1483</v>
      </c>
      <c r="L65" s="463">
        <v>13753</v>
      </c>
      <c r="M65" s="463">
        <v>350</v>
      </c>
      <c r="N65" s="463"/>
      <c r="O65" s="459">
        <v>14220</v>
      </c>
      <c r="P65" s="459">
        <v>10397</v>
      </c>
      <c r="Q65" s="459"/>
      <c r="R65" s="463"/>
      <c r="S65" s="459"/>
      <c r="T65" s="450">
        <f t="shared" si="6"/>
        <v>0</v>
      </c>
      <c r="U65" s="451">
        <f t="shared" si="7"/>
        <v>0</v>
      </c>
      <c r="V65" s="463"/>
      <c r="W65" s="459"/>
      <c r="X65" s="463"/>
      <c r="Y65" s="459"/>
      <c r="Z65" s="463"/>
      <c r="AA65" s="463"/>
      <c r="AB65" s="463"/>
      <c r="AC65" s="459"/>
      <c r="AD65" s="459"/>
      <c r="AE65" s="459"/>
      <c r="AF65" s="463"/>
      <c r="AG65" s="617"/>
    </row>
    <row r="66" spans="1:33" s="464" customFormat="1">
      <c r="A66" s="462" t="s">
        <v>80</v>
      </c>
      <c r="B66" s="465" t="s">
        <v>93</v>
      </c>
      <c r="C66" s="505"/>
      <c r="D66" s="504">
        <v>106980</v>
      </c>
      <c r="E66" s="504">
        <v>10</v>
      </c>
      <c r="F66" s="450">
        <f t="shared" si="4"/>
        <v>55410</v>
      </c>
      <c r="G66" s="451">
        <f t="shared" si="5"/>
        <v>48645</v>
      </c>
      <c r="H66" s="463">
        <v>29839</v>
      </c>
      <c r="I66" s="459">
        <v>17931</v>
      </c>
      <c r="J66" s="463">
        <v>4523</v>
      </c>
      <c r="K66" s="459">
        <v>2865</v>
      </c>
      <c r="L66" s="463">
        <v>21048</v>
      </c>
      <c r="M66" s="463"/>
      <c r="N66" s="463"/>
      <c r="O66" s="459">
        <v>27849</v>
      </c>
      <c r="P66" s="459"/>
      <c r="Q66" s="459"/>
      <c r="R66" s="463"/>
      <c r="S66" s="459"/>
      <c r="T66" s="450">
        <f t="shared" si="6"/>
        <v>0</v>
      </c>
      <c r="U66" s="451">
        <f t="shared" si="7"/>
        <v>0</v>
      </c>
      <c r="V66" s="463"/>
      <c r="W66" s="459"/>
      <c r="X66" s="463"/>
      <c r="Y66" s="459"/>
      <c r="Z66" s="463"/>
      <c r="AA66" s="463"/>
      <c r="AB66" s="463"/>
      <c r="AC66" s="459"/>
      <c r="AD66" s="459"/>
      <c r="AE66" s="459"/>
      <c r="AF66" s="463"/>
      <c r="AG66" s="617"/>
    </row>
    <row r="67" spans="1:33" s="464" customFormat="1">
      <c r="A67" s="460" t="s">
        <v>80</v>
      </c>
      <c r="B67" s="461" t="s">
        <v>91</v>
      </c>
      <c r="C67" s="503" t="s">
        <v>928</v>
      </c>
      <c r="D67" s="504">
        <v>367459</v>
      </c>
      <c r="E67" s="504">
        <v>8</v>
      </c>
      <c r="F67" s="450">
        <f t="shared" si="4"/>
        <v>151510</v>
      </c>
      <c r="G67" s="451">
        <f t="shared" si="5"/>
        <v>131465</v>
      </c>
      <c r="H67" s="463">
        <v>79893</v>
      </c>
      <c r="I67" s="459">
        <v>9850</v>
      </c>
      <c r="J67" s="463">
        <v>18095</v>
      </c>
      <c r="K67" s="459">
        <v>9449</v>
      </c>
      <c r="L67" s="463">
        <v>53522</v>
      </c>
      <c r="M67" s="463"/>
      <c r="N67" s="463"/>
      <c r="O67" s="459">
        <v>68804</v>
      </c>
      <c r="P67" s="459">
        <v>43362</v>
      </c>
      <c r="Q67" s="459"/>
      <c r="R67" s="463"/>
      <c r="S67" s="459"/>
      <c r="T67" s="450">
        <f t="shared" si="6"/>
        <v>0</v>
      </c>
      <c r="U67" s="451">
        <f t="shared" si="7"/>
        <v>0</v>
      </c>
      <c r="V67" s="463"/>
      <c r="W67" s="459"/>
      <c r="X67" s="463"/>
      <c r="Y67" s="459"/>
      <c r="Z67" s="463"/>
      <c r="AA67" s="463"/>
      <c r="AB67" s="463"/>
      <c r="AC67" s="459"/>
      <c r="AD67" s="459"/>
      <c r="AE67" s="459"/>
      <c r="AF67" s="463"/>
      <c r="AG67" s="617"/>
    </row>
    <row r="68" spans="1:33" s="464" customFormat="1">
      <c r="A68" s="460" t="s">
        <v>80</v>
      </c>
      <c r="B68" s="461" t="s">
        <v>102</v>
      </c>
      <c r="C68" s="503"/>
      <c r="D68" s="504">
        <v>107549</v>
      </c>
      <c r="E68" s="504">
        <v>10</v>
      </c>
      <c r="F68" s="450">
        <f t="shared" si="4"/>
        <v>23894</v>
      </c>
      <c r="G68" s="451">
        <f t="shared" si="5"/>
        <v>21826</v>
      </c>
      <c r="H68" s="463">
        <v>9910</v>
      </c>
      <c r="I68" s="459">
        <v>9134</v>
      </c>
      <c r="J68" s="463">
        <v>1710</v>
      </c>
      <c r="K68" s="459">
        <v>1231</v>
      </c>
      <c r="L68" s="463">
        <v>12274</v>
      </c>
      <c r="M68" s="463"/>
      <c r="N68" s="463"/>
      <c r="O68" s="459">
        <v>11461</v>
      </c>
      <c r="P68" s="459"/>
      <c r="Q68" s="459"/>
      <c r="R68" s="463"/>
      <c r="S68" s="459"/>
      <c r="T68" s="450">
        <f t="shared" si="6"/>
        <v>0</v>
      </c>
      <c r="U68" s="451">
        <f t="shared" si="7"/>
        <v>0</v>
      </c>
      <c r="V68" s="463"/>
      <c r="W68" s="459"/>
      <c r="X68" s="463"/>
      <c r="Y68" s="459"/>
      <c r="Z68" s="463"/>
      <c r="AA68" s="463"/>
      <c r="AB68" s="463"/>
      <c r="AC68" s="459"/>
      <c r="AD68" s="459"/>
      <c r="AE68" s="459"/>
      <c r="AF68" s="463"/>
      <c r="AG68" s="617"/>
    </row>
    <row r="69" spans="1:33" s="464" customFormat="1">
      <c r="A69" s="460" t="s">
        <v>80</v>
      </c>
      <c r="B69" s="461" t="s">
        <v>103</v>
      </c>
      <c r="C69" s="503"/>
      <c r="D69" s="504">
        <v>107619</v>
      </c>
      <c r="E69" s="504">
        <v>10</v>
      </c>
      <c r="F69" s="450">
        <f t="shared" si="4"/>
        <v>27365</v>
      </c>
      <c r="G69" s="451">
        <f t="shared" si="5"/>
        <v>21349</v>
      </c>
      <c r="H69" s="463">
        <v>14217</v>
      </c>
      <c r="I69" s="459">
        <v>9511</v>
      </c>
      <c r="J69" s="463">
        <v>5104</v>
      </c>
      <c r="K69" s="459">
        <v>2920</v>
      </c>
      <c r="L69" s="463">
        <v>5585</v>
      </c>
      <c r="M69" s="463">
        <v>2459</v>
      </c>
      <c r="N69" s="463"/>
      <c r="O69" s="459">
        <v>6797</v>
      </c>
      <c r="P69" s="459">
        <v>2121</v>
      </c>
      <c r="Q69" s="459"/>
      <c r="R69" s="463"/>
      <c r="S69" s="459"/>
      <c r="T69" s="450">
        <f t="shared" si="6"/>
        <v>0</v>
      </c>
      <c r="U69" s="451">
        <f t="shared" si="7"/>
        <v>0</v>
      </c>
      <c r="V69" s="463"/>
      <c r="W69" s="459"/>
      <c r="X69" s="463"/>
      <c r="Y69" s="459"/>
      <c r="Z69" s="463"/>
      <c r="AA69" s="463"/>
      <c r="AB69" s="463"/>
      <c r="AC69" s="459"/>
      <c r="AD69" s="459"/>
      <c r="AE69" s="459"/>
      <c r="AF69" s="463"/>
      <c r="AG69" s="617"/>
    </row>
    <row r="70" spans="1:33" s="464" customFormat="1">
      <c r="A70" s="460" t="s">
        <v>80</v>
      </c>
      <c r="B70" s="461" t="s">
        <v>104</v>
      </c>
      <c r="C70" s="503"/>
      <c r="D70" s="504">
        <v>107974</v>
      </c>
      <c r="E70" s="504">
        <v>10</v>
      </c>
      <c r="F70" s="450">
        <f t="shared" si="4"/>
        <v>30273</v>
      </c>
      <c r="G70" s="451">
        <f t="shared" si="5"/>
        <v>26309</v>
      </c>
      <c r="H70" s="463">
        <v>14621</v>
      </c>
      <c r="I70" s="459">
        <v>9750</v>
      </c>
      <c r="J70" s="463">
        <v>5561</v>
      </c>
      <c r="K70" s="459">
        <v>4586</v>
      </c>
      <c r="L70" s="463">
        <v>10091</v>
      </c>
      <c r="M70" s="463"/>
      <c r="N70" s="463"/>
      <c r="O70" s="459">
        <v>11973</v>
      </c>
      <c r="P70" s="459"/>
      <c r="Q70" s="459"/>
      <c r="R70" s="463"/>
      <c r="S70" s="459"/>
      <c r="T70" s="450">
        <f t="shared" si="6"/>
        <v>0</v>
      </c>
      <c r="U70" s="451">
        <f t="shared" si="7"/>
        <v>0</v>
      </c>
      <c r="V70" s="463"/>
      <c r="W70" s="459"/>
      <c r="X70" s="463"/>
      <c r="Y70" s="459"/>
      <c r="Z70" s="463"/>
      <c r="AA70" s="463"/>
      <c r="AB70" s="463"/>
      <c r="AC70" s="459"/>
      <c r="AD70" s="459"/>
      <c r="AE70" s="459"/>
      <c r="AF70" s="463"/>
      <c r="AG70" s="617"/>
    </row>
    <row r="71" spans="1:33" s="464" customFormat="1">
      <c r="A71" s="462" t="s">
        <v>80</v>
      </c>
      <c r="B71" s="461" t="s">
        <v>106</v>
      </c>
      <c r="C71" s="503"/>
      <c r="D71" s="504">
        <v>107992</v>
      </c>
      <c r="E71" s="504">
        <v>10</v>
      </c>
      <c r="F71" s="450">
        <f t="shared" si="4"/>
        <v>25409</v>
      </c>
      <c r="G71" s="451">
        <f t="shared" si="5"/>
        <v>24619</v>
      </c>
      <c r="H71" s="463">
        <v>14991</v>
      </c>
      <c r="I71" s="459">
        <v>13792</v>
      </c>
      <c r="J71" s="463">
        <v>3486</v>
      </c>
      <c r="K71" s="459">
        <v>2843</v>
      </c>
      <c r="L71" s="463">
        <v>6932</v>
      </c>
      <c r="M71" s="463"/>
      <c r="N71" s="463"/>
      <c r="O71" s="459">
        <v>7984</v>
      </c>
      <c r="P71" s="459"/>
      <c r="Q71" s="459"/>
      <c r="R71" s="463"/>
      <c r="S71" s="459"/>
      <c r="T71" s="450">
        <f t="shared" si="6"/>
        <v>0</v>
      </c>
      <c r="U71" s="451">
        <f t="shared" si="7"/>
        <v>0</v>
      </c>
      <c r="V71" s="463"/>
      <c r="W71" s="459"/>
      <c r="X71" s="463"/>
      <c r="Y71" s="459"/>
      <c r="Z71" s="463"/>
      <c r="AA71" s="463"/>
      <c r="AB71" s="463"/>
      <c r="AC71" s="459"/>
      <c r="AD71" s="459"/>
      <c r="AE71" s="459"/>
      <c r="AF71" s="463"/>
      <c r="AG71" s="617"/>
    </row>
    <row r="72" spans="1:33" s="464" customFormat="1">
      <c r="A72" s="460" t="s">
        <v>80</v>
      </c>
      <c r="B72" s="461" t="s">
        <v>105</v>
      </c>
      <c r="C72" s="503"/>
      <c r="D72" s="504">
        <v>107637</v>
      </c>
      <c r="E72" s="504">
        <v>10</v>
      </c>
      <c r="F72" s="450">
        <f t="shared" ref="F72:F135" si="8">SUM(H72,J72,L72,M72,N72,R72)</f>
        <v>26630</v>
      </c>
      <c r="G72" s="451">
        <f t="shared" ref="G72:G135" si="9">SUM(I72,K72,O72,P72,Q72,S72)</f>
        <v>22772</v>
      </c>
      <c r="H72" s="463">
        <v>16767</v>
      </c>
      <c r="I72" s="459">
        <v>10789</v>
      </c>
      <c r="J72" s="463">
        <v>1071</v>
      </c>
      <c r="K72" s="459">
        <v>1366</v>
      </c>
      <c r="L72" s="463">
        <v>8792</v>
      </c>
      <c r="M72" s="463"/>
      <c r="N72" s="463"/>
      <c r="O72" s="459">
        <v>10617</v>
      </c>
      <c r="P72" s="459"/>
      <c r="Q72" s="459"/>
      <c r="R72" s="463"/>
      <c r="S72" s="459"/>
      <c r="T72" s="450">
        <f t="shared" ref="T72:T135" si="10">SUM(V72,X72,Z72,AA72,AB72,AF72)</f>
        <v>0</v>
      </c>
      <c r="U72" s="451">
        <f t="shared" ref="U72:U135" si="11">SUM(W72,Y72,AC72,AD72,AE72,AG72)</f>
        <v>0</v>
      </c>
      <c r="V72" s="463"/>
      <c r="W72" s="459"/>
      <c r="X72" s="463"/>
      <c r="Y72" s="459"/>
      <c r="Z72" s="463"/>
      <c r="AA72" s="463"/>
      <c r="AB72" s="463"/>
      <c r="AC72" s="459"/>
      <c r="AD72" s="459"/>
      <c r="AE72" s="459"/>
      <c r="AF72" s="463"/>
      <c r="AG72" s="617"/>
    </row>
    <row r="73" spans="1:33" s="464" customFormat="1">
      <c r="A73" s="462" t="s">
        <v>80</v>
      </c>
      <c r="B73" s="461" t="s">
        <v>107</v>
      </c>
      <c r="C73" s="503"/>
      <c r="D73" s="504">
        <v>106999</v>
      </c>
      <c r="E73" s="504">
        <v>10</v>
      </c>
      <c r="F73" s="450">
        <f t="shared" si="8"/>
        <v>29463</v>
      </c>
      <c r="G73" s="451">
        <f t="shared" si="9"/>
        <v>24532</v>
      </c>
      <c r="H73" s="463">
        <v>19464</v>
      </c>
      <c r="I73" s="459">
        <v>14788</v>
      </c>
      <c r="J73" s="463">
        <v>1028</v>
      </c>
      <c r="K73" s="459">
        <v>1128</v>
      </c>
      <c r="L73" s="463">
        <v>8971</v>
      </c>
      <c r="M73" s="463"/>
      <c r="N73" s="463"/>
      <c r="O73" s="459">
        <v>8616</v>
      </c>
      <c r="P73" s="459"/>
      <c r="Q73" s="459"/>
      <c r="R73" s="463"/>
      <c r="S73" s="459"/>
      <c r="T73" s="450">
        <f t="shared" si="10"/>
        <v>0</v>
      </c>
      <c r="U73" s="451">
        <f t="shared" si="11"/>
        <v>0</v>
      </c>
      <c r="V73" s="463"/>
      <c r="W73" s="459"/>
      <c r="X73" s="463"/>
      <c r="Y73" s="459"/>
      <c r="Z73" s="463"/>
      <c r="AA73" s="463"/>
      <c r="AB73" s="463"/>
      <c r="AC73" s="459"/>
      <c r="AD73" s="459"/>
      <c r="AE73" s="459"/>
      <c r="AF73" s="463"/>
      <c r="AG73" s="617"/>
    </row>
    <row r="74" spans="1:33" s="464" customFormat="1">
      <c r="A74" s="460" t="s">
        <v>80</v>
      </c>
      <c r="B74" s="461" t="s">
        <v>722</v>
      </c>
      <c r="C74" s="503"/>
      <c r="D74" s="504">
        <v>107725</v>
      </c>
      <c r="E74" s="504">
        <v>10</v>
      </c>
      <c r="F74" s="450">
        <f t="shared" si="8"/>
        <v>28130</v>
      </c>
      <c r="G74" s="451">
        <f t="shared" si="9"/>
        <v>23947</v>
      </c>
      <c r="H74" s="463">
        <v>14636</v>
      </c>
      <c r="I74" s="459">
        <v>10515</v>
      </c>
      <c r="J74" s="463">
        <v>5508</v>
      </c>
      <c r="K74" s="459">
        <v>3514</v>
      </c>
      <c r="L74" s="463">
        <v>5880</v>
      </c>
      <c r="M74" s="463">
        <v>2106</v>
      </c>
      <c r="N74" s="463"/>
      <c r="O74" s="459">
        <v>8264</v>
      </c>
      <c r="P74" s="459">
        <v>1654</v>
      </c>
      <c r="Q74" s="459"/>
      <c r="R74" s="463"/>
      <c r="S74" s="459"/>
      <c r="T74" s="450">
        <f t="shared" si="10"/>
        <v>0</v>
      </c>
      <c r="U74" s="451">
        <f t="shared" si="11"/>
        <v>0</v>
      </c>
      <c r="V74" s="463"/>
      <c r="W74" s="459"/>
      <c r="X74" s="463"/>
      <c r="Y74" s="459"/>
      <c r="Z74" s="463"/>
      <c r="AA74" s="463"/>
      <c r="AB74" s="463"/>
      <c r="AC74" s="459"/>
      <c r="AD74" s="459"/>
      <c r="AE74" s="459"/>
      <c r="AF74" s="463"/>
      <c r="AG74" s="617"/>
    </row>
    <row r="75" spans="1:33" s="464" customFormat="1">
      <c r="A75" s="462" t="s">
        <v>80</v>
      </c>
      <c r="B75" s="461" t="s">
        <v>108</v>
      </c>
      <c r="C75" s="503"/>
      <c r="D75" s="504">
        <v>107585</v>
      </c>
      <c r="E75" s="504">
        <v>10</v>
      </c>
      <c r="F75" s="450">
        <f t="shared" si="8"/>
        <v>40997</v>
      </c>
      <c r="G75" s="451">
        <f t="shared" si="9"/>
        <v>40716</v>
      </c>
      <c r="H75" s="463">
        <v>31755</v>
      </c>
      <c r="I75" s="459">
        <v>27999</v>
      </c>
      <c r="J75" s="463">
        <v>0</v>
      </c>
      <c r="K75" s="459">
        <v>16</v>
      </c>
      <c r="L75" s="463">
        <v>9242</v>
      </c>
      <c r="M75" s="463"/>
      <c r="N75" s="463"/>
      <c r="O75" s="459">
        <v>12701</v>
      </c>
      <c r="P75" s="459"/>
      <c r="Q75" s="459"/>
      <c r="R75" s="463"/>
      <c r="S75" s="459"/>
      <c r="T75" s="450">
        <f t="shared" si="10"/>
        <v>0</v>
      </c>
      <c r="U75" s="451">
        <f t="shared" si="11"/>
        <v>0</v>
      </c>
      <c r="V75" s="463"/>
      <c r="W75" s="459"/>
      <c r="X75" s="463"/>
      <c r="Y75" s="459"/>
      <c r="Z75" s="463"/>
      <c r="AA75" s="463"/>
      <c r="AB75" s="463"/>
      <c r="AC75" s="459"/>
      <c r="AD75" s="459"/>
      <c r="AE75" s="459"/>
      <c r="AF75" s="463"/>
      <c r="AG75" s="617"/>
    </row>
    <row r="76" spans="1:33" s="464" customFormat="1">
      <c r="A76" s="460" t="s">
        <v>80</v>
      </c>
      <c r="B76" s="461" t="s">
        <v>710</v>
      </c>
      <c r="C76" s="503"/>
      <c r="D76" s="504">
        <v>107743</v>
      </c>
      <c r="E76" s="504">
        <v>10</v>
      </c>
      <c r="F76" s="450">
        <f t="shared" si="8"/>
        <v>16918</v>
      </c>
      <c r="G76" s="451">
        <f t="shared" si="9"/>
        <v>17152</v>
      </c>
      <c r="H76" s="463">
        <v>9900</v>
      </c>
      <c r="I76" s="459">
        <v>9510</v>
      </c>
      <c r="J76" s="463">
        <v>2018</v>
      </c>
      <c r="K76" s="459">
        <v>1700</v>
      </c>
      <c r="L76" s="463">
        <v>4673</v>
      </c>
      <c r="M76" s="463">
        <v>327</v>
      </c>
      <c r="N76" s="463"/>
      <c r="O76" s="459">
        <v>5661</v>
      </c>
      <c r="P76" s="459">
        <v>281</v>
      </c>
      <c r="Q76" s="459"/>
      <c r="R76" s="463"/>
      <c r="S76" s="459"/>
      <c r="T76" s="450">
        <f t="shared" si="10"/>
        <v>0</v>
      </c>
      <c r="U76" s="451">
        <f t="shared" si="11"/>
        <v>0</v>
      </c>
      <c r="V76" s="463"/>
      <c r="W76" s="459"/>
      <c r="X76" s="463"/>
      <c r="Y76" s="459"/>
      <c r="Z76" s="463"/>
      <c r="AA76" s="463"/>
      <c r="AB76" s="463"/>
      <c r="AC76" s="459"/>
      <c r="AD76" s="459"/>
      <c r="AE76" s="459"/>
      <c r="AF76" s="463"/>
      <c r="AG76" s="617"/>
    </row>
    <row r="77" spans="1:33" s="464" customFormat="1">
      <c r="A77" s="462" t="s">
        <v>80</v>
      </c>
      <c r="B77" s="461" t="s">
        <v>709</v>
      </c>
      <c r="C77" s="505"/>
      <c r="D77" s="504">
        <v>107664</v>
      </c>
      <c r="E77" s="504">
        <v>9</v>
      </c>
      <c r="F77" s="450">
        <f t="shared" si="8"/>
        <v>117967</v>
      </c>
      <c r="G77" s="451">
        <f t="shared" si="9"/>
        <v>106029</v>
      </c>
      <c r="H77" s="463">
        <v>72440</v>
      </c>
      <c r="I77" s="459">
        <v>46215</v>
      </c>
      <c r="J77" s="463">
        <v>2470</v>
      </c>
      <c r="K77" s="459">
        <v>1922</v>
      </c>
      <c r="L77" s="463">
        <v>43057</v>
      </c>
      <c r="M77" s="463"/>
      <c r="N77" s="463"/>
      <c r="O77" s="459">
        <v>57892</v>
      </c>
      <c r="P77" s="459"/>
      <c r="Q77" s="459"/>
      <c r="R77" s="463"/>
      <c r="S77" s="459"/>
      <c r="T77" s="450">
        <f t="shared" si="10"/>
        <v>0</v>
      </c>
      <c r="U77" s="451">
        <f t="shared" si="11"/>
        <v>0</v>
      </c>
      <c r="V77" s="463"/>
      <c r="W77" s="459"/>
      <c r="X77" s="463"/>
      <c r="Y77" s="459"/>
      <c r="Z77" s="463"/>
      <c r="AA77" s="463"/>
      <c r="AB77" s="463"/>
      <c r="AC77" s="459"/>
      <c r="AD77" s="459"/>
      <c r="AE77" s="459"/>
      <c r="AF77" s="463"/>
      <c r="AG77" s="617"/>
    </row>
    <row r="78" spans="1:33" s="14" customFormat="1" ht="15.75" customHeight="1">
      <c r="A78" s="338" t="s">
        <v>110</v>
      </c>
      <c r="B78" s="339" t="s">
        <v>111</v>
      </c>
      <c r="C78" s="507"/>
      <c r="D78" s="508">
        <v>130943</v>
      </c>
      <c r="E78" s="509">
        <v>1</v>
      </c>
      <c r="F78" s="450">
        <f t="shared" si="8"/>
        <v>600612</v>
      </c>
      <c r="G78" s="451">
        <f t="shared" si="9"/>
        <v>595830</v>
      </c>
      <c r="H78" s="463">
        <v>294779</v>
      </c>
      <c r="I78" s="459">
        <v>237675</v>
      </c>
      <c r="J78" s="463"/>
      <c r="K78" s="459"/>
      <c r="L78" s="463">
        <v>305833</v>
      </c>
      <c r="M78" s="463">
        <v>0</v>
      </c>
      <c r="N78" s="463">
        <v>0</v>
      </c>
      <c r="O78" s="459">
        <v>358155</v>
      </c>
      <c r="P78" s="459">
        <v>0</v>
      </c>
      <c r="Q78" s="459">
        <v>0</v>
      </c>
      <c r="R78" s="463"/>
      <c r="S78" s="459"/>
      <c r="T78" s="450">
        <f t="shared" si="10"/>
        <v>74608</v>
      </c>
      <c r="U78" s="451">
        <f t="shared" si="11"/>
        <v>65968</v>
      </c>
      <c r="V78" s="463">
        <v>37072</v>
      </c>
      <c r="W78" s="459">
        <v>28865</v>
      </c>
      <c r="X78" s="463"/>
      <c r="Y78" s="459"/>
      <c r="Z78" s="463">
        <v>37536</v>
      </c>
      <c r="AA78" s="463">
        <v>0</v>
      </c>
      <c r="AB78" s="463">
        <v>0</v>
      </c>
      <c r="AC78" s="459">
        <v>37103</v>
      </c>
      <c r="AD78" s="459">
        <v>0</v>
      </c>
      <c r="AE78" s="459">
        <v>0</v>
      </c>
      <c r="AF78" s="463"/>
      <c r="AG78" s="617"/>
    </row>
    <row r="79" spans="1:33">
      <c r="A79" s="409" t="s">
        <v>110</v>
      </c>
      <c r="B79" s="339" t="s">
        <v>112</v>
      </c>
      <c r="C79" s="510"/>
      <c r="D79" s="508">
        <v>130934</v>
      </c>
      <c r="E79" s="509">
        <v>3</v>
      </c>
      <c r="F79" s="450">
        <f t="shared" si="8"/>
        <v>131706</v>
      </c>
      <c r="G79" s="451">
        <f t="shared" si="9"/>
        <v>128986</v>
      </c>
      <c r="H79" s="463">
        <v>104438</v>
      </c>
      <c r="I79" s="459">
        <v>92736</v>
      </c>
      <c r="J79" s="463"/>
      <c r="K79" s="459"/>
      <c r="L79" s="463">
        <v>27268</v>
      </c>
      <c r="M79" s="463">
        <v>0</v>
      </c>
      <c r="N79" s="463">
        <v>0</v>
      </c>
      <c r="O79" s="459">
        <v>36250</v>
      </c>
      <c r="P79" s="459">
        <v>0</v>
      </c>
      <c r="Q79" s="459">
        <v>0</v>
      </c>
      <c r="R79" s="463"/>
      <c r="S79" s="459"/>
      <c r="T79" s="450">
        <f t="shared" si="10"/>
        <v>9354</v>
      </c>
      <c r="U79" s="451">
        <f t="shared" si="11"/>
        <v>14581</v>
      </c>
      <c r="V79" s="463">
        <v>5072</v>
      </c>
      <c r="W79" s="459">
        <v>6096</v>
      </c>
      <c r="X79" s="463"/>
      <c r="Y79" s="459"/>
      <c r="Z79" s="463">
        <v>4282</v>
      </c>
      <c r="AA79" s="463">
        <v>0</v>
      </c>
      <c r="AB79" s="463">
        <v>0</v>
      </c>
      <c r="AC79" s="459">
        <v>8485</v>
      </c>
      <c r="AD79" s="459">
        <v>0</v>
      </c>
      <c r="AE79" s="459">
        <v>0</v>
      </c>
      <c r="AF79" s="463"/>
      <c r="AG79" s="617"/>
    </row>
    <row r="80" spans="1:33">
      <c r="A80" s="409" t="s">
        <v>110</v>
      </c>
      <c r="B80" s="339" t="s">
        <v>113</v>
      </c>
      <c r="C80" s="511" t="s">
        <v>929</v>
      </c>
      <c r="D80" s="512">
        <v>130907</v>
      </c>
      <c r="E80" s="513">
        <v>7</v>
      </c>
      <c r="F80" s="450">
        <f t="shared" si="8"/>
        <v>240081</v>
      </c>
      <c r="G80" s="451">
        <f t="shared" si="9"/>
        <v>228100</v>
      </c>
      <c r="H80" s="463">
        <v>178034</v>
      </c>
      <c r="I80" s="459">
        <v>17501</v>
      </c>
      <c r="J80" s="463"/>
      <c r="K80" s="459"/>
      <c r="L80" s="463">
        <v>59421</v>
      </c>
      <c r="M80" s="463">
        <v>979</v>
      </c>
      <c r="N80" s="463">
        <v>1647</v>
      </c>
      <c r="O80" s="459">
        <v>172753</v>
      </c>
      <c r="P80" s="459">
        <v>0</v>
      </c>
      <c r="Q80" s="459">
        <v>37846</v>
      </c>
      <c r="R80" s="463"/>
      <c r="S80" s="459"/>
      <c r="T80" s="450">
        <f t="shared" si="10"/>
        <v>0</v>
      </c>
      <c r="U80" s="451">
        <f t="shared" si="11"/>
        <v>0</v>
      </c>
      <c r="V80" s="463"/>
      <c r="W80" s="459"/>
      <c r="X80" s="463"/>
      <c r="Y80" s="459"/>
      <c r="Z80" s="463"/>
      <c r="AA80" s="463"/>
      <c r="AB80" s="463"/>
      <c r="AC80" s="459"/>
      <c r="AD80" s="459"/>
      <c r="AE80" s="459"/>
      <c r="AF80" s="463"/>
      <c r="AG80" s="617"/>
    </row>
    <row r="81" spans="1:33">
      <c r="A81" s="39" t="s">
        <v>114</v>
      </c>
      <c r="B81" s="40"/>
      <c r="C81" s="49"/>
      <c r="D81" s="41"/>
      <c r="E81" s="41"/>
      <c r="F81" s="450">
        <f t="shared" si="8"/>
        <v>0</v>
      </c>
      <c r="G81" s="451">
        <f t="shared" si="9"/>
        <v>0</v>
      </c>
      <c r="H81" s="467"/>
      <c r="I81" s="468"/>
      <c r="J81" s="467"/>
      <c r="K81" s="468"/>
      <c r="L81" s="467"/>
      <c r="M81" s="467"/>
      <c r="N81" s="467"/>
      <c r="O81" s="468"/>
      <c r="P81" s="468"/>
      <c r="Q81" s="468"/>
      <c r="R81" s="467"/>
      <c r="S81" s="468"/>
      <c r="T81" s="450">
        <f t="shared" si="10"/>
        <v>0</v>
      </c>
      <c r="U81" s="451">
        <f t="shared" si="11"/>
        <v>0</v>
      </c>
      <c r="V81" s="467"/>
      <c r="W81" s="468"/>
      <c r="X81" s="467"/>
      <c r="Y81" s="468"/>
      <c r="Z81" s="467"/>
      <c r="AA81" s="467"/>
      <c r="AB81" s="467"/>
      <c r="AC81" s="468"/>
      <c r="AD81" s="468"/>
      <c r="AE81" s="468"/>
      <c r="AF81" s="467"/>
      <c r="AG81" s="618"/>
    </row>
    <row r="82" spans="1:33" s="14" customFormat="1" ht="15.95" customHeight="1">
      <c r="A82" s="342" t="s">
        <v>114</v>
      </c>
      <c r="B82" s="343" t="s">
        <v>115</v>
      </c>
      <c r="C82" s="43" t="s">
        <v>930</v>
      </c>
      <c r="D82" s="514">
        <v>132693</v>
      </c>
      <c r="E82" s="515">
        <v>7</v>
      </c>
      <c r="F82" s="450">
        <f t="shared" si="8"/>
        <v>305122</v>
      </c>
      <c r="G82" s="451">
        <f t="shared" si="9"/>
        <v>267529</v>
      </c>
      <c r="H82" s="463">
        <v>103335</v>
      </c>
      <c r="I82" s="469">
        <v>87515</v>
      </c>
      <c r="J82" s="463">
        <v>4102</v>
      </c>
      <c r="K82" s="469">
        <v>5461</v>
      </c>
      <c r="L82" s="463">
        <v>154828</v>
      </c>
      <c r="M82" s="463">
        <v>42857</v>
      </c>
      <c r="N82" s="463">
        <v>0</v>
      </c>
      <c r="O82" s="470">
        <v>168136</v>
      </c>
      <c r="P82" s="469">
        <v>6417</v>
      </c>
      <c r="Q82" s="469">
        <v>0</v>
      </c>
      <c r="R82" s="463">
        <v>0</v>
      </c>
      <c r="S82" s="470">
        <v>0</v>
      </c>
      <c r="T82" s="450">
        <f t="shared" si="10"/>
        <v>0</v>
      </c>
      <c r="U82" s="451">
        <f t="shared" si="11"/>
        <v>0</v>
      </c>
      <c r="V82" s="463"/>
      <c r="W82" s="459"/>
      <c r="X82" s="463"/>
      <c r="Y82" s="459"/>
      <c r="Z82" s="463"/>
      <c r="AA82" s="463"/>
      <c r="AB82" s="463"/>
      <c r="AC82" s="459"/>
      <c r="AD82" s="459"/>
      <c r="AE82" s="459"/>
      <c r="AF82" s="463"/>
      <c r="AG82" s="617"/>
    </row>
    <row r="83" spans="1:33" s="14" customFormat="1" ht="14.45" customHeight="1">
      <c r="A83" s="342" t="s">
        <v>114</v>
      </c>
      <c r="B83" s="343" t="s">
        <v>116</v>
      </c>
      <c r="C83" s="43" t="s">
        <v>931</v>
      </c>
      <c r="D83" s="514">
        <v>132709</v>
      </c>
      <c r="E83" s="515">
        <v>7</v>
      </c>
      <c r="F83" s="450">
        <f t="shared" si="8"/>
        <v>761067</v>
      </c>
      <c r="G83" s="451">
        <f t="shared" si="9"/>
        <v>681316</v>
      </c>
      <c r="H83" s="463">
        <v>316089</v>
      </c>
      <c r="I83" s="469">
        <v>262970</v>
      </c>
      <c r="J83" s="463">
        <v>22265</v>
      </c>
      <c r="K83" s="469">
        <v>25172</v>
      </c>
      <c r="L83" s="463">
        <v>194781</v>
      </c>
      <c r="M83" s="463">
        <v>227752</v>
      </c>
      <c r="N83" s="463">
        <v>0</v>
      </c>
      <c r="O83" s="470">
        <v>204069</v>
      </c>
      <c r="P83" s="469">
        <v>189057</v>
      </c>
      <c r="Q83" s="469">
        <v>0</v>
      </c>
      <c r="R83" s="463">
        <v>180</v>
      </c>
      <c r="S83" s="470">
        <v>48</v>
      </c>
      <c r="T83" s="450">
        <f t="shared" si="10"/>
        <v>0</v>
      </c>
      <c r="U83" s="451">
        <f t="shared" si="11"/>
        <v>0</v>
      </c>
      <c r="V83" s="463"/>
      <c r="W83" s="459"/>
      <c r="X83" s="463"/>
      <c r="Y83" s="459"/>
      <c r="Z83" s="463"/>
      <c r="AA83" s="463"/>
      <c r="AB83" s="463"/>
      <c r="AC83" s="459"/>
      <c r="AD83" s="459"/>
      <c r="AE83" s="459"/>
      <c r="AF83" s="463"/>
      <c r="AG83" s="617"/>
    </row>
    <row r="84" spans="1:33" s="14" customFormat="1" ht="14.45" customHeight="1">
      <c r="A84" s="342" t="s">
        <v>114</v>
      </c>
      <c r="B84" s="343" t="s">
        <v>117</v>
      </c>
      <c r="C84" s="43" t="s">
        <v>928</v>
      </c>
      <c r="D84" s="514">
        <v>132851</v>
      </c>
      <c r="E84" s="515">
        <v>7</v>
      </c>
      <c r="F84" s="450">
        <f t="shared" si="8"/>
        <v>139303</v>
      </c>
      <c r="G84" s="451">
        <f t="shared" si="9"/>
        <v>121421</v>
      </c>
      <c r="H84" s="463">
        <v>47353</v>
      </c>
      <c r="I84" s="469">
        <v>38160</v>
      </c>
      <c r="J84" s="463">
        <v>0</v>
      </c>
      <c r="K84" s="469">
        <v>0</v>
      </c>
      <c r="L84" s="463">
        <v>90808</v>
      </c>
      <c r="M84" s="463">
        <v>0</v>
      </c>
      <c r="N84" s="463">
        <v>1142</v>
      </c>
      <c r="O84" s="470">
        <v>83261</v>
      </c>
      <c r="P84" s="469">
        <v>0</v>
      </c>
      <c r="Q84" s="469">
        <v>0</v>
      </c>
      <c r="R84" s="463">
        <v>0</v>
      </c>
      <c r="S84" s="470">
        <v>0</v>
      </c>
      <c r="T84" s="450">
        <f t="shared" si="10"/>
        <v>0</v>
      </c>
      <c r="U84" s="451">
        <f t="shared" si="11"/>
        <v>0</v>
      </c>
      <c r="V84" s="463"/>
      <c r="W84" s="459"/>
      <c r="X84" s="463"/>
      <c r="Y84" s="459"/>
      <c r="Z84" s="463"/>
      <c r="AA84" s="463"/>
      <c r="AB84" s="463"/>
      <c r="AC84" s="459"/>
      <c r="AD84" s="459"/>
      <c r="AE84" s="459"/>
      <c r="AF84" s="463"/>
      <c r="AG84" s="617"/>
    </row>
    <row r="85" spans="1:33" s="14" customFormat="1" ht="14.45" customHeight="1">
      <c r="A85" s="342" t="s">
        <v>114</v>
      </c>
      <c r="B85" s="343" t="s">
        <v>118</v>
      </c>
      <c r="C85" s="43" t="s">
        <v>932</v>
      </c>
      <c r="D85" s="514">
        <v>133021</v>
      </c>
      <c r="E85" s="515">
        <v>7</v>
      </c>
      <c r="F85" s="450">
        <f t="shared" si="8"/>
        <v>37404</v>
      </c>
      <c r="G85" s="451">
        <f t="shared" si="9"/>
        <v>34470</v>
      </c>
      <c r="H85" s="463">
        <v>18026</v>
      </c>
      <c r="I85" s="469">
        <v>15921</v>
      </c>
      <c r="J85" s="463">
        <v>3381</v>
      </c>
      <c r="K85" s="469">
        <v>4068</v>
      </c>
      <c r="L85" s="463">
        <v>15997</v>
      </c>
      <c r="M85" s="463">
        <v>0</v>
      </c>
      <c r="N85" s="463">
        <v>0</v>
      </c>
      <c r="O85" s="470">
        <v>14481</v>
      </c>
      <c r="P85" s="469">
        <v>0</v>
      </c>
      <c r="Q85" s="469">
        <v>0</v>
      </c>
      <c r="R85" s="463">
        <v>0</v>
      </c>
      <c r="S85" s="470">
        <v>0</v>
      </c>
      <c r="T85" s="450">
        <f t="shared" si="10"/>
        <v>0</v>
      </c>
      <c r="U85" s="451">
        <f t="shared" si="11"/>
        <v>0</v>
      </c>
      <c r="V85" s="463"/>
      <c r="W85" s="459"/>
      <c r="X85" s="463"/>
      <c r="Y85" s="459"/>
      <c r="Z85" s="463"/>
      <c r="AA85" s="463"/>
      <c r="AB85" s="463"/>
      <c r="AC85" s="459"/>
      <c r="AD85" s="459"/>
      <c r="AE85" s="459"/>
      <c r="AF85" s="463"/>
      <c r="AG85" s="617"/>
    </row>
    <row r="86" spans="1:33" s="14" customFormat="1" ht="14.45" customHeight="1">
      <c r="A86" s="342" t="s">
        <v>114</v>
      </c>
      <c r="B86" s="343" t="s">
        <v>119</v>
      </c>
      <c r="C86" s="43" t="s">
        <v>930</v>
      </c>
      <c r="D86" s="514">
        <v>133386</v>
      </c>
      <c r="E86" s="515">
        <v>7</v>
      </c>
      <c r="F86" s="450">
        <f t="shared" si="8"/>
        <v>278713</v>
      </c>
      <c r="G86" s="451">
        <f t="shared" si="9"/>
        <v>251371</v>
      </c>
      <c r="H86" s="463">
        <v>94226</v>
      </c>
      <c r="I86" s="469">
        <v>78725</v>
      </c>
      <c r="J86" s="463">
        <v>7172</v>
      </c>
      <c r="K86" s="469">
        <v>7101</v>
      </c>
      <c r="L86" s="463">
        <v>177315</v>
      </c>
      <c r="M86" s="463">
        <v>0</v>
      </c>
      <c r="N86" s="463">
        <v>0</v>
      </c>
      <c r="O86" s="470">
        <v>165545</v>
      </c>
      <c r="P86" s="469">
        <v>0</v>
      </c>
      <c r="Q86" s="469">
        <v>0</v>
      </c>
      <c r="R86" s="463">
        <v>0</v>
      </c>
      <c r="S86" s="470">
        <v>0</v>
      </c>
      <c r="T86" s="450">
        <f t="shared" si="10"/>
        <v>0</v>
      </c>
      <c r="U86" s="451">
        <f t="shared" si="11"/>
        <v>0</v>
      </c>
      <c r="V86" s="463"/>
      <c r="W86" s="459"/>
      <c r="X86" s="463"/>
      <c r="Y86" s="459"/>
      <c r="Z86" s="463"/>
      <c r="AA86" s="463"/>
      <c r="AB86" s="463"/>
      <c r="AC86" s="459"/>
      <c r="AD86" s="459"/>
      <c r="AE86" s="459"/>
      <c r="AF86" s="463"/>
      <c r="AG86" s="617"/>
    </row>
    <row r="87" spans="1:33" s="14" customFormat="1" ht="14.45" customHeight="1">
      <c r="A87" s="342" t="s">
        <v>114</v>
      </c>
      <c r="B87" s="343" t="s">
        <v>120</v>
      </c>
      <c r="C87" s="43" t="s">
        <v>930</v>
      </c>
      <c r="D87" s="514">
        <v>133508</v>
      </c>
      <c r="E87" s="515">
        <v>7</v>
      </c>
      <c r="F87" s="450">
        <f t="shared" si="8"/>
        <v>310635</v>
      </c>
      <c r="G87" s="451">
        <f t="shared" si="9"/>
        <v>290122</v>
      </c>
      <c r="H87" s="463">
        <v>152877</v>
      </c>
      <c r="I87" s="469">
        <v>123495</v>
      </c>
      <c r="J87" s="463">
        <v>14254</v>
      </c>
      <c r="K87" s="469">
        <v>12745</v>
      </c>
      <c r="L87" s="463">
        <v>142434</v>
      </c>
      <c r="M87" s="463">
        <v>0</v>
      </c>
      <c r="N87" s="463">
        <v>0</v>
      </c>
      <c r="O87" s="470">
        <v>152797</v>
      </c>
      <c r="P87" s="469">
        <v>0</v>
      </c>
      <c r="Q87" s="469">
        <v>0</v>
      </c>
      <c r="R87" s="463">
        <v>1070</v>
      </c>
      <c r="S87" s="470">
        <v>1085</v>
      </c>
      <c r="T87" s="450">
        <f t="shared" si="10"/>
        <v>0</v>
      </c>
      <c r="U87" s="451">
        <f t="shared" si="11"/>
        <v>0</v>
      </c>
      <c r="V87" s="463"/>
      <c r="W87" s="459"/>
      <c r="X87" s="463"/>
      <c r="Y87" s="459"/>
      <c r="Z87" s="463"/>
      <c r="AA87" s="463"/>
      <c r="AB87" s="463"/>
      <c r="AC87" s="459"/>
      <c r="AD87" s="459"/>
      <c r="AE87" s="459"/>
      <c r="AF87" s="463"/>
      <c r="AG87" s="617"/>
    </row>
    <row r="88" spans="1:33" s="14" customFormat="1" ht="14.45" customHeight="1">
      <c r="A88" s="342" t="s">
        <v>114</v>
      </c>
      <c r="B88" s="343" t="s">
        <v>121</v>
      </c>
      <c r="C88" s="43" t="s">
        <v>930</v>
      </c>
      <c r="D88" s="514">
        <v>133702</v>
      </c>
      <c r="E88" s="515">
        <v>7</v>
      </c>
      <c r="F88" s="450">
        <f t="shared" si="8"/>
        <v>460902</v>
      </c>
      <c r="G88" s="451">
        <f t="shared" si="9"/>
        <v>411842</v>
      </c>
      <c r="H88" s="463">
        <v>104697</v>
      </c>
      <c r="I88" s="469">
        <v>75053</v>
      </c>
      <c r="J88" s="463">
        <v>17274</v>
      </c>
      <c r="K88" s="469">
        <v>18896</v>
      </c>
      <c r="L88" s="463">
        <v>212963</v>
      </c>
      <c r="M88" s="463">
        <v>125968</v>
      </c>
      <c r="N88" s="463">
        <v>0</v>
      </c>
      <c r="O88" s="470">
        <v>176963</v>
      </c>
      <c r="P88" s="469">
        <v>140930</v>
      </c>
      <c r="Q88" s="469">
        <v>0</v>
      </c>
      <c r="R88" s="463">
        <v>0</v>
      </c>
      <c r="S88" s="470">
        <v>0</v>
      </c>
      <c r="T88" s="450">
        <f t="shared" si="10"/>
        <v>0</v>
      </c>
      <c r="U88" s="451">
        <f t="shared" si="11"/>
        <v>0</v>
      </c>
      <c r="V88" s="463"/>
      <c r="W88" s="459"/>
      <c r="X88" s="463"/>
      <c r="Y88" s="459"/>
      <c r="Z88" s="463"/>
      <c r="AA88" s="463"/>
      <c r="AB88" s="463"/>
      <c r="AC88" s="459"/>
      <c r="AD88" s="459"/>
      <c r="AE88" s="459"/>
      <c r="AF88" s="463"/>
      <c r="AG88" s="617"/>
    </row>
    <row r="89" spans="1:33" s="14" customFormat="1" ht="14.45" customHeight="1">
      <c r="A89" s="342" t="s">
        <v>114</v>
      </c>
      <c r="B89" s="343" t="s">
        <v>724</v>
      </c>
      <c r="C89" s="43"/>
      <c r="D89" s="514">
        <v>133960</v>
      </c>
      <c r="E89" s="515">
        <v>10</v>
      </c>
      <c r="F89" s="450">
        <f t="shared" si="8"/>
        <v>20810</v>
      </c>
      <c r="G89" s="451">
        <f t="shared" si="9"/>
        <v>21291</v>
      </c>
      <c r="H89" s="463">
        <v>7889</v>
      </c>
      <c r="I89" s="469">
        <v>7744</v>
      </c>
      <c r="J89" s="463">
        <v>975</v>
      </c>
      <c r="K89" s="469">
        <v>1479</v>
      </c>
      <c r="L89" s="463">
        <v>11946</v>
      </c>
      <c r="M89" s="463">
        <v>0</v>
      </c>
      <c r="N89" s="463">
        <v>0</v>
      </c>
      <c r="O89" s="470">
        <v>12068</v>
      </c>
      <c r="P89" s="469">
        <v>0</v>
      </c>
      <c r="Q89" s="469">
        <v>0</v>
      </c>
      <c r="R89" s="463">
        <v>0</v>
      </c>
      <c r="S89" s="470">
        <v>0</v>
      </c>
      <c r="T89" s="450">
        <f t="shared" si="10"/>
        <v>0</v>
      </c>
      <c r="U89" s="451">
        <f t="shared" si="11"/>
        <v>0</v>
      </c>
      <c r="V89" s="463"/>
      <c r="W89" s="459"/>
      <c r="X89" s="463"/>
      <c r="Y89" s="459"/>
      <c r="Z89" s="463"/>
      <c r="AA89" s="463"/>
      <c r="AB89" s="463"/>
      <c r="AC89" s="459"/>
      <c r="AD89" s="459"/>
      <c r="AE89" s="459"/>
      <c r="AF89" s="463"/>
      <c r="AG89" s="617"/>
    </row>
    <row r="90" spans="1:33" s="14" customFormat="1" ht="14.45" customHeight="1">
      <c r="A90" s="342" t="s">
        <v>114</v>
      </c>
      <c r="B90" s="343" t="s">
        <v>122</v>
      </c>
      <c r="C90" s="43" t="s">
        <v>928</v>
      </c>
      <c r="D90" s="514">
        <v>134343</v>
      </c>
      <c r="E90" s="515">
        <v>7</v>
      </c>
      <c r="F90" s="450">
        <f t="shared" si="8"/>
        <v>90169</v>
      </c>
      <c r="G90" s="451">
        <f t="shared" si="9"/>
        <v>85334</v>
      </c>
      <c r="H90" s="463">
        <v>46130</v>
      </c>
      <c r="I90" s="469">
        <v>40430</v>
      </c>
      <c r="J90" s="463">
        <v>9098</v>
      </c>
      <c r="K90" s="469">
        <v>8652</v>
      </c>
      <c r="L90" s="463">
        <v>34941</v>
      </c>
      <c r="M90" s="463">
        <v>0</v>
      </c>
      <c r="N90" s="463">
        <v>0</v>
      </c>
      <c r="O90" s="470">
        <v>36252</v>
      </c>
      <c r="P90" s="469">
        <v>0</v>
      </c>
      <c r="Q90" s="469">
        <v>0</v>
      </c>
      <c r="R90" s="463">
        <v>0</v>
      </c>
      <c r="S90" s="470">
        <v>0</v>
      </c>
      <c r="T90" s="450">
        <f t="shared" si="10"/>
        <v>0</v>
      </c>
      <c r="U90" s="451">
        <f t="shared" si="11"/>
        <v>0</v>
      </c>
      <c r="V90" s="463"/>
      <c r="W90" s="459"/>
      <c r="X90" s="463"/>
      <c r="Y90" s="459"/>
      <c r="Z90" s="463"/>
      <c r="AA90" s="463"/>
      <c r="AB90" s="463"/>
      <c r="AC90" s="459"/>
      <c r="AD90" s="459"/>
      <c r="AE90" s="459"/>
      <c r="AF90" s="463"/>
      <c r="AG90" s="617"/>
    </row>
    <row r="91" spans="1:33" s="14" customFormat="1" ht="14.45" customHeight="1">
      <c r="A91" s="342" t="s">
        <v>114</v>
      </c>
      <c r="B91" s="343" t="s">
        <v>123</v>
      </c>
      <c r="C91" s="43"/>
      <c r="D91" s="514">
        <v>134495</v>
      </c>
      <c r="E91" s="515">
        <v>8</v>
      </c>
      <c r="F91" s="450">
        <f t="shared" si="8"/>
        <v>566562</v>
      </c>
      <c r="G91" s="451">
        <f t="shared" si="9"/>
        <v>528202</v>
      </c>
      <c r="H91" s="463">
        <v>177410</v>
      </c>
      <c r="I91" s="469">
        <v>115944</v>
      </c>
      <c r="J91" s="463">
        <v>25820</v>
      </c>
      <c r="K91" s="469">
        <v>27050</v>
      </c>
      <c r="L91" s="463">
        <v>363332</v>
      </c>
      <c r="M91" s="463">
        <v>0</v>
      </c>
      <c r="N91" s="463">
        <v>0</v>
      </c>
      <c r="O91" s="470">
        <v>385208</v>
      </c>
      <c r="P91" s="469">
        <v>0</v>
      </c>
      <c r="Q91" s="469">
        <v>0</v>
      </c>
      <c r="R91" s="463">
        <v>0</v>
      </c>
      <c r="S91" s="470">
        <v>0</v>
      </c>
      <c r="T91" s="450">
        <f t="shared" si="10"/>
        <v>0</v>
      </c>
      <c r="U91" s="451">
        <f t="shared" si="11"/>
        <v>0</v>
      </c>
      <c r="V91" s="463"/>
      <c r="W91" s="459"/>
      <c r="X91" s="463"/>
      <c r="Y91" s="459"/>
      <c r="Z91" s="463"/>
      <c r="AA91" s="463"/>
      <c r="AB91" s="463"/>
      <c r="AC91" s="459"/>
      <c r="AD91" s="459"/>
      <c r="AE91" s="459"/>
      <c r="AF91" s="463"/>
      <c r="AG91" s="617"/>
    </row>
    <row r="92" spans="1:33" s="14" customFormat="1" ht="14.45" customHeight="1">
      <c r="A92" s="342" t="s">
        <v>114</v>
      </c>
      <c r="B92" s="343" t="s">
        <v>124</v>
      </c>
      <c r="C92" s="43" t="s">
        <v>930</v>
      </c>
      <c r="D92" s="514">
        <v>134608</v>
      </c>
      <c r="E92" s="515">
        <v>7</v>
      </c>
      <c r="F92" s="450">
        <f t="shared" si="8"/>
        <v>301288</v>
      </c>
      <c r="G92" s="451">
        <f t="shared" si="9"/>
        <v>276508</v>
      </c>
      <c r="H92" s="463">
        <v>106134</v>
      </c>
      <c r="I92" s="469">
        <v>82528</v>
      </c>
      <c r="J92" s="463">
        <v>5981</v>
      </c>
      <c r="K92" s="469">
        <v>7430</v>
      </c>
      <c r="L92" s="463">
        <v>173434</v>
      </c>
      <c r="M92" s="463">
        <v>15739</v>
      </c>
      <c r="N92" s="463">
        <v>0</v>
      </c>
      <c r="O92" s="470">
        <v>173467</v>
      </c>
      <c r="P92" s="469">
        <v>13083</v>
      </c>
      <c r="Q92" s="469">
        <v>0</v>
      </c>
      <c r="R92" s="463">
        <v>0</v>
      </c>
      <c r="S92" s="470">
        <v>0</v>
      </c>
      <c r="T92" s="450">
        <f t="shared" si="10"/>
        <v>0</v>
      </c>
      <c r="U92" s="451">
        <f t="shared" si="11"/>
        <v>0</v>
      </c>
      <c r="V92" s="463"/>
      <c r="W92" s="459"/>
      <c r="X92" s="463"/>
      <c r="Y92" s="459"/>
      <c r="Z92" s="463"/>
      <c r="AA92" s="463"/>
      <c r="AB92" s="463"/>
      <c r="AC92" s="459"/>
      <c r="AD92" s="459"/>
      <c r="AE92" s="459"/>
      <c r="AF92" s="463"/>
      <c r="AG92" s="617"/>
    </row>
    <row r="93" spans="1:33" s="14" customFormat="1" ht="14.45" customHeight="1">
      <c r="A93" s="342" t="s">
        <v>114</v>
      </c>
      <c r="B93" s="343" t="s">
        <v>125</v>
      </c>
      <c r="C93" s="43" t="s">
        <v>928</v>
      </c>
      <c r="D93" s="514">
        <v>135160</v>
      </c>
      <c r="E93" s="515">
        <v>7</v>
      </c>
      <c r="F93" s="450">
        <f t="shared" si="8"/>
        <v>60416</v>
      </c>
      <c r="G93" s="451">
        <f t="shared" si="9"/>
        <v>54311</v>
      </c>
      <c r="H93" s="463">
        <v>18529</v>
      </c>
      <c r="I93" s="469">
        <v>15937</v>
      </c>
      <c r="J93" s="463">
        <v>3055</v>
      </c>
      <c r="K93" s="469">
        <v>2788</v>
      </c>
      <c r="L93" s="463">
        <v>38832</v>
      </c>
      <c r="M93" s="463">
        <v>0</v>
      </c>
      <c r="N93" s="463">
        <v>0</v>
      </c>
      <c r="O93" s="470">
        <v>35586</v>
      </c>
      <c r="P93" s="469">
        <v>0</v>
      </c>
      <c r="Q93" s="469">
        <v>0</v>
      </c>
      <c r="R93" s="463">
        <v>0</v>
      </c>
      <c r="S93" s="470">
        <v>0</v>
      </c>
      <c r="T93" s="450">
        <f t="shared" si="10"/>
        <v>0</v>
      </c>
      <c r="U93" s="451">
        <f t="shared" si="11"/>
        <v>0</v>
      </c>
      <c r="V93" s="463"/>
      <c r="W93" s="459"/>
      <c r="X93" s="463"/>
      <c r="Y93" s="459"/>
      <c r="Z93" s="463"/>
      <c r="AA93" s="463"/>
      <c r="AB93" s="463"/>
      <c r="AC93" s="459"/>
      <c r="AD93" s="459"/>
      <c r="AE93" s="459"/>
      <c r="AF93" s="463"/>
      <c r="AG93" s="617"/>
    </row>
    <row r="94" spans="1:33" s="14" customFormat="1" ht="14.45" customHeight="1">
      <c r="A94" s="342" t="s">
        <v>114</v>
      </c>
      <c r="B94" s="343" t="s">
        <v>126</v>
      </c>
      <c r="C94" s="43" t="s">
        <v>928</v>
      </c>
      <c r="D94" s="514">
        <v>135188</v>
      </c>
      <c r="E94" s="515">
        <v>7</v>
      </c>
      <c r="F94" s="450">
        <f t="shared" si="8"/>
        <v>97706</v>
      </c>
      <c r="G94" s="451">
        <f t="shared" si="9"/>
        <v>88726</v>
      </c>
      <c r="H94" s="463">
        <v>31829</v>
      </c>
      <c r="I94" s="469">
        <v>21153</v>
      </c>
      <c r="J94" s="463">
        <v>0</v>
      </c>
      <c r="K94" s="469">
        <v>0</v>
      </c>
      <c r="L94" s="463">
        <v>65877</v>
      </c>
      <c r="M94" s="463">
        <v>0</v>
      </c>
      <c r="N94" s="463">
        <v>0</v>
      </c>
      <c r="O94" s="470">
        <v>67573</v>
      </c>
      <c r="P94" s="469">
        <v>0</v>
      </c>
      <c r="Q94" s="469">
        <v>0</v>
      </c>
      <c r="R94" s="463">
        <v>0</v>
      </c>
      <c r="S94" s="470">
        <v>0</v>
      </c>
      <c r="T94" s="450">
        <f t="shared" si="10"/>
        <v>0</v>
      </c>
      <c r="U94" s="451">
        <f t="shared" si="11"/>
        <v>0</v>
      </c>
      <c r="V94" s="463"/>
      <c r="W94" s="459"/>
      <c r="X94" s="463"/>
      <c r="Y94" s="459"/>
      <c r="Z94" s="463"/>
      <c r="AA94" s="463"/>
      <c r="AB94" s="463"/>
      <c r="AC94" s="459"/>
      <c r="AD94" s="459"/>
      <c r="AE94" s="459"/>
      <c r="AF94" s="463"/>
      <c r="AG94" s="617"/>
    </row>
    <row r="95" spans="1:33" s="14" customFormat="1" ht="14.45" customHeight="1">
      <c r="A95" s="342" t="s">
        <v>114</v>
      </c>
      <c r="B95" s="343" t="s">
        <v>127</v>
      </c>
      <c r="C95" s="43" t="s">
        <v>930</v>
      </c>
      <c r="D95" s="514">
        <v>135391</v>
      </c>
      <c r="E95" s="515">
        <v>7</v>
      </c>
      <c r="F95" s="450">
        <f t="shared" si="8"/>
        <v>197418</v>
      </c>
      <c r="G95" s="451">
        <f t="shared" si="9"/>
        <v>181116</v>
      </c>
      <c r="H95" s="463">
        <v>69428</v>
      </c>
      <c r="I95" s="469">
        <v>61659</v>
      </c>
      <c r="J95" s="463">
        <v>0</v>
      </c>
      <c r="K95" s="469">
        <v>0</v>
      </c>
      <c r="L95" s="463">
        <v>115010</v>
      </c>
      <c r="M95" s="463">
        <v>12980</v>
      </c>
      <c r="N95" s="463">
        <v>0</v>
      </c>
      <c r="O95" s="470">
        <v>108133</v>
      </c>
      <c r="P95" s="469">
        <v>11324</v>
      </c>
      <c r="Q95" s="469">
        <v>0</v>
      </c>
      <c r="R95" s="463">
        <v>0</v>
      </c>
      <c r="S95" s="470">
        <v>0</v>
      </c>
      <c r="T95" s="450">
        <f t="shared" si="10"/>
        <v>0</v>
      </c>
      <c r="U95" s="451">
        <f t="shared" si="11"/>
        <v>0</v>
      </c>
      <c r="V95" s="463"/>
      <c r="W95" s="459"/>
      <c r="X95" s="463"/>
      <c r="Y95" s="459"/>
      <c r="Z95" s="463"/>
      <c r="AA95" s="463"/>
      <c r="AB95" s="463"/>
      <c r="AC95" s="459"/>
      <c r="AD95" s="459"/>
      <c r="AE95" s="459"/>
      <c r="AF95" s="463"/>
      <c r="AG95" s="617"/>
    </row>
    <row r="96" spans="1:33" s="14" customFormat="1" ht="14.45" customHeight="1">
      <c r="A96" s="342" t="s">
        <v>114</v>
      </c>
      <c r="B96" s="343" t="s">
        <v>128</v>
      </c>
      <c r="C96" s="43" t="s">
        <v>930</v>
      </c>
      <c r="D96" s="514">
        <v>135717</v>
      </c>
      <c r="E96" s="515">
        <v>7</v>
      </c>
      <c r="F96" s="450">
        <f t="shared" si="8"/>
        <v>1238787</v>
      </c>
      <c r="G96" s="451">
        <f t="shared" si="9"/>
        <v>1198547</v>
      </c>
      <c r="H96" s="463">
        <v>633556</v>
      </c>
      <c r="I96" s="469">
        <v>346215</v>
      </c>
      <c r="J96" s="463">
        <v>17779</v>
      </c>
      <c r="K96" s="469">
        <v>21299</v>
      </c>
      <c r="L96" s="463">
        <v>424660</v>
      </c>
      <c r="M96" s="463">
        <v>160784</v>
      </c>
      <c r="N96" s="463">
        <v>0</v>
      </c>
      <c r="O96" s="470">
        <v>304119</v>
      </c>
      <c r="P96" s="469">
        <v>523952</v>
      </c>
      <c r="Q96" s="469">
        <v>0</v>
      </c>
      <c r="R96" s="463">
        <v>2008</v>
      </c>
      <c r="S96" s="470">
        <v>2962</v>
      </c>
      <c r="T96" s="450">
        <f t="shared" si="10"/>
        <v>0</v>
      </c>
      <c r="U96" s="451">
        <f t="shared" si="11"/>
        <v>0</v>
      </c>
      <c r="V96" s="463"/>
      <c r="W96" s="459"/>
      <c r="X96" s="463"/>
      <c r="Y96" s="459"/>
      <c r="Z96" s="463"/>
      <c r="AA96" s="463"/>
      <c r="AB96" s="463"/>
      <c r="AC96" s="459"/>
      <c r="AD96" s="459"/>
      <c r="AE96" s="459"/>
      <c r="AF96" s="463"/>
      <c r="AG96" s="617"/>
    </row>
    <row r="97" spans="1:33" s="14" customFormat="1" ht="14.45" customHeight="1">
      <c r="A97" s="342" t="s">
        <v>114</v>
      </c>
      <c r="B97" s="343" t="s">
        <v>726</v>
      </c>
      <c r="C97" s="43"/>
      <c r="D97" s="514">
        <v>136145</v>
      </c>
      <c r="E97" s="515">
        <v>10</v>
      </c>
      <c r="F97" s="450">
        <f t="shared" si="8"/>
        <v>21932</v>
      </c>
      <c r="G97" s="451">
        <f t="shared" si="9"/>
        <v>22439</v>
      </c>
      <c r="H97" s="463">
        <v>8942</v>
      </c>
      <c r="I97" s="469">
        <v>7691</v>
      </c>
      <c r="J97" s="463">
        <v>588</v>
      </c>
      <c r="K97" s="469">
        <v>974</v>
      </c>
      <c r="L97" s="463">
        <v>12170</v>
      </c>
      <c r="M97" s="463">
        <v>232</v>
      </c>
      <c r="N97" s="463">
        <v>0</v>
      </c>
      <c r="O97" s="470">
        <v>13440</v>
      </c>
      <c r="P97" s="469">
        <v>334</v>
      </c>
      <c r="Q97" s="469">
        <v>0</v>
      </c>
      <c r="R97" s="463">
        <v>0</v>
      </c>
      <c r="S97" s="470">
        <v>0</v>
      </c>
      <c r="T97" s="450">
        <f t="shared" si="10"/>
        <v>0</v>
      </c>
      <c r="U97" s="451">
        <f t="shared" si="11"/>
        <v>0</v>
      </c>
      <c r="V97" s="463"/>
      <c r="W97" s="459"/>
      <c r="X97" s="463"/>
      <c r="Y97" s="459"/>
      <c r="Z97" s="463"/>
      <c r="AA97" s="463"/>
      <c r="AB97" s="463"/>
      <c r="AC97" s="459"/>
      <c r="AD97" s="459"/>
      <c r="AE97" s="459"/>
      <c r="AF97" s="463"/>
      <c r="AG97" s="617"/>
    </row>
    <row r="98" spans="1:33" s="14" customFormat="1" ht="14.45" customHeight="1">
      <c r="A98" s="342" t="s">
        <v>114</v>
      </c>
      <c r="B98" s="343" t="s">
        <v>129</v>
      </c>
      <c r="C98" s="43" t="s">
        <v>928</v>
      </c>
      <c r="D98" s="514">
        <v>136233</v>
      </c>
      <c r="E98" s="515">
        <v>7</v>
      </c>
      <c r="F98" s="450">
        <f t="shared" si="8"/>
        <v>105506</v>
      </c>
      <c r="G98" s="451">
        <f t="shared" si="9"/>
        <v>91964</v>
      </c>
      <c r="H98" s="463">
        <v>38892</v>
      </c>
      <c r="I98" s="469">
        <v>33088</v>
      </c>
      <c r="J98" s="463">
        <v>3220</v>
      </c>
      <c r="K98" s="469">
        <v>2349</v>
      </c>
      <c r="L98" s="463">
        <v>63394</v>
      </c>
      <c r="M98" s="463">
        <v>0</v>
      </c>
      <c r="N98" s="463">
        <v>0</v>
      </c>
      <c r="O98" s="470">
        <v>56527</v>
      </c>
      <c r="P98" s="469">
        <v>0</v>
      </c>
      <c r="Q98" s="469">
        <v>0</v>
      </c>
      <c r="R98" s="463">
        <v>0</v>
      </c>
      <c r="S98" s="470">
        <v>0</v>
      </c>
      <c r="T98" s="450">
        <f t="shared" si="10"/>
        <v>0</v>
      </c>
      <c r="U98" s="451">
        <f t="shared" si="11"/>
        <v>0</v>
      </c>
      <c r="V98" s="463"/>
      <c r="W98" s="459"/>
      <c r="X98" s="463"/>
      <c r="Y98" s="459"/>
      <c r="Z98" s="463"/>
      <c r="AA98" s="463"/>
      <c r="AB98" s="463"/>
      <c r="AC98" s="459"/>
      <c r="AD98" s="459"/>
      <c r="AE98" s="459"/>
      <c r="AF98" s="463"/>
      <c r="AG98" s="617"/>
    </row>
    <row r="99" spans="1:33" s="14" customFormat="1" ht="14.45" customHeight="1">
      <c r="A99" s="342" t="s">
        <v>114</v>
      </c>
      <c r="B99" s="343" t="s">
        <v>130</v>
      </c>
      <c r="C99" s="43" t="s">
        <v>930</v>
      </c>
      <c r="D99" s="514">
        <v>136358</v>
      </c>
      <c r="E99" s="515">
        <v>7</v>
      </c>
      <c r="F99" s="450">
        <f t="shared" si="8"/>
        <v>559943</v>
      </c>
      <c r="G99" s="451">
        <f t="shared" si="9"/>
        <v>482962</v>
      </c>
      <c r="H99" s="463">
        <v>174095</v>
      </c>
      <c r="I99" s="469">
        <v>77912</v>
      </c>
      <c r="J99" s="463">
        <v>5399</v>
      </c>
      <c r="K99" s="469">
        <v>1091</v>
      </c>
      <c r="L99" s="463">
        <v>162739</v>
      </c>
      <c r="M99" s="463">
        <v>216194</v>
      </c>
      <c r="N99" s="463">
        <v>1516</v>
      </c>
      <c r="O99" s="470">
        <v>165191</v>
      </c>
      <c r="P99" s="469">
        <v>238768</v>
      </c>
      <c r="Q99" s="469">
        <v>0</v>
      </c>
      <c r="R99" s="463">
        <v>0</v>
      </c>
      <c r="S99" s="470">
        <v>0</v>
      </c>
      <c r="T99" s="450">
        <f t="shared" si="10"/>
        <v>0</v>
      </c>
      <c r="U99" s="451">
        <f t="shared" si="11"/>
        <v>0</v>
      </c>
      <c r="V99" s="463"/>
      <c r="W99" s="459"/>
      <c r="X99" s="463"/>
      <c r="Y99" s="459"/>
      <c r="Z99" s="463"/>
      <c r="AA99" s="463"/>
      <c r="AB99" s="463"/>
      <c r="AC99" s="459"/>
      <c r="AD99" s="459"/>
      <c r="AE99" s="459"/>
      <c r="AF99" s="463"/>
      <c r="AG99" s="617"/>
    </row>
    <row r="100" spans="1:33" s="14" customFormat="1" ht="14.45" customHeight="1">
      <c r="A100" s="342" t="s">
        <v>114</v>
      </c>
      <c r="B100" s="343" t="s">
        <v>131</v>
      </c>
      <c r="C100" s="43" t="s">
        <v>930</v>
      </c>
      <c r="D100" s="514">
        <v>136400</v>
      </c>
      <c r="E100" s="515">
        <v>7</v>
      </c>
      <c r="F100" s="450">
        <f t="shared" si="8"/>
        <v>212428</v>
      </c>
      <c r="G100" s="451">
        <f t="shared" si="9"/>
        <v>186595</v>
      </c>
      <c r="H100" s="463">
        <v>64511</v>
      </c>
      <c r="I100" s="469">
        <v>26932</v>
      </c>
      <c r="J100" s="463">
        <v>5644</v>
      </c>
      <c r="K100" s="469">
        <v>10265</v>
      </c>
      <c r="L100" s="463">
        <v>107436</v>
      </c>
      <c r="M100" s="463">
        <v>34837</v>
      </c>
      <c r="N100" s="463">
        <v>0</v>
      </c>
      <c r="O100" s="470">
        <v>108215</v>
      </c>
      <c r="P100" s="469">
        <v>41183</v>
      </c>
      <c r="Q100" s="469">
        <v>0</v>
      </c>
      <c r="R100" s="463">
        <v>0</v>
      </c>
      <c r="S100" s="470">
        <v>0</v>
      </c>
      <c r="T100" s="450">
        <f t="shared" si="10"/>
        <v>0</v>
      </c>
      <c r="U100" s="451">
        <f t="shared" si="11"/>
        <v>0</v>
      </c>
      <c r="V100" s="463"/>
      <c r="W100" s="459"/>
      <c r="X100" s="463"/>
      <c r="Y100" s="459"/>
      <c r="Z100" s="463"/>
      <c r="AA100" s="463"/>
      <c r="AB100" s="463"/>
      <c r="AC100" s="459"/>
      <c r="AD100" s="459"/>
      <c r="AE100" s="459"/>
      <c r="AF100" s="463"/>
      <c r="AG100" s="617"/>
    </row>
    <row r="101" spans="1:33" s="14" customFormat="1" ht="14.45" customHeight="1">
      <c r="A101" s="342" t="s">
        <v>114</v>
      </c>
      <c r="B101" s="343" t="s">
        <v>132</v>
      </c>
      <c r="C101" s="43" t="s">
        <v>930</v>
      </c>
      <c r="D101" s="514">
        <v>136473</v>
      </c>
      <c r="E101" s="515">
        <v>7</v>
      </c>
      <c r="F101" s="450">
        <f t="shared" si="8"/>
        <v>186929</v>
      </c>
      <c r="G101" s="451">
        <f t="shared" si="9"/>
        <v>170960</v>
      </c>
      <c r="H101" s="463">
        <v>58110</v>
      </c>
      <c r="I101" s="469">
        <v>53886</v>
      </c>
      <c r="J101" s="463">
        <v>19179</v>
      </c>
      <c r="K101" s="469">
        <v>14507</v>
      </c>
      <c r="L101" s="463">
        <v>67170</v>
      </c>
      <c r="M101" s="463">
        <v>42470</v>
      </c>
      <c r="N101" s="463">
        <v>0</v>
      </c>
      <c r="O101" s="470">
        <v>71373</v>
      </c>
      <c r="P101" s="469">
        <v>31194</v>
      </c>
      <c r="Q101" s="469">
        <v>0</v>
      </c>
      <c r="R101" s="463">
        <v>0</v>
      </c>
      <c r="S101" s="470">
        <v>0</v>
      </c>
      <c r="T101" s="450">
        <f t="shared" si="10"/>
        <v>0</v>
      </c>
      <c r="U101" s="451">
        <f t="shared" si="11"/>
        <v>0</v>
      </c>
      <c r="V101" s="463"/>
      <c r="W101" s="459"/>
      <c r="X101" s="463"/>
      <c r="Y101" s="459"/>
      <c r="Z101" s="463"/>
      <c r="AA101" s="463"/>
      <c r="AB101" s="463"/>
      <c r="AC101" s="459"/>
      <c r="AD101" s="459"/>
      <c r="AE101" s="459"/>
      <c r="AF101" s="463"/>
      <c r="AG101" s="617"/>
    </row>
    <row r="102" spans="1:33" s="14" customFormat="1" ht="14.45" customHeight="1">
      <c r="A102" s="342" t="s">
        <v>114</v>
      </c>
      <c r="B102" s="343" t="s">
        <v>133</v>
      </c>
      <c r="C102" s="43" t="s">
        <v>930</v>
      </c>
      <c r="D102" s="514">
        <v>136516</v>
      </c>
      <c r="E102" s="515">
        <v>7</v>
      </c>
      <c r="F102" s="450">
        <f t="shared" si="8"/>
        <v>190278</v>
      </c>
      <c r="G102" s="451">
        <f t="shared" si="9"/>
        <v>166144</v>
      </c>
      <c r="H102" s="463">
        <v>48040</v>
      </c>
      <c r="I102" s="469">
        <v>28375</v>
      </c>
      <c r="J102" s="463">
        <v>13318</v>
      </c>
      <c r="K102" s="469">
        <v>9441</v>
      </c>
      <c r="L102" s="463">
        <v>128920</v>
      </c>
      <c r="M102" s="463">
        <v>0</v>
      </c>
      <c r="N102" s="463">
        <v>0</v>
      </c>
      <c r="O102" s="470">
        <v>128328</v>
      </c>
      <c r="P102" s="469">
        <v>0</v>
      </c>
      <c r="Q102" s="469">
        <v>0</v>
      </c>
      <c r="R102" s="463">
        <v>0</v>
      </c>
      <c r="S102" s="470">
        <v>0</v>
      </c>
      <c r="T102" s="450">
        <f t="shared" si="10"/>
        <v>0</v>
      </c>
      <c r="U102" s="451">
        <f t="shared" si="11"/>
        <v>0</v>
      </c>
      <c r="V102" s="463"/>
      <c r="W102" s="459"/>
      <c r="X102" s="463"/>
      <c r="Y102" s="459"/>
      <c r="Z102" s="463"/>
      <c r="AA102" s="463"/>
      <c r="AB102" s="463"/>
      <c r="AC102" s="459"/>
      <c r="AD102" s="459"/>
      <c r="AE102" s="459"/>
      <c r="AF102" s="463"/>
      <c r="AG102" s="617"/>
    </row>
    <row r="103" spans="1:33" s="14" customFormat="1" ht="14.45" customHeight="1">
      <c r="A103" s="342" t="s">
        <v>114</v>
      </c>
      <c r="B103" s="343" t="s">
        <v>134</v>
      </c>
      <c r="C103" s="43" t="s">
        <v>928</v>
      </c>
      <c r="D103" s="514">
        <v>137281</v>
      </c>
      <c r="E103" s="515">
        <v>7</v>
      </c>
      <c r="F103" s="450">
        <f t="shared" si="8"/>
        <v>133424</v>
      </c>
      <c r="G103" s="451">
        <f t="shared" si="9"/>
        <v>120501</v>
      </c>
      <c r="H103" s="463">
        <v>33154</v>
      </c>
      <c r="I103" s="469">
        <v>31233</v>
      </c>
      <c r="J103" s="463">
        <v>13450</v>
      </c>
      <c r="K103" s="469">
        <v>12324</v>
      </c>
      <c r="L103" s="463">
        <v>86763</v>
      </c>
      <c r="M103" s="463">
        <v>0</v>
      </c>
      <c r="N103" s="463">
        <v>57</v>
      </c>
      <c r="O103" s="470">
        <v>76944</v>
      </c>
      <c r="P103" s="469">
        <v>0</v>
      </c>
      <c r="Q103" s="469">
        <v>0</v>
      </c>
      <c r="R103" s="463">
        <v>0</v>
      </c>
      <c r="S103" s="470">
        <v>0</v>
      </c>
      <c r="T103" s="450">
        <f t="shared" si="10"/>
        <v>0</v>
      </c>
      <c r="U103" s="451">
        <f t="shared" si="11"/>
        <v>0</v>
      </c>
      <c r="V103" s="463"/>
      <c r="W103" s="459"/>
      <c r="X103" s="463"/>
      <c r="Y103" s="459"/>
      <c r="Z103" s="463"/>
      <c r="AA103" s="463"/>
      <c r="AB103" s="463"/>
      <c r="AC103" s="459"/>
      <c r="AD103" s="459"/>
      <c r="AE103" s="459"/>
      <c r="AF103" s="463"/>
      <c r="AG103" s="617"/>
    </row>
    <row r="104" spans="1:33" s="14" customFormat="1" ht="14.45" customHeight="1">
      <c r="A104" s="342" t="s">
        <v>114</v>
      </c>
      <c r="B104" s="343" t="s">
        <v>135</v>
      </c>
      <c r="C104" s="43" t="s">
        <v>930</v>
      </c>
      <c r="D104" s="514">
        <v>137078</v>
      </c>
      <c r="E104" s="515">
        <v>7</v>
      </c>
      <c r="F104" s="450">
        <f t="shared" si="8"/>
        <v>522921</v>
      </c>
      <c r="G104" s="451">
        <f t="shared" si="9"/>
        <v>470025</v>
      </c>
      <c r="H104" s="463">
        <v>150275</v>
      </c>
      <c r="I104" s="469">
        <v>110500</v>
      </c>
      <c r="J104" s="463">
        <v>0</v>
      </c>
      <c r="K104" s="469">
        <v>0</v>
      </c>
      <c r="L104" s="463">
        <v>308566</v>
      </c>
      <c r="M104" s="463">
        <v>64080</v>
      </c>
      <c r="N104" s="463">
        <v>0</v>
      </c>
      <c r="O104" s="470">
        <v>282721</v>
      </c>
      <c r="P104" s="469">
        <v>76804</v>
      </c>
      <c r="Q104" s="469">
        <v>0</v>
      </c>
      <c r="R104" s="463">
        <v>0</v>
      </c>
      <c r="S104" s="470">
        <v>0</v>
      </c>
      <c r="T104" s="450">
        <f t="shared" si="10"/>
        <v>0</v>
      </c>
      <c r="U104" s="451">
        <f t="shared" si="11"/>
        <v>0</v>
      </c>
      <c r="V104" s="463"/>
      <c r="W104" s="459"/>
      <c r="X104" s="463"/>
      <c r="Y104" s="459"/>
      <c r="Z104" s="463"/>
      <c r="AA104" s="463"/>
      <c r="AB104" s="463"/>
      <c r="AC104" s="459"/>
      <c r="AD104" s="459"/>
      <c r="AE104" s="459"/>
      <c r="AF104" s="463"/>
      <c r="AG104" s="617"/>
    </row>
    <row r="105" spans="1:33" s="14" customFormat="1" ht="14.45" customHeight="1">
      <c r="A105" s="342" t="s">
        <v>114</v>
      </c>
      <c r="B105" s="343" t="s">
        <v>136</v>
      </c>
      <c r="C105" s="43" t="s">
        <v>930</v>
      </c>
      <c r="D105" s="514">
        <v>137096</v>
      </c>
      <c r="E105" s="515">
        <v>7</v>
      </c>
      <c r="F105" s="450">
        <f t="shared" si="8"/>
        <v>289536</v>
      </c>
      <c r="G105" s="451">
        <f t="shared" si="9"/>
        <v>265258</v>
      </c>
      <c r="H105" s="463">
        <v>158373</v>
      </c>
      <c r="I105" s="469">
        <v>135923</v>
      </c>
      <c r="J105" s="463">
        <v>3127</v>
      </c>
      <c r="K105" s="469">
        <v>3059</v>
      </c>
      <c r="L105" s="463">
        <v>128036</v>
      </c>
      <c r="M105" s="463">
        <v>0</v>
      </c>
      <c r="N105" s="463">
        <v>0</v>
      </c>
      <c r="O105" s="470">
        <v>126276</v>
      </c>
      <c r="P105" s="469">
        <v>0</v>
      </c>
      <c r="Q105" s="469">
        <v>0</v>
      </c>
      <c r="R105" s="463">
        <v>0</v>
      </c>
      <c r="S105" s="470">
        <v>0</v>
      </c>
      <c r="T105" s="450">
        <f t="shared" si="10"/>
        <v>0</v>
      </c>
      <c r="U105" s="451">
        <f t="shared" si="11"/>
        <v>0</v>
      </c>
      <c r="V105" s="463"/>
      <c r="W105" s="459"/>
      <c r="X105" s="463"/>
      <c r="Y105" s="459"/>
      <c r="Z105" s="463"/>
      <c r="AA105" s="463"/>
      <c r="AB105" s="463"/>
      <c r="AC105" s="459"/>
      <c r="AD105" s="459"/>
      <c r="AE105" s="459"/>
      <c r="AF105" s="463"/>
      <c r="AG105" s="617"/>
    </row>
    <row r="106" spans="1:33" s="14" customFormat="1" ht="14.45" customHeight="1">
      <c r="A106" s="342" t="s">
        <v>114</v>
      </c>
      <c r="B106" s="343" t="s">
        <v>137</v>
      </c>
      <c r="C106" s="43" t="s">
        <v>930</v>
      </c>
      <c r="D106" s="514">
        <v>137209</v>
      </c>
      <c r="E106" s="515">
        <v>7</v>
      </c>
      <c r="F106" s="450">
        <f t="shared" si="8"/>
        <v>332564</v>
      </c>
      <c r="G106" s="451">
        <f t="shared" si="9"/>
        <v>303949</v>
      </c>
      <c r="H106" s="463">
        <v>115318</v>
      </c>
      <c r="I106" s="469">
        <v>88258</v>
      </c>
      <c r="J106" s="463">
        <v>0</v>
      </c>
      <c r="K106" s="469">
        <v>0</v>
      </c>
      <c r="L106" s="463">
        <v>182866</v>
      </c>
      <c r="M106" s="463">
        <v>34380</v>
      </c>
      <c r="N106" s="463">
        <v>0</v>
      </c>
      <c r="O106" s="470">
        <v>182228</v>
      </c>
      <c r="P106" s="469">
        <v>33463</v>
      </c>
      <c r="Q106" s="469">
        <v>0</v>
      </c>
      <c r="R106" s="463">
        <v>0</v>
      </c>
      <c r="S106" s="470">
        <v>0</v>
      </c>
      <c r="T106" s="450">
        <f t="shared" si="10"/>
        <v>0</v>
      </c>
      <c r="U106" s="451">
        <f t="shared" si="11"/>
        <v>0</v>
      </c>
      <c r="V106" s="463"/>
      <c r="W106" s="459"/>
      <c r="X106" s="463"/>
      <c r="Y106" s="459"/>
      <c r="Z106" s="463"/>
      <c r="AA106" s="463"/>
      <c r="AB106" s="463"/>
      <c r="AC106" s="459"/>
      <c r="AD106" s="459"/>
      <c r="AE106" s="459"/>
      <c r="AF106" s="463"/>
      <c r="AG106" s="617"/>
    </row>
    <row r="107" spans="1:33" s="14" customFormat="1" ht="14.45" customHeight="1">
      <c r="A107" s="342" t="s">
        <v>114</v>
      </c>
      <c r="B107" s="343" t="s">
        <v>138</v>
      </c>
      <c r="C107" s="43" t="s">
        <v>928</v>
      </c>
      <c r="D107" s="514">
        <v>137315</v>
      </c>
      <c r="E107" s="515">
        <v>7</v>
      </c>
      <c r="F107" s="450">
        <f t="shared" si="8"/>
        <v>48170</v>
      </c>
      <c r="G107" s="451">
        <f t="shared" si="9"/>
        <v>49014</v>
      </c>
      <c r="H107" s="463">
        <v>14983</v>
      </c>
      <c r="I107" s="469">
        <v>12977</v>
      </c>
      <c r="J107" s="463">
        <v>5571</v>
      </c>
      <c r="K107" s="469">
        <v>4571</v>
      </c>
      <c r="L107" s="463">
        <v>26529</v>
      </c>
      <c r="M107" s="463">
        <v>1059</v>
      </c>
      <c r="N107" s="463">
        <v>28</v>
      </c>
      <c r="O107" s="470">
        <v>29743</v>
      </c>
      <c r="P107" s="469">
        <v>1691</v>
      </c>
      <c r="Q107" s="469">
        <v>32</v>
      </c>
      <c r="R107" s="463">
        <v>0</v>
      </c>
      <c r="S107" s="470">
        <v>0</v>
      </c>
      <c r="T107" s="450">
        <f t="shared" si="10"/>
        <v>0</v>
      </c>
      <c r="U107" s="451">
        <f t="shared" si="11"/>
        <v>0</v>
      </c>
      <c r="V107" s="463"/>
      <c r="W107" s="459"/>
      <c r="X107" s="463"/>
      <c r="Y107" s="459"/>
      <c r="Z107" s="463"/>
      <c r="AA107" s="463"/>
      <c r="AB107" s="463"/>
      <c r="AC107" s="459"/>
      <c r="AD107" s="459"/>
      <c r="AE107" s="459"/>
      <c r="AF107" s="463"/>
      <c r="AG107" s="617"/>
    </row>
    <row r="108" spans="1:33" s="14" customFormat="1" ht="14.45" customHeight="1">
      <c r="A108" s="342" t="s">
        <v>114</v>
      </c>
      <c r="B108" s="343" t="s">
        <v>139</v>
      </c>
      <c r="C108" s="43"/>
      <c r="D108" s="514">
        <v>137759</v>
      </c>
      <c r="E108" s="515">
        <v>8</v>
      </c>
      <c r="F108" s="450">
        <f t="shared" si="8"/>
        <v>252748</v>
      </c>
      <c r="G108" s="451">
        <f t="shared" si="9"/>
        <v>260222</v>
      </c>
      <c r="H108" s="463">
        <v>78172</v>
      </c>
      <c r="I108" s="469">
        <v>54591</v>
      </c>
      <c r="J108" s="463">
        <v>16564</v>
      </c>
      <c r="K108" s="469">
        <v>10303</v>
      </c>
      <c r="L108" s="463">
        <v>158012</v>
      </c>
      <c r="M108" s="463">
        <v>0</v>
      </c>
      <c r="N108" s="463">
        <v>0</v>
      </c>
      <c r="O108" s="470">
        <v>195328</v>
      </c>
      <c r="P108" s="469">
        <v>0</v>
      </c>
      <c r="Q108" s="469">
        <v>0</v>
      </c>
      <c r="R108" s="463">
        <v>0</v>
      </c>
      <c r="S108" s="470">
        <v>0</v>
      </c>
      <c r="T108" s="450">
        <f t="shared" si="10"/>
        <v>0</v>
      </c>
      <c r="U108" s="451">
        <f t="shared" si="11"/>
        <v>0</v>
      </c>
      <c r="V108" s="463"/>
      <c r="W108" s="459"/>
      <c r="X108" s="463"/>
      <c r="Y108" s="459"/>
      <c r="Z108" s="463"/>
      <c r="AA108" s="463"/>
      <c r="AB108" s="463"/>
      <c r="AC108" s="459"/>
      <c r="AD108" s="459"/>
      <c r="AE108" s="459"/>
      <c r="AF108" s="463"/>
      <c r="AG108" s="617"/>
    </row>
    <row r="109" spans="1:33" s="14" customFormat="1" ht="14.45" customHeight="1">
      <c r="A109" s="342" t="s">
        <v>114</v>
      </c>
      <c r="B109" s="343" t="s">
        <v>140</v>
      </c>
      <c r="C109" s="43" t="s">
        <v>930</v>
      </c>
      <c r="D109" s="514">
        <v>138187</v>
      </c>
      <c r="E109" s="515">
        <v>7</v>
      </c>
      <c r="F109" s="450">
        <f t="shared" si="8"/>
        <v>1027692</v>
      </c>
      <c r="G109" s="451">
        <f t="shared" si="9"/>
        <v>946125</v>
      </c>
      <c r="H109" s="463">
        <v>258155</v>
      </c>
      <c r="I109" s="469">
        <v>133914</v>
      </c>
      <c r="J109" s="463">
        <v>23268</v>
      </c>
      <c r="K109" s="469">
        <v>9513</v>
      </c>
      <c r="L109" s="463">
        <v>746269</v>
      </c>
      <c r="M109" s="463">
        <v>0</v>
      </c>
      <c r="N109" s="463">
        <v>0</v>
      </c>
      <c r="O109" s="470">
        <v>802698</v>
      </c>
      <c r="P109" s="469">
        <v>0</v>
      </c>
      <c r="Q109" s="469">
        <v>0</v>
      </c>
      <c r="R109" s="463">
        <v>0</v>
      </c>
      <c r="S109" s="470">
        <v>0</v>
      </c>
      <c r="T109" s="450">
        <f t="shared" si="10"/>
        <v>0</v>
      </c>
      <c r="U109" s="451">
        <f t="shared" si="11"/>
        <v>0</v>
      </c>
      <c r="V109" s="463"/>
      <c r="W109" s="459"/>
      <c r="X109" s="463"/>
      <c r="Y109" s="459"/>
      <c r="Z109" s="463"/>
      <c r="AA109" s="463"/>
      <c r="AB109" s="463"/>
      <c r="AC109" s="459"/>
      <c r="AD109" s="459"/>
      <c r="AE109" s="459"/>
      <c r="AF109" s="463"/>
      <c r="AG109" s="617"/>
    </row>
    <row r="110" spans="1:33" s="14" customFormat="1" ht="16.149999999999999" customHeight="1">
      <c r="A110" s="471" t="s">
        <v>141</v>
      </c>
      <c r="B110" s="472" t="s">
        <v>711</v>
      </c>
      <c r="C110" s="516"/>
      <c r="D110" s="517">
        <v>139940</v>
      </c>
      <c r="E110" s="517">
        <v>1</v>
      </c>
      <c r="F110" s="450">
        <f t="shared" si="8"/>
        <v>1166305</v>
      </c>
      <c r="G110" s="451">
        <f t="shared" si="9"/>
        <v>1081312</v>
      </c>
      <c r="H110" s="463">
        <v>488342</v>
      </c>
      <c r="I110" s="459">
        <v>376226.5</v>
      </c>
      <c r="J110" s="463">
        <v>5817</v>
      </c>
      <c r="K110" s="459">
        <v>2116</v>
      </c>
      <c r="L110" s="463">
        <v>672146</v>
      </c>
      <c r="M110" s="463">
        <v>0</v>
      </c>
      <c r="N110" s="463">
        <v>0</v>
      </c>
      <c r="O110" s="459">
        <v>702969.5</v>
      </c>
      <c r="P110" s="459">
        <v>0</v>
      </c>
      <c r="Q110" s="459">
        <v>0</v>
      </c>
      <c r="R110" s="463">
        <v>0</v>
      </c>
      <c r="S110" s="459">
        <v>0</v>
      </c>
      <c r="T110" s="450">
        <f t="shared" si="10"/>
        <v>221637</v>
      </c>
      <c r="U110" s="451">
        <f t="shared" si="11"/>
        <v>212768</v>
      </c>
      <c r="V110" s="452">
        <v>73237.5</v>
      </c>
      <c r="W110" s="459">
        <v>69488</v>
      </c>
      <c r="X110" s="452">
        <v>52370.5</v>
      </c>
      <c r="Y110" s="459">
        <v>63358.5</v>
      </c>
      <c r="Z110" s="463">
        <v>96029</v>
      </c>
      <c r="AA110" s="463">
        <v>0</v>
      </c>
      <c r="AB110" s="463">
        <v>0</v>
      </c>
      <c r="AC110" s="459">
        <v>79921.5</v>
      </c>
      <c r="AD110" s="459">
        <v>0</v>
      </c>
      <c r="AE110" s="459">
        <v>0</v>
      </c>
      <c r="AF110" s="463">
        <v>0</v>
      </c>
      <c r="AG110" s="617">
        <v>0</v>
      </c>
    </row>
    <row r="111" spans="1:33">
      <c r="A111" s="471" t="s">
        <v>141</v>
      </c>
      <c r="B111" s="472" t="s">
        <v>142</v>
      </c>
      <c r="C111" s="516"/>
      <c r="D111" s="517">
        <v>139959</v>
      </c>
      <c r="E111" s="517">
        <v>1</v>
      </c>
      <c r="F111" s="450">
        <f t="shared" si="8"/>
        <v>869860.5</v>
      </c>
      <c r="G111" s="451">
        <f t="shared" si="9"/>
        <v>861940.5</v>
      </c>
      <c r="H111" s="452">
        <v>671996.5</v>
      </c>
      <c r="I111" s="459">
        <v>681018.5</v>
      </c>
      <c r="J111" s="463">
        <v>12729</v>
      </c>
      <c r="K111" s="459">
        <v>13127</v>
      </c>
      <c r="L111" s="463">
        <v>185135</v>
      </c>
      <c r="M111" s="463">
        <v>0</v>
      </c>
      <c r="N111" s="463">
        <v>0</v>
      </c>
      <c r="O111" s="459">
        <v>167795</v>
      </c>
      <c r="P111" s="459">
        <v>0</v>
      </c>
      <c r="Q111" s="459">
        <v>0</v>
      </c>
      <c r="R111" s="463">
        <v>0</v>
      </c>
      <c r="S111" s="459">
        <v>0</v>
      </c>
      <c r="T111" s="450">
        <f t="shared" si="10"/>
        <v>288941.90000000002</v>
      </c>
      <c r="U111" s="451">
        <f t="shared" si="11"/>
        <v>304596.70999999996</v>
      </c>
      <c r="V111" s="452">
        <v>190625.5</v>
      </c>
      <c r="W111" s="459">
        <v>226003.11</v>
      </c>
      <c r="X111" s="452">
        <v>31078.7</v>
      </c>
      <c r="Y111" s="459">
        <v>38863.1</v>
      </c>
      <c r="Z111" s="452">
        <v>67237.7</v>
      </c>
      <c r="AA111" s="463">
        <v>0</v>
      </c>
      <c r="AB111" s="463">
        <v>0</v>
      </c>
      <c r="AC111" s="459">
        <v>39730.5</v>
      </c>
      <c r="AD111" s="459">
        <v>0</v>
      </c>
      <c r="AE111" s="459">
        <v>0</v>
      </c>
      <c r="AF111" s="463">
        <v>0</v>
      </c>
      <c r="AG111" s="617">
        <v>0</v>
      </c>
    </row>
    <row r="112" spans="1:33">
      <c r="A112" s="471" t="s">
        <v>141</v>
      </c>
      <c r="B112" s="472" t="s">
        <v>143</v>
      </c>
      <c r="C112" s="516"/>
      <c r="D112" s="517">
        <v>139755</v>
      </c>
      <c r="E112" s="517">
        <v>2</v>
      </c>
      <c r="F112" s="450">
        <f t="shared" si="8"/>
        <v>481969.97</v>
      </c>
      <c r="G112" s="451">
        <f t="shared" si="9"/>
        <v>479302</v>
      </c>
      <c r="H112" s="452">
        <v>203891.97</v>
      </c>
      <c r="I112" s="459">
        <v>198150</v>
      </c>
      <c r="J112" s="463">
        <v>3590</v>
      </c>
      <c r="K112" s="459">
        <v>4778</v>
      </c>
      <c r="L112" s="463">
        <v>274488</v>
      </c>
      <c r="M112" s="463">
        <v>0</v>
      </c>
      <c r="N112" s="463">
        <v>0</v>
      </c>
      <c r="O112" s="459">
        <v>276374</v>
      </c>
      <c r="P112" s="459">
        <v>0</v>
      </c>
      <c r="Q112" s="459">
        <v>0</v>
      </c>
      <c r="R112" s="463">
        <v>0</v>
      </c>
      <c r="S112" s="459">
        <v>0</v>
      </c>
      <c r="T112" s="450">
        <f t="shared" si="10"/>
        <v>402738.5</v>
      </c>
      <c r="U112" s="451">
        <f t="shared" si="11"/>
        <v>441715</v>
      </c>
      <c r="V112" s="463">
        <v>156332</v>
      </c>
      <c r="W112" s="459">
        <v>199616</v>
      </c>
      <c r="X112" s="463">
        <v>3073</v>
      </c>
      <c r="Y112" s="459">
        <v>3757</v>
      </c>
      <c r="Z112" s="452">
        <v>243333.5</v>
      </c>
      <c r="AA112" s="463">
        <v>0</v>
      </c>
      <c r="AB112" s="463">
        <v>0</v>
      </c>
      <c r="AC112" s="459">
        <v>238342</v>
      </c>
      <c r="AD112" s="459">
        <v>0</v>
      </c>
      <c r="AE112" s="459">
        <v>0</v>
      </c>
      <c r="AF112" s="463">
        <v>0</v>
      </c>
      <c r="AG112" s="617">
        <v>0</v>
      </c>
    </row>
    <row r="113" spans="1:33">
      <c r="A113" s="471" t="s">
        <v>141</v>
      </c>
      <c r="B113" s="472" t="s">
        <v>144</v>
      </c>
      <c r="C113" s="516"/>
      <c r="D113" s="517">
        <v>139931</v>
      </c>
      <c r="E113" s="517">
        <v>3</v>
      </c>
      <c r="F113" s="450">
        <f t="shared" si="8"/>
        <v>648421</v>
      </c>
      <c r="G113" s="451">
        <f t="shared" si="9"/>
        <v>647959</v>
      </c>
      <c r="H113" s="463">
        <v>410871</v>
      </c>
      <c r="I113" s="459">
        <v>406982</v>
      </c>
      <c r="J113" s="463">
        <v>2423</v>
      </c>
      <c r="K113" s="459">
        <v>3576</v>
      </c>
      <c r="L113" s="463">
        <v>235048</v>
      </c>
      <c r="M113" s="463">
        <v>0</v>
      </c>
      <c r="N113" s="463">
        <v>79</v>
      </c>
      <c r="O113" s="459">
        <v>237269</v>
      </c>
      <c r="P113" s="459">
        <v>0</v>
      </c>
      <c r="Q113" s="459">
        <v>132</v>
      </c>
      <c r="R113" s="463">
        <v>0</v>
      </c>
      <c r="S113" s="459">
        <v>0</v>
      </c>
      <c r="T113" s="450">
        <f t="shared" si="10"/>
        <v>65013</v>
      </c>
      <c r="U113" s="451">
        <f t="shared" si="11"/>
        <v>67301</v>
      </c>
      <c r="V113" s="463">
        <v>19852</v>
      </c>
      <c r="W113" s="459">
        <v>21499</v>
      </c>
      <c r="X113" s="463">
        <v>422</v>
      </c>
      <c r="Y113" s="459">
        <v>212</v>
      </c>
      <c r="Z113" s="463">
        <v>44739</v>
      </c>
      <c r="AA113" s="463">
        <v>0</v>
      </c>
      <c r="AB113" s="463">
        <v>0</v>
      </c>
      <c r="AC113" s="459">
        <v>45587</v>
      </c>
      <c r="AD113" s="459">
        <v>0</v>
      </c>
      <c r="AE113" s="459">
        <v>3</v>
      </c>
      <c r="AF113" s="463">
        <v>0</v>
      </c>
      <c r="AG113" s="617">
        <v>0</v>
      </c>
    </row>
    <row r="114" spans="1:33">
      <c r="A114" s="471" t="s">
        <v>141</v>
      </c>
      <c r="B114" s="472" t="s">
        <v>145</v>
      </c>
      <c r="C114" s="516"/>
      <c r="D114" s="517">
        <v>486840</v>
      </c>
      <c r="E114" s="517">
        <v>3</v>
      </c>
      <c r="F114" s="450">
        <f t="shared" si="8"/>
        <v>967518</v>
      </c>
      <c r="G114" s="451">
        <f t="shared" si="9"/>
        <v>1001472</v>
      </c>
      <c r="H114" s="463">
        <v>385574</v>
      </c>
      <c r="I114" s="459">
        <v>446841</v>
      </c>
      <c r="J114" s="463">
        <v>84</v>
      </c>
      <c r="K114" s="459">
        <v>87</v>
      </c>
      <c r="L114" s="463">
        <v>581860</v>
      </c>
      <c r="M114" s="463">
        <v>0</v>
      </c>
      <c r="N114" s="463">
        <v>0</v>
      </c>
      <c r="O114" s="459">
        <v>554544</v>
      </c>
      <c r="P114" s="459">
        <v>0</v>
      </c>
      <c r="Q114" s="459">
        <v>0</v>
      </c>
      <c r="R114" s="463">
        <v>0</v>
      </c>
      <c r="S114" s="459">
        <v>0</v>
      </c>
      <c r="T114" s="450">
        <f t="shared" si="10"/>
        <v>61855</v>
      </c>
      <c r="U114" s="451">
        <f t="shared" si="11"/>
        <v>70290</v>
      </c>
      <c r="V114" s="463">
        <v>13647</v>
      </c>
      <c r="W114" s="459">
        <v>16253</v>
      </c>
      <c r="X114" s="463">
        <v>6</v>
      </c>
      <c r="Y114" s="459">
        <v>75</v>
      </c>
      <c r="Z114" s="463">
        <v>48202</v>
      </c>
      <c r="AA114" s="463">
        <v>0</v>
      </c>
      <c r="AB114" s="463">
        <v>0</v>
      </c>
      <c r="AC114" s="459">
        <v>53962</v>
      </c>
      <c r="AD114" s="459">
        <v>0</v>
      </c>
      <c r="AE114" s="459">
        <v>0</v>
      </c>
      <c r="AF114" s="463">
        <v>0</v>
      </c>
      <c r="AG114" s="617">
        <v>0</v>
      </c>
    </row>
    <row r="115" spans="1:33">
      <c r="A115" s="471" t="s">
        <v>141</v>
      </c>
      <c r="B115" s="472" t="s">
        <v>146</v>
      </c>
      <c r="C115" s="516"/>
      <c r="D115" s="517">
        <v>141334</v>
      </c>
      <c r="E115" s="517">
        <v>3</v>
      </c>
      <c r="F115" s="450">
        <f t="shared" si="8"/>
        <v>280293</v>
      </c>
      <c r="G115" s="451">
        <f t="shared" si="9"/>
        <v>258039</v>
      </c>
      <c r="H115" s="463">
        <v>127921</v>
      </c>
      <c r="I115" s="459">
        <v>104246</v>
      </c>
      <c r="J115" s="463">
        <v>11674</v>
      </c>
      <c r="K115" s="459">
        <v>12161</v>
      </c>
      <c r="L115" s="463">
        <v>140698</v>
      </c>
      <c r="M115" s="463">
        <v>0</v>
      </c>
      <c r="N115" s="463">
        <v>0</v>
      </c>
      <c r="O115" s="459">
        <v>141632</v>
      </c>
      <c r="P115" s="459">
        <v>0</v>
      </c>
      <c r="Q115" s="459">
        <v>0</v>
      </c>
      <c r="R115" s="463">
        <v>0</v>
      </c>
      <c r="S115" s="459">
        <v>0</v>
      </c>
      <c r="T115" s="450">
        <f t="shared" si="10"/>
        <v>52589</v>
      </c>
      <c r="U115" s="451">
        <f t="shared" si="11"/>
        <v>55183</v>
      </c>
      <c r="V115" s="463">
        <v>4643</v>
      </c>
      <c r="W115" s="459">
        <v>5278</v>
      </c>
      <c r="X115" s="463">
        <v>417</v>
      </c>
      <c r="Y115" s="459">
        <v>348</v>
      </c>
      <c r="Z115" s="463">
        <v>47529</v>
      </c>
      <c r="AA115" s="463">
        <v>0</v>
      </c>
      <c r="AB115" s="463">
        <v>0</v>
      </c>
      <c r="AC115" s="459">
        <v>49557</v>
      </c>
      <c r="AD115" s="459">
        <v>0</v>
      </c>
      <c r="AE115" s="459">
        <v>0</v>
      </c>
      <c r="AF115" s="463">
        <v>0</v>
      </c>
      <c r="AG115" s="617">
        <v>0</v>
      </c>
    </row>
    <row r="116" spans="1:33">
      <c r="A116" s="471" t="s">
        <v>141</v>
      </c>
      <c r="B116" s="472" t="s">
        <v>147</v>
      </c>
      <c r="C116" s="516"/>
      <c r="D116" s="517">
        <v>141264</v>
      </c>
      <c r="E116" s="517">
        <v>3</v>
      </c>
      <c r="F116" s="450">
        <f t="shared" si="8"/>
        <v>241920</v>
      </c>
      <c r="G116" s="451">
        <f t="shared" si="9"/>
        <v>240166</v>
      </c>
      <c r="H116" s="463">
        <v>148717</v>
      </c>
      <c r="I116" s="459">
        <v>144332</v>
      </c>
      <c r="J116" s="463">
        <v>942</v>
      </c>
      <c r="K116" s="459">
        <v>1228</v>
      </c>
      <c r="L116" s="463">
        <v>91992</v>
      </c>
      <c r="M116" s="463">
        <v>269</v>
      </c>
      <c r="N116" s="463">
        <v>0</v>
      </c>
      <c r="O116" s="459">
        <v>94018</v>
      </c>
      <c r="P116" s="459">
        <v>588</v>
      </c>
      <c r="Q116" s="459">
        <v>0</v>
      </c>
      <c r="R116" s="463">
        <v>0</v>
      </c>
      <c r="S116" s="459">
        <v>0</v>
      </c>
      <c r="T116" s="450">
        <f t="shared" si="10"/>
        <v>48457</v>
      </c>
      <c r="U116" s="451">
        <f t="shared" si="11"/>
        <v>49743</v>
      </c>
      <c r="V116" s="463">
        <v>8263</v>
      </c>
      <c r="W116" s="459">
        <v>8752</v>
      </c>
      <c r="X116" s="463">
        <v>389</v>
      </c>
      <c r="Y116" s="459">
        <v>315</v>
      </c>
      <c r="Z116" s="463">
        <v>39760</v>
      </c>
      <c r="AA116" s="463">
        <v>45</v>
      </c>
      <c r="AB116" s="463">
        <v>0</v>
      </c>
      <c r="AC116" s="459">
        <v>40610</v>
      </c>
      <c r="AD116" s="459">
        <v>42</v>
      </c>
      <c r="AE116" s="459">
        <v>24</v>
      </c>
      <c r="AF116" s="463">
        <v>0</v>
      </c>
      <c r="AG116" s="617">
        <v>0</v>
      </c>
    </row>
    <row r="117" spans="1:33">
      <c r="A117" s="471" t="s">
        <v>141</v>
      </c>
      <c r="B117" s="472" t="s">
        <v>148</v>
      </c>
      <c r="C117" s="516"/>
      <c r="D117" s="517">
        <v>138716</v>
      </c>
      <c r="E117" s="517">
        <v>4</v>
      </c>
      <c r="F117" s="450">
        <f t="shared" si="8"/>
        <v>154957</v>
      </c>
      <c r="G117" s="451">
        <f t="shared" si="9"/>
        <v>146339</v>
      </c>
      <c r="H117" s="463">
        <v>92255</v>
      </c>
      <c r="I117" s="459">
        <v>75267</v>
      </c>
      <c r="J117" s="463">
        <v>1819</v>
      </c>
      <c r="K117" s="459">
        <v>1348</v>
      </c>
      <c r="L117" s="463">
        <v>58301</v>
      </c>
      <c r="M117" s="463">
        <v>2106</v>
      </c>
      <c r="N117" s="463">
        <v>476</v>
      </c>
      <c r="O117" s="459">
        <v>64423</v>
      </c>
      <c r="P117" s="459">
        <v>4473</v>
      </c>
      <c r="Q117" s="459">
        <v>828</v>
      </c>
      <c r="R117" s="463">
        <v>0</v>
      </c>
      <c r="S117" s="459">
        <v>0</v>
      </c>
      <c r="T117" s="450">
        <f t="shared" si="10"/>
        <v>7033</v>
      </c>
      <c r="U117" s="451">
        <f t="shared" si="11"/>
        <v>8657</v>
      </c>
      <c r="V117" s="463">
        <v>1297</v>
      </c>
      <c r="W117" s="459">
        <v>815</v>
      </c>
      <c r="X117" s="463">
        <v>60</v>
      </c>
      <c r="Y117" s="459">
        <v>0</v>
      </c>
      <c r="Z117" s="463">
        <v>5661</v>
      </c>
      <c r="AA117" s="463">
        <v>15</v>
      </c>
      <c r="AB117" s="463">
        <v>0</v>
      </c>
      <c r="AC117" s="459">
        <v>7842</v>
      </c>
      <c r="AD117" s="459">
        <v>0</v>
      </c>
      <c r="AE117" s="459">
        <v>0</v>
      </c>
      <c r="AF117" s="463">
        <v>0</v>
      </c>
      <c r="AG117" s="617">
        <v>0</v>
      </c>
    </row>
    <row r="118" spans="1:33">
      <c r="A118" s="471" t="s">
        <v>141</v>
      </c>
      <c r="B118" s="473" t="s">
        <v>712</v>
      </c>
      <c r="C118" s="516"/>
      <c r="D118" s="517">
        <v>482149</v>
      </c>
      <c r="E118" s="518">
        <v>4</v>
      </c>
      <c r="F118" s="450">
        <f t="shared" si="8"/>
        <v>154709</v>
      </c>
      <c r="G118" s="451">
        <f t="shared" si="9"/>
        <v>148914</v>
      </c>
      <c r="H118" s="463">
        <v>96932</v>
      </c>
      <c r="I118" s="459">
        <v>84477</v>
      </c>
      <c r="J118" s="463">
        <v>846</v>
      </c>
      <c r="K118" s="459">
        <v>1194</v>
      </c>
      <c r="L118" s="463">
        <v>56486</v>
      </c>
      <c r="M118" s="463">
        <v>0</v>
      </c>
      <c r="N118" s="463">
        <v>445</v>
      </c>
      <c r="O118" s="459">
        <v>63155</v>
      </c>
      <c r="P118" s="459">
        <v>0</v>
      </c>
      <c r="Q118" s="459">
        <v>88</v>
      </c>
      <c r="R118" s="463">
        <v>0</v>
      </c>
      <c r="S118" s="459">
        <v>0</v>
      </c>
      <c r="T118" s="450">
        <f t="shared" si="10"/>
        <v>208817</v>
      </c>
      <c r="U118" s="451">
        <f t="shared" si="11"/>
        <v>227833</v>
      </c>
      <c r="V118" s="463">
        <v>151717</v>
      </c>
      <c r="W118" s="459">
        <v>168422</v>
      </c>
      <c r="X118" s="463">
        <v>12150</v>
      </c>
      <c r="Y118" s="459">
        <v>14083</v>
      </c>
      <c r="Z118" s="463">
        <v>44950</v>
      </c>
      <c r="AA118" s="463">
        <v>0</v>
      </c>
      <c r="AB118" s="463">
        <v>0</v>
      </c>
      <c r="AC118" s="459">
        <v>45328</v>
      </c>
      <c r="AD118" s="459">
        <v>0</v>
      </c>
      <c r="AE118" s="459">
        <v>0</v>
      </c>
      <c r="AF118" s="463">
        <v>0</v>
      </c>
      <c r="AG118" s="617">
        <v>0</v>
      </c>
    </row>
    <row r="119" spans="1:33">
      <c r="A119" s="471" t="s">
        <v>141</v>
      </c>
      <c r="B119" s="472" t="s">
        <v>149</v>
      </c>
      <c r="C119" s="519"/>
      <c r="D119" s="517">
        <v>139311</v>
      </c>
      <c r="E119" s="518">
        <v>4</v>
      </c>
      <c r="F119" s="450">
        <f t="shared" si="8"/>
        <v>156238</v>
      </c>
      <c r="G119" s="451">
        <f t="shared" si="9"/>
        <v>145785</v>
      </c>
      <c r="H119" s="463">
        <v>46487</v>
      </c>
      <c r="I119" s="459">
        <v>35232</v>
      </c>
      <c r="J119" s="463">
        <v>179</v>
      </c>
      <c r="K119" s="459">
        <v>405</v>
      </c>
      <c r="L119" s="463">
        <v>109572</v>
      </c>
      <c r="M119" s="463">
        <v>0</v>
      </c>
      <c r="N119" s="463">
        <v>0</v>
      </c>
      <c r="O119" s="459">
        <v>110148</v>
      </c>
      <c r="P119" s="459">
        <v>0</v>
      </c>
      <c r="Q119" s="459">
        <v>0</v>
      </c>
      <c r="R119" s="463">
        <v>0</v>
      </c>
      <c r="S119" s="459">
        <v>0</v>
      </c>
      <c r="T119" s="450">
        <f t="shared" si="10"/>
        <v>11396</v>
      </c>
      <c r="U119" s="451">
        <f t="shared" si="11"/>
        <v>12901</v>
      </c>
      <c r="V119" s="463">
        <v>1542</v>
      </c>
      <c r="W119" s="459">
        <v>1082</v>
      </c>
      <c r="X119" s="463">
        <v>76</v>
      </c>
      <c r="Y119" s="459">
        <v>61</v>
      </c>
      <c r="Z119" s="463">
        <v>9778</v>
      </c>
      <c r="AA119" s="463">
        <v>0</v>
      </c>
      <c r="AB119" s="463">
        <v>0</v>
      </c>
      <c r="AC119" s="459">
        <v>11758</v>
      </c>
      <c r="AD119" s="459">
        <v>0</v>
      </c>
      <c r="AE119" s="459">
        <v>0</v>
      </c>
      <c r="AF119" s="463">
        <v>0</v>
      </c>
      <c r="AG119" s="617">
        <v>0</v>
      </c>
    </row>
    <row r="120" spans="1:33">
      <c r="A120" s="471" t="s">
        <v>141</v>
      </c>
      <c r="B120" s="472" t="s">
        <v>150</v>
      </c>
      <c r="C120" s="516" t="s">
        <v>933</v>
      </c>
      <c r="D120" s="517">
        <v>139366</v>
      </c>
      <c r="E120" s="518">
        <v>4</v>
      </c>
      <c r="F120" s="450">
        <f t="shared" si="8"/>
        <v>174302</v>
      </c>
      <c r="G120" s="451">
        <f t="shared" si="9"/>
        <v>166138</v>
      </c>
      <c r="H120" s="463">
        <v>92901</v>
      </c>
      <c r="I120" s="459">
        <v>88307</v>
      </c>
      <c r="J120" s="463">
        <v>6329</v>
      </c>
      <c r="K120" s="459">
        <v>5913</v>
      </c>
      <c r="L120" s="463">
        <v>75072</v>
      </c>
      <c r="M120" s="463">
        <v>0</v>
      </c>
      <c r="N120" s="463">
        <v>0</v>
      </c>
      <c r="O120" s="459">
        <v>71918</v>
      </c>
      <c r="P120" s="459">
        <v>0</v>
      </c>
      <c r="Q120" s="459">
        <v>0</v>
      </c>
      <c r="R120" s="463">
        <v>0</v>
      </c>
      <c r="S120" s="459">
        <v>0</v>
      </c>
      <c r="T120" s="450">
        <f t="shared" si="10"/>
        <v>24626</v>
      </c>
      <c r="U120" s="451">
        <f t="shared" si="11"/>
        <v>25322</v>
      </c>
      <c r="V120" s="463">
        <v>5969</v>
      </c>
      <c r="W120" s="459">
        <v>6346</v>
      </c>
      <c r="X120" s="463">
        <v>157</v>
      </c>
      <c r="Y120" s="459">
        <v>178</v>
      </c>
      <c r="Z120" s="463">
        <v>18500</v>
      </c>
      <c r="AA120" s="463">
        <v>0</v>
      </c>
      <c r="AB120" s="463">
        <v>0</v>
      </c>
      <c r="AC120" s="459">
        <v>18798</v>
      </c>
      <c r="AD120" s="459">
        <v>0</v>
      </c>
      <c r="AE120" s="459">
        <v>0</v>
      </c>
      <c r="AF120" s="463">
        <v>0</v>
      </c>
      <c r="AG120" s="617">
        <v>0</v>
      </c>
    </row>
    <row r="121" spans="1:33">
      <c r="A121" s="471" t="s">
        <v>141</v>
      </c>
      <c r="B121" s="472" t="s">
        <v>151</v>
      </c>
      <c r="C121" s="520"/>
      <c r="D121" s="517">
        <v>139719</v>
      </c>
      <c r="E121" s="521">
        <v>5</v>
      </c>
      <c r="F121" s="450">
        <f t="shared" si="8"/>
        <v>69838</v>
      </c>
      <c r="G121" s="451">
        <f t="shared" si="9"/>
        <v>70086</v>
      </c>
      <c r="H121" s="463">
        <v>48955</v>
      </c>
      <c r="I121" s="459">
        <v>45869</v>
      </c>
      <c r="J121" s="463">
        <v>195</v>
      </c>
      <c r="K121" s="459">
        <v>18</v>
      </c>
      <c r="L121" s="463">
        <v>19532</v>
      </c>
      <c r="M121" s="463">
        <v>0</v>
      </c>
      <c r="N121" s="463">
        <v>1156</v>
      </c>
      <c r="O121" s="459">
        <v>23070</v>
      </c>
      <c r="P121" s="459">
        <v>0</v>
      </c>
      <c r="Q121" s="459">
        <v>1129</v>
      </c>
      <c r="R121" s="463">
        <v>0</v>
      </c>
      <c r="S121" s="459">
        <v>0</v>
      </c>
      <c r="T121" s="450">
        <f t="shared" si="10"/>
        <v>5183</v>
      </c>
      <c r="U121" s="451">
        <f t="shared" si="11"/>
        <v>4708</v>
      </c>
      <c r="V121" s="463">
        <v>2104</v>
      </c>
      <c r="W121" s="459">
        <v>1759</v>
      </c>
      <c r="X121" s="463">
        <v>0</v>
      </c>
      <c r="Y121" s="459">
        <v>0</v>
      </c>
      <c r="Z121" s="463">
        <v>3048</v>
      </c>
      <c r="AA121" s="463">
        <v>0</v>
      </c>
      <c r="AB121" s="463">
        <v>31</v>
      </c>
      <c r="AC121" s="459">
        <v>2751</v>
      </c>
      <c r="AD121" s="459">
        <v>0</v>
      </c>
      <c r="AE121" s="459">
        <v>198</v>
      </c>
      <c r="AF121" s="463">
        <v>0</v>
      </c>
      <c r="AG121" s="617">
        <v>0</v>
      </c>
    </row>
    <row r="122" spans="1:33">
      <c r="A122" s="471" t="s">
        <v>141</v>
      </c>
      <c r="B122" s="472" t="s">
        <v>152</v>
      </c>
      <c r="C122" s="516"/>
      <c r="D122" s="517">
        <v>139861</v>
      </c>
      <c r="E122" s="518">
        <v>4</v>
      </c>
      <c r="F122" s="450">
        <f t="shared" si="8"/>
        <v>169162</v>
      </c>
      <c r="G122" s="451">
        <f t="shared" si="9"/>
        <v>161532.5</v>
      </c>
      <c r="H122" s="463">
        <v>132573</v>
      </c>
      <c r="I122" s="459">
        <v>127544.5</v>
      </c>
      <c r="J122" s="463">
        <v>1604</v>
      </c>
      <c r="K122" s="459">
        <v>410</v>
      </c>
      <c r="L122" s="463">
        <v>34985</v>
      </c>
      <c r="M122" s="463">
        <v>0</v>
      </c>
      <c r="N122" s="463">
        <v>0</v>
      </c>
      <c r="O122" s="459">
        <v>33578</v>
      </c>
      <c r="P122" s="459">
        <v>0</v>
      </c>
      <c r="Q122" s="459">
        <v>0</v>
      </c>
      <c r="R122" s="463">
        <v>0</v>
      </c>
      <c r="S122" s="459">
        <v>0</v>
      </c>
      <c r="T122" s="450">
        <f t="shared" si="10"/>
        <v>25707</v>
      </c>
      <c r="U122" s="451">
        <f t="shared" si="11"/>
        <v>25528</v>
      </c>
      <c r="V122" s="463">
        <v>2838</v>
      </c>
      <c r="W122" s="459">
        <v>2835</v>
      </c>
      <c r="X122" s="463">
        <v>158</v>
      </c>
      <c r="Y122" s="459">
        <v>89</v>
      </c>
      <c r="Z122" s="463">
        <v>22711</v>
      </c>
      <c r="AA122" s="463">
        <v>0</v>
      </c>
      <c r="AB122" s="463">
        <v>0</v>
      </c>
      <c r="AC122" s="459">
        <v>22604</v>
      </c>
      <c r="AD122" s="459">
        <v>0</v>
      </c>
      <c r="AE122" s="459">
        <v>0</v>
      </c>
      <c r="AF122" s="463">
        <v>0</v>
      </c>
      <c r="AG122" s="617">
        <v>0</v>
      </c>
    </row>
    <row r="123" spans="1:33">
      <c r="A123" s="471" t="s">
        <v>141</v>
      </c>
      <c r="B123" s="472" t="s">
        <v>154</v>
      </c>
      <c r="C123" s="516"/>
      <c r="D123" s="517">
        <v>139764</v>
      </c>
      <c r="E123" s="518">
        <v>4</v>
      </c>
      <c r="F123" s="450">
        <f t="shared" si="8"/>
        <v>63318</v>
      </c>
      <c r="G123" s="451">
        <f t="shared" si="9"/>
        <v>60636</v>
      </c>
      <c r="H123" s="463">
        <v>34388</v>
      </c>
      <c r="I123" s="459">
        <v>32055</v>
      </c>
      <c r="J123" s="463">
        <v>1620</v>
      </c>
      <c r="K123" s="459">
        <v>1650</v>
      </c>
      <c r="L123" s="463">
        <v>27310</v>
      </c>
      <c r="M123" s="463">
        <v>0</v>
      </c>
      <c r="N123" s="463">
        <v>0</v>
      </c>
      <c r="O123" s="459">
        <v>26931</v>
      </c>
      <c r="P123" s="459">
        <v>0</v>
      </c>
      <c r="Q123" s="459">
        <v>0</v>
      </c>
      <c r="R123" s="463">
        <v>0</v>
      </c>
      <c r="S123" s="459">
        <v>0</v>
      </c>
      <c r="T123" s="450">
        <f t="shared" si="10"/>
        <v>11513</v>
      </c>
      <c r="U123" s="451">
        <f t="shared" si="11"/>
        <v>14744</v>
      </c>
      <c r="V123" s="463">
        <v>2651</v>
      </c>
      <c r="W123" s="459">
        <v>3304</v>
      </c>
      <c r="X123" s="463">
        <v>0</v>
      </c>
      <c r="Y123" s="459">
        <v>204</v>
      </c>
      <c r="Z123" s="463">
        <v>8862</v>
      </c>
      <c r="AA123" s="463">
        <v>0</v>
      </c>
      <c r="AB123" s="463">
        <v>0</v>
      </c>
      <c r="AC123" s="459">
        <v>11236</v>
      </c>
      <c r="AD123" s="459">
        <v>0</v>
      </c>
      <c r="AE123" s="459">
        <v>0</v>
      </c>
      <c r="AF123" s="463">
        <v>0</v>
      </c>
      <c r="AG123" s="617">
        <v>0</v>
      </c>
    </row>
    <row r="124" spans="1:33">
      <c r="A124" s="471" t="s">
        <v>141</v>
      </c>
      <c r="B124" s="472" t="s">
        <v>153</v>
      </c>
      <c r="C124" s="516"/>
      <c r="D124" s="517">
        <v>482680</v>
      </c>
      <c r="E124" s="518">
        <v>4</v>
      </c>
      <c r="F124" s="450">
        <f t="shared" si="8"/>
        <v>466916</v>
      </c>
      <c r="G124" s="451">
        <f t="shared" si="9"/>
        <v>439851</v>
      </c>
      <c r="H124" s="463">
        <v>299935</v>
      </c>
      <c r="I124" s="459">
        <v>272686</v>
      </c>
      <c r="J124" s="463">
        <v>4923</v>
      </c>
      <c r="K124" s="459">
        <v>3690</v>
      </c>
      <c r="L124" s="463">
        <v>162058</v>
      </c>
      <c r="M124" s="463">
        <v>0</v>
      </c>
      <c r="N124" s="463">
        <v>0</v>
      </c>
      <c r="O124" s="459">
        <v>163475</v>
      </c>
      <c r="P124" s="459">
        <v>0</v>
      </c>
      <c r="Q124" s="459">
        <v>0</v>
      </c>
      <c r="R124" s="463">
        <v>0</v>
      </c>
      <c r="S124" s="459">
        <v>0</v>
      </c>
      <c r="T124" s="450">
        <f t="shared" si="10"/>
        <v>15946</v>
      </c>
      <c r="U124" s="451">
        <f t="shared" si="11"/>
        <v>16941</v>
      </c>
      <c r="V124" s="463">
        <v>5744</v>
      </c>
      <c r="W124" s="459">
        <v>6816</v>
      </c>
      <c r="X124" s="463">
        <v>545</v>
      </c>
      <c r="Y124" s="459">
        <v>130</v>
      </c>
      <c r="Z124" s="463">
        <v>9657</v>
      </c>
      <c r="AA124" s="463">
        <v>0</v>
      </c>
      <c r="AB124" s="463">
        <v>0</v>
      </c>
      <c r="AC124" s="459">
        <v>9995</v>
      </c>
      <c r="AD124" s="459">
        <v>0</v>
      </c>
      <c r="AE124" s="459">
        <v>0</v>
      </c>
      <c r="AF124" s="463">
        <v>0</v>
      </c>
      <c r="AG124" s="617">
        <v>0</v>
      </c>
    </row>
    <row r="125" spans="1:33">
      <c r="A125" s="471" t="s">
        <v>141</v>
      </c>
      <c r="B125" s="472" t="s">
        <v>155</v>
      </c>
      <c r="C125" s="522"/>
      <c r="D125" s="517">
        <v>140960</v>
      </c>
      <c r="E125" s="518">
        <v>5</v>
      </c>
      <c r="F125" s="450">
        <f t="shared" si="8"/>
        <v>93227</v>
      </c>
      <c r="G125" s="451">
        <f t="shared" si="9"/>
        <v>83487</v>
      </c>
      <c r="H125" s="463">
        <v>57189</v>
      </c>
      <c r="I125" s="459">
        <v>49311</v>
      </c>
      <c r="J125" s="463">
        <v>297</v>
      </c>
      <c r="K125" s="459">
        <v>60</v>
      </c>
      <c r="L125" s="463">
        <v>35741</v>
      </c>
      <c r="M125" s="463">
        <v>0</v>
      </c>
      <c r="N125" s="463">
        <v>0</v>
      </c>
      <c r="O125" s="459">
        <v>34116</v>
      </c>
      <c r="P125" s="459">
        <v>0</v>
      </c>
      <c r="Q125" s="459">
        <v>0</v>
      </c>
      <c r="R125" s="463">
        <v>0</v>
      </c>
      <c r="S125" s="459">
        <v>0</v>
      </c>
      <c r="T125" s="450">
        <f t="shared" si="10"/>
        <v>4540</v>
      </c>
      <c r="U125" s="451">
        <f t="shared" si="11"/>
        <v>4815</v>
      </c>
      <c r="V125" s="463">
        <v>1720</v>
      </c>
      <c r="W125" s="459">
        <v>2052</v>
      </c>
      <c r="X125" s="463">
        <v>1632</v>
      </c>
      <c r="Y125" s="459">
        <v>1041</v>
      </c>
      <c r="Z125" s="463">
        <v>1188</v>
      </c>
      <c r="AA125" s="463">
        <v>0</v>
      </c>
      <c r="AB125" s="463">
        <v>0</v>
      </c>
      <c r="AC125" s="459">
        <v>1722</v>
      </c>
      <c r="AD125" s="459">
        <v>0</v>
      </c>
      <c r="AE125" s="459">
        <v>0</v>
      </c>
      <c r="AF125" s="463">
        <v>0</v>
      </c>
      <c r="AG125" s="617">
        <v>0</v>
      </c>
    </row>
    <row r="126" spans="1:33">
      <c r="A126" s="471" t="s">
        <v>141</v>
      </c>
      <c r="B126" s="472" t="s">
        <v>160</v>
      </c>
      <c r="C126" s="516"/>
      <c r="D126" s="517">
        <v>138558</v>
      </c>
      <c r="E126" s="518">
        <v>6</v>
      </c>
      <c r="F126" s="450">
        <f t="shared" si="8"/>
        <v>93270</v>
      </c>
      <c r="G126" s="451">
        <f t="shared" si="9"/>
        <v>92019</v>
      </c>
      <c r="H126" s="463">
        <v>55600</v>
      </c>
      <c r="I126" s="459">
        <v>58589</v>
      </c>
      <c r="J126" s="463">
        <v>4287</v>
      </c>
      <c r="K126" s="459">
        <v>4967</v>
      </c>
      <c r="L126" s="463">
        <v>33383</v>
      </c>
      <c r="M126" s="463">
        <v>0</v>
      </c>
      <c r="N126" s="463">
        <v>0</v>
      </c>
      <c r="O126" s="459">
        <v>28463</v>
      </c>
      <c r="P126" s="459">
        <v>0</v>
      </c>
      <c r="Q126" s="459">
        <v>0</v>
      </c>
      <c r="R126" s="463">
        <v>0</v>
      </c>
      <c r="S126" s="459">
        <v>0</v>
      </c>
      <c r="T126" s="450">
        <f t="shared" si="10"/>
        <v>0</v>
      </c>
      <c r="U126" s="451">
        <f t="shared" si="11"/>
        <v>0</v>
      </c>
      <c r="V126" s="463"/>
      <c r="W126" s="459"/>
      <c r="X126" s="463"/>
      <c r="Y126" s="459"/>
      <c r="Z126" s="463"/>
      <c r="AA126" s="463"/>
      <c r="AB126" s="463"/>
      <c r="AC126" s="459"/>
      <c r="AD126" s="459"/>
      <c r="AE126" s="459"/>
      <c r="AF126" s="463"/>
      <c r="AG126" s="617"/>
    </row>
    <row r="127" spans="1:33">
      <c r="A127" s="471" t="s">
        <v>141</v>
      </c>
      <c r="B127" s="472" t="s">
        <v>156</v>
      </c>
      <c r="C127" s="519"/>
      <c r="D127" s="517">
        <v>139250</v>
      </c>
      <c r="E127" s="518">
        <v>6</v>
      </c>
      <c r="F127" s="450">
        <f t="shared" si="8"/>
        <v>81564</v>
      </c>
      <c r="G127" s="451">
        <f t="shared" si="9"/>
        <v>74744</v>
      </c>
      <c r="H127" s="463">
        <v>35795</v>
      </c>
      <c r="I127" s="459">
        <v>40492</v>
      </c>
      <c r="J127" s="463">
        <v>194</v>
      </c>
      <c r="K127" s="459">
        <v>279</v>
      </c>
      <c r="L127" s="463">
        <v>45575</v>
      </c>
      <c r="M127" s="463">
        <v>0</v>
      </c>
      <c r="N127" s="463">
        <v>0</v>
      </c>
      <c r="O127" s="459">
        <v>33973</v>
      </c>
      <c r="P127" s="459">
        <v>0</v>
      </c>
      <c r="Q127" s="459">
        <v>0</v>
      </c>
      <c r="R127" s="463">
        <v>0</v>
      </c>
      <c r="S127" s="459">
        <v>0</v>
      </c>
      <c r="T127" s="450">
        <f t="shared" si="10"/>
        <v>0</v>
      </c>
      <c r="U127" s="451">
        <f t="shared" si="11"/>
        <v>0</v>
      </c>
      <c r="V127" s="463"/>
      <c r="W127" s="459"/>
      <c r="X127" s="463"/>
      <c r="Y127" s="459"/>
      <c r="Z127" s="463"/>
      <c r="AA127" s="463"/>
      <c r="AB127" s="463"/>
      <c r="AC127" s="459"/>
      <c r="AD127" s="459"/>
      <c r="AE127" s="459"/>
      <c r="AF127" s="463"/>
      <c r="AG127" s="617"/>
    </row>
    <row r="128" spans="1:33">
      <c r="A128" s="471" t="s">
        <v>141</v>
      </c>
      <c r="B128" s="472" t="s">
        <v>157</v>
      </c>
      <c r="C128" s="519"/>
      <c r="D128" s="517">
        <v>139463</v>
      </c>
      <c r="E128" s="518">
        <v>6</v>
      </c>
      <c r="F128" s="450">
        <f t="shared" si="8"/>
        <v>114613</v>
      </c>
      <c r="G128" s="451">
        <f t="shared" si="9"/>
        <v>107388</v>
      </c>
      <c r="H128" s="463">
        <v>76526</v>
      </c>
      <c r="I128" s="459">
        <v>74829</v>
      </c>
      <c r="J128" s="463">
        <v>3399</v>
      </c>
      <c r="K128" s="459">
        <v>3205</v>
      </c>
      <c r="L128" s="463">
        <v>34688</v>
      </c>
      <c r="M128" s="463">
        <v>0</v>
      </c>
      <c r="N128" s="463">
        <v>0</v>
      </c>
      <c r="O128" s="459">
        <v>29354</v>
      </c>
      <c r="P128" s="459">
        <v>0</v>
      </c>
      <c r="Q128" s="459">
        <v>0</v>
      </c>
      <c r="R128" s="463">
        <v>0</v>
      </c>
      <c r="S128" s="459">
        <v>0</v>
      </c>
      <c r="T128" s="450">
        <f t="shared" si="10"/>
        <v>0</v>
      </c>
      <c r="U128" s="451">
        <f t="shared" si="11"/>
        <v>0</v>
      </c>
      <c r="V128" s="463"/>
      <c r="W128" s="459"/>
      <c r="X128" s="463"/>
      <c r="Y128" s="459"/>
      <c r="Z128" s="463"/>
      <c r="AA128" s="463"/>
      <c r="AB128" s="463"/>
      <c r="AC128" s="459"/>
      <c r="AD128" s="459"/>
      <c r="AE128" s="459"/>
      <c r="AF128" s="463"/>
      <c r="AG128" s="617"/>
    </row>
    <row r="129" spans="1:33">
      <c r="A129" s="471" t="s">
        <v>141</v>
      </c>
      <c r="B129" s="472" t="s">
        <v>158</v>
      </c>
      <c r="C129" s="519"/>
      <c r="D129" s="517">
        <v>447689</v>
      </c>
      <c r="E129" s="517">
        <v>6</v>
      </c>
      <c r="F129" s="450">
        <f t="shared" si="8"/>
        <v>304852</v>
      </c>
      <c r="G129" s="451">
        <f t="shared" si="9"/>
        <v>276221</v>
      </c>
      <c r="H129" s="463">
        <v>202618</v>
      </c>
      <c r="I129" s="459">
        <v>161612</v>
      </c>
      <c r="J129" s="463">
        <v>601</v>
      </c>
      <c r="K129" s="459">
        <v>1050</v>
      </c>
      <c r="L129" s="463">
        <v>101633</v>
      </c>
      <c r="M129" s="463">
        <v>0</v>
      </c>
      <c r="N129" s="463">
        <v>0</v>
      </c>
      <c r="O129" s="459">
        <v>113559</v>
      </c>
      <c r="P129" s="459">
        <v>0</v>
      </c>
      <c r="Q129" s="459">
        <v>0</v>
      </c>
      <c r="R129" s="463">
        <v>0</v>
      </c>
      <c r="S129" s="459">
        <v>0</v>
      </c>
      <c r="T129" s="450">
        <f t="shared" si="10"/>
        <v>0</v>
      </c>
      <c r="U129" s="451">
        <f t="shared" si="11"/>
        <v>0</v>
      </c>
      <c r="V129" s="463"/>
      <c r="W129" s="459"/>
      <c r="X129" s="463"/>
      <c r="Y129" s="459"/>
      <c r="Z129" s="463"/>
      <c r="AA129" s="463"/>
      <c r="AB129" s="463"/>
      <c r="AC129" s="459"/>
      <c r="AD129" s="459"/>
      <c r="AE129" s="459"/>
      <c r="AF129" s="463"/>
      <c r="AG129" s="617"/>
    </row>
    <row r="130" spans="1:33">
      <c r="A130" s="471" t="s">
        <v>141</v>
      </c>
      <c r="B130" s="472" t="s">
        <v>164</v>
      </c>
      <c r="C130" s="516"/>
      <c r="D130" s="517">
        <v>139968</v>
      </c>
      <c r="E130" s="518">
        <v>6</v>
      </c>
      <c r="F130" s="450">
        <f t="shared" si="8"/>
        <v>77635</v>
      </c>
      <c r="G130" s="451">
        <f t="shared" si="9"/>
        <v>69544</v>
      </c>
      <c r="H130" s="463">
        <v>39797</v>
      </c>
      <c r="I130" s="459">
        <v>25454</v>
      </c>
      <c r="J130" s="463">
        <v>3807</v>
      </c>
      <c r="K130" s="459">
        <v>2042</v>
      </c>
      <c r="L130" s="463">
        <v>34031</v>
      </c>
      <c r="M130" s="463">
        <v>0</v>
      </c>
      <c r="N130" s="463">
        <v>0</v>
      </c>
      <c r="O130" s="459">
        <v>42048</v>
      </c>
      <c r="P130" s="459">
        <v>0</v>
      </c>
      <c r="Q130" s="459">
        <v>0</v>
      </c>
      <c r="R130" s="463">
        <v>0</v>
      </c>
      <c r="S130" s="459">
        <v>0</v>
      </c>
      <c r="T130" s="450">
        <f t="shared" si="10"/>
        <v>0</v>
      </c>
      <c r="U130" s="451">
        <f t="shared" si="11"/>
        <v>0</v>
      </c>
      <c r="V130" s="463"/>
      <c r="W130" s="459"/>
      <c r="X130" s="463"/>
      <c r="Y130" s="459"/>
      <c r="Z130" s="463"/>
      <c r="AA130" s="463"/>
      <c r="AB130" s="463"/>
      <c r="AC130" s="459"/>
      <c r="AD130" s="459"/>
      <c r="AE130" s="459"/>
      <c r="AF130" s="463"/>
      <c r="AG130" s="617"/>
    </row>
    <row r="131" spans="1:33">
      <c r="A131" s="471" t="s">
        <v>141</v>
      </c>
      <c r="B131" s="472" t="s">
        <v>159</v>
      </c>
      <c r="C131" s="443" t="s">
        <v>934</v>
      </c>
      <c r="D131" s="517">
        <v>482158</v>
      </c>
      <c r="E131" s="523">
        <v>5</v>
      </c>
      <c r="F131" s="450">
        <f t="shared" si="8"/>
        <v>195133</v>
      </c>
      <c r="G131" s="451">
        <f t="shared" si="9"/>
        <v>185098</v>
      </c>
      <c r="H131" s="463">
        <v>82704</v>
      </c>
      <c r="I131" s="459">
        <v>74873</v>
      </c>
      <c r="J131" s="463">
        <v>1060</v>
      </c>
      <c r="K131" s="459">
        <v>971</v>
      </c>
      <c r="L131" s="463">
        <v>110635</v>
      </c>
      <c r="M131" s="463">
        <v>734</v>
      </c>
      <c r="N131" s="463">
        <v>0</v>
      </c>
      <c r="O131" s="459">
        <v>109029</v>
      </c>
      <c r="P131" s="459">
        <v>225</v>
      </c>
      <c r="Q131" s="459">
        <v>0</v>
      </c>
      <c r="R131" s="463">
        <v>0</v>
      </c>
      <c r="S131" s="459">
        <v>0</v>
      </c>
      <c r="T131" s="450">
        <f t="shared" si="10"/>
        <v>6440</v>
      </c>
      <c r="U131" s="451">
        <f t="shared" si="11"/>
        <v>7549</v>
      </c>
      <c r="V131" s="463">
        <v>0</v>
      </c>
      <c r="W131" s="459">
        <v>0</v>
      </c>
      <c r="X131" s="463">
        <v>0</v>
      </c>
      <c r="Y131" s="459">
        <v>0</v>
      </c>
      <c r="Z131" s="463">
        <v>6440</v>
      </c>
      <c r="AA131" s="463">
        <v>0</v>
      </c>
      <c r="AB131" s="463">
        <v>0</v>
      </c>
      <c r="AC131" s="459">
        <v>7549</v>
      </c>
      <c r="AD131" s="459">
        <v>0</v>
      </c>
      <c r="AE131" s="459">
        <v>0</v>
      </c>
      <c r="AF131" s="463">
        <v>0</v>
      </c>
      <c r="AG131" s="617">
        <v>0</v>
      </c>
    </row>
    <row r="132" spans="1:33">
      <c r="A132" s="471" t="s">
        <v>141</v>
      </c>
      <c r="B132" s="472" t="s">
        <v>161</v>
      </c>
      <c r="C132" s="519"/>
      <c r="D132" s="517">
        <v>138901</v>
      </c>
      <c r="E132" s="518">
        <v>7</v>
      </c>
      <c r="F132" s="450">
        <f t="shared" si="8"/>
        <v>38213</v>
      </c>
      <c r="G132" s="451">
        <f t="shared" si="9"/>
        <v>36143</v>
      </c>
      <c r="H132" s="463">
        <v>17716</v>
      </c>
      <c r="I132" s="459">
        <v>13411</v>
      </c>
      <c r="J132" s="463">
        <v>1231</v>
      </c>
      <c r="K132" s="459">
        <v>0</v>
      </c>
      <c r="L132" s="463">
        <v>19266</v>
      </c>
      <c r="M132" s="463">
        <v>0</v>
      </c>
      <c r="N132" s="463">
        <v>0</v>
      </c>
      <c r="O132" s="459">
        <v>22732</v>
      </c>
      <c r="P132" s="459">
        <v>0</v>
      </c>
      <c r="Q132" s="459">
        <v>0</v>
      </c>
      <c r="R132" s="463">
        <v>0</v>
      </c>
      <c r="S132" s="459">
        <v>0</v>
      </c>
      <c r="T132" s="450">
        <f t="shared" si="10"/>
        <v>0</v>
      </c>
      <c r="U132" s="451">
        <f t="shared" si="11"/>
        <v>0</v>
      </c>
      <c r="V132" s="463"/>
      <c r="W132" s="459"/>
      <c r="X132" s="463"/>
      <c r="Y132" s="459"/>
      <c r="Z132" s="463"/>
      <c r="AA132" s="463"/>
      <c r="AB132" s="463"/>
      <c r="AC132" s="459"/>
      <c r="AD132" s="459"/>
      <c r="AE132" s="459"/>
      <c r="AF132" s="463"/>
      <c r="AG132" s="617"/>
    </row>
    <row r="133" spans="1:33">
      <c r="A133" s="471" t="s">
        <v>141</v>
      </c>
      <c r="B133" s="472" t="s">
        <v>162</v>
      </c>
      <c r="C133" s="519"/>
      <c r="D133" s="517">
        <v>139621</v>
      </c>
      <c r="E133" s="517">
        <v>7</v>
      </c>
      <c r="F133" s="450">
        <f t="shared" si="8"/>
        <v>57702</v>
      </c>
      <c r="G133" s="451">
        <f t="shared" si="9"/>
        <v>46058</v>
      </c>
      <c r="H133" s="463">
        <v>25476</v>
      </c>
      <c r="I133" s="459">
        <v>15384</v>
      </c>
      <c r="J133" s="463">
        <v>5442</v>
      </c>
      <c r="K133" s="459">
        <v>4071</v>
      </c>
      <c r="L133" s="463">
        <v>26784</v>
      </c>
      <c r="M133" s="463">
        <v>0</v>
      </c>
      <c r="N133" s="463">
        <v>0</v>
      </c>
      <c r="O133" s="459">
        <v>26603</v>
      </c>
      <c r="P133" s="459">
        <v>0</v>
      </c>
      <c r="Q133" s="459">
        <v>0</v>
      </c>
      <c r="R133" s="463">
        <v>0</v>
      </c>
      <c r="S133" s="459">
        <v>0</v>
      </c>
      <c r="T133" s="450">
        <f t="shared" si="10"/>
        <v>0</v>
      </c>
      <c r="U133" s="451">
        <f t="shared" si="11"/>
        <v>0</v>
      </c>
      <c r="V133" s="463"/>
      <c r="W133" s="459"/>
      <c r="X133" s="463"/>
      <c r="Y133" s="459"/>
      <c r="Z133" s="463"/>
      <c r="AA133" s="463"/>
      <c r="AB133" s="463"/>
      <c r="AC133" s="459"/>
      <c r="AD133" s="459"/>
      <c r="AE133" s="459"/>
      <c r="AF133" s="463"/>
      <c r="AG133" s="617"/>
    </row>
    <row r="134" spans="1:33">
      <c r="A134" s="471" t="s">
        <v>141</v>
      </c>
      <c r="B134" s="472" t="s">
        <v>163</v>
      </c>
      <c r="C134" s="519"/>
      <c r="D134" s="517">
        <v>139700</v>
      </c>
      <c r="E134" s="517">
        <v>7</v>
      </c>
      <c r="F134" s="450">
        <f t="shared" si="8"/>
        <v>126890</v>
      </c>
      <c r="G134" s="451">
        <f t="shared" si="9"/>
        <v>111821</v>
      </c>
      <c r="H134" s="463">
        <v>43460</v>
      </c>
      <c r="I134" s="459">
        <v>33255</v>
      </c>
      <c r="J134" s="463">
        <v>13014</v>
      </c>
      <c r="K134" s="459">
        <v>6106</v>
      </c>
      <c r="L134" s="463">
        <v>70416</v>
      </c>
      <c r="M134" s="463">
        <v>0</v>
      </c>
      <c r="N134" s="463">
        <v>0</v>
      </c>
      <c r="O134" s="459">
        <v>72460</v>
      </c>
      <c r="P134" s="459">
        <v>0</v>
      </c>
      <c r="Q134" s="459">
        <v>0</v>
      </c>
      <c r="R134" s="463">
        <v>0</v>
      </c>
      <c r="S134" s="459">
        <v>0</v>
      </c>
      <c r="T134" s="450">
        <f t="shared" si="10"/>
        <v>0</v>
      </c>
      <c r="U134" s="451">
        <f t="shared" si="11"/>
        <v>0</v>
      </c>
      <c r="V134" s="463"/>
      <c r="W134" s="459"/>
      <c r="X134" s="463"/>
      <c r="Y134" s="459"/>
      <c r="Z134" s="463"/>
      <c r="AA134" s="463"/>
      <c r="AB134" s="463"/>
      <c r="AC134" s="459"/>
      <c r="AD134" s="459"/>
      <c r="AE134" s="459"/>
      <c r="AF134" s="463"/>
      <c r="AG134" s="617"/>
    </row>
    <row r="135" spans="1:33">
      <c r="A135" s="471" t="s">
        <v>141</v>
      </c>
      <c r="B135" s="472" t="s">
        <v>165</v>
      </c>
      <c r="C135" s="519"/>
      <c r="D135" s="517">
        <v>482699</v>
      </c>
      <c r="E135" s="517">
        <v>7</v>
      </c>
      <c r="F135" s="450">
        <f t="shared" si="8"/>
        <v>54128</v>
      </c>
      <c r="G135" s="451">
        <f t="shared" si="9"/>
        <v>43706</v>
      </c>
      <c r="H135" s="463">
        <v>14937</v>
      </c>
      <c r="I135" s="459">
        <v>10617</v>
      </c>
      <c r="J135" s="463">
        <v>11023</v>
      </c>
      <c r="K135" s="459">
        <v>7790</v>
      </c>
      <c r="L135" s="463">
        <v>28168</v>
      </c>
      <c r="M135" s="463">
        <v>0</v>
      </c>
      <c r="N135" s="463">
        <v>0</v>
      </c>
      <c r="O135" s="459">
        <v>25299</v>
      </c>
      <c r="P135" s="459">
        <v>0</v>
      </c>
      <c r="Q135" s="459">
        <v>0</v>
      </c>
      <c r="R135" s="463">
        <v>0</v>
      </c>
      <c r="S135" s="459">
        <v>0</v>
      </c>
      <c r="T135" s="450">
        <f t="shared" si="10"/>
        <v>0</v>
      </c>
      <c r="U135" s="451">
        <f t="shared" si="11"/>
        <v>0</v>
      </c>
      <c r="V135" s="463"/>
      <c r="W135" s="459"/>
      <c r="X135" s="463"/>
      <c r="Y135" s="459"/>
      <c r="Z135" s="463"/>
      <c r="AA135" s="463"/>
      <c r="AB135" s="463"/>
      <c r="AC135" s="459"/>
      <c r="AD135" s="459"/>
      <c r="AE135" s="459"/>
      <c r="AF135" s="463"/>
      <c r="AG135" s="617"/>
    </row>
    <row r="136" spans="1:33" s="14" customFormat="1" ht="13.5" customHeight="1">
      <c r="A136" s="474" t="s">
        <v>141</v>
      </c>
      <c r="B136" s="403" t="s">
        <v>166</v>
      </c>
      <c r="C136" s="492"/>
      <c r="D136" s="490">
        <v>138682</v>
      </c>
      <c r="E136" s="490">
        <v>12</v>
      </c>
      <c r="F136" s="450">
        <f t="shared" ref="F136:F199" si="12">SUM(H136,J136,L136,M136,N136,R136)</f>
        <v>70764</v>
      </c>
      <c r="G136" s="451">
        <f t="shared" ref="G136:G199" si="13">SUM(I136,K136,O136,P136,Q136,S136)</f>
        <v>61682</v>
      </c>
      <c r="H136" s="452">
        <v>15721</v>
      </c>
      <c r="I136" s="453">
        <v>13555</v>
      </c>
      <c r="J136" s="452"/>
      <c r="K136" s="453"/>
      <c r="L136" s="452">
        <v>55043</v>
      </c>
      <c r="M136" s="452">
        <v>0</v>
      </c>
      <c r="N136" s="452">
        <v>0</v>
      </c>
      <c r="O136" s="453">
        <v>48127</v>
      </c>
      <c r="P136" s="453">
        <v>0</v>
      </c>
      <c r="Q136" s="453">
        <v>0</v>
      </c>
      <c r="R136" s="452"/>
      <c r="S136" s="453"/>
      <c r="T136" s="450">
        <f t="shared" ref="T136:T199" si="14">SUM(V136,X136,Z136,AA136,AB136,AF136)</f>
        <v>0</v>
      </c>
      <c r="U136" s="451">
        <f t="shared" ref="U136:U199" si="15">SUM(W136,Y136,AC136,AD136,AE136,AG136)</f>
        <v>0</v>
      </c>
      <c r="V136" s="452"/>
      <c r="W136" s="453"/>
      <c r="X136" s="452"/>
      <c r="Y136" s="453"/>
      <c r="Z136" s="452"/>
      <c r="AA136" s="452"/>
      <c r="AB136" s="452"/>
      <c r="AC136" s="453"/>
      <c r="AD136" s="453"/>
      <c r="AE136" s="453"/>
      <c r="AF136" s="452"/>
      <c r="AG136" s="616"/>
    </row>
    <row r="137" spans="1:33">
      <c r="A137" s="474" t="s">
        <v>141</v>
      </c>
      <c r="B137" s="44" t="s">
        <v>167</v>
      </c>
      <c r="C137" s="489"/>
      <c r="D137" s="490">
        <v>246813</v>
      </c>
      <c r="E137" s="490">
        <v>12</v>
      </c>
      <c r="F137" s="450">
        <f t="shared" si="12"/>
        <v>79083</v>
      </c>
      <c r="G137" s="451">
        <f t="shared" si="13"/>
        <v>69274</v>
      </c>
      <c r="H137" s="452">
        <v>49830</v>
      </c>
      <c r="I137" s="453">
        <v>46004</v>
      </c>
      <c r="J137" s="452"/>
      <c r="K137" s="453"/>
      <c r="L137" s="452">
        <v>29157</v>
      </c>
      <c r="M137" s="452">
        <v>96</v>
      </c>
      <c r="N137" s="452">
        <v>0</v>
      </c>
      <c r="O137" s="453">
        <v>23258</v>
      </c>
      <c r="P137" s="453">
        <v>12</v>
      </c>
      <c r="Q137" s="453">
        <v>0</v>
      </c>
      <c r="R137" s="452"/>
      <c r="S137" s="453"/>
      <c r="T137" s="450">
        <f t="shared" si="14"/>
        <v>0</v>
      </c>
      <c r="U137" s="451">
        <f t="shared" si="15"/>
        <v>0</v>
      </c>
      <c r="V137" s="452"/>
      <c r="W137" s="453"/>
      <c r="X137" s="452"/>
      <c r="Y137" s="453"/>
      <c r="Z137" s="452"/>
      <c r="AA137" s="452"/>
      <c r="AB137" s="452"/>
      <c r="AC137" s="453"/>
      <c r="AD137" s="453"/>
      <c r="AE137" s="453"/>
      <c r="AF137" s="452"/>
      <c r="AG137" s="616"/>
    </row>
    <row r="138" spans="1:33">
      <c r="A138" s="474" t="s">
        <v>141</v>
      </c>
      <c r="B138" s="44" t="s">
        <v>168</v>
      </c>
      <c r="C138" s="489"/>
      <c r="D138" s="490">
        <v>138840</v>
      </c>
      <c r="E138" s="490">
        <v>12</v>
      </c>
      <c r="F138" s="450">
        <f t="shared" si="12"/>
        <v>79903</v>
      </c>
      <c r="G138" s="451">
        <f t="shared" si="13"/>
        <v>75530</v>
      </c>
      <c r="H138" s="452">
        <v>23300</v>
      </c>
      <c r="I138" s="453">
        <v>10590</v>
      </c>
      <c r="J138" s="452"/>
      <c r="K138" s="453"/>
      <c r="L138" s="452">
        <v>56603</v>
      </c>
      <c r="M138" s="452">
        <v>0</v>
      </c>
      <c r="N138" s="452">
        <v>0</v>
      </c>
      <c r="O138" s="453">
        <v>64940</v>
      </c>
      <c r="P138" s="453">
        <v>0</v>
      </c>
      <c r="Q138" s="453">
        <v>0</v>
      </c>
      <c r="R138" s="452"/>
      <c r="S138" s="453"/>
      <c r="T138" s="450">
        <f t="shared" si="14"/>
        <v>0</v>
      </c>
      <c r="U138" s="451">
        <f t="shared" si="15"/>
        <v>0</v>
      </c>
      <c r="V138" s="452"/>
      <c r="W138" s="453"/>
      <c r="X138" s="452"/>
      <c r="Y138" s="453"/>
      <c r="Z138" s="452"/>
      <c r="AA138" s="452"/>
      <c r="AB138" s="452"/>
      <c r="AC138" s="453"/>
      <c r="AD138" s="453"/>
      <c r="AE138" s="453"/>
      <c r="AF138" s="452"/>
      <c r="AG138" s="616"/>
    </row>
    <row r="139" spans="1:33" s="14" customFormat="1" ht="12.6" customHeight="1">
      <c r="A139" s="474" t="s">
        <v>141</v>
      </c>
      <c r="B139" s="44" t="s">
        <v>169</v>
      </c>
      <c r="C139" s="524"/>
      <c r="D139" s="490">
        <v>138956</v>
      </c>
      <c r="E139" s="490">
        <v>12</v>
      </c>
      <c r="F139" s="450">
        <f t="shared" si="12"/>
        <v>88306</v>
      </c>
      <c r="G139" s="451">
        <f t="shared" si="13"/>
        <v>77860</v>
      </c>
      <c r="H139" s="452">
        <v>52601</v>
      </c>
      <c r="I139" s="453">
        <v>43113</v>
      </c>
      <c r="J139" s="452"/>
      <c r="K139" s="453"/>
      <c r="L139" s="452">
        <v>35705</v>
      </c>
      <c r="M139" s="452">
        <v>0</v>
      </c>
      <c r="N139" s="452">
        <v>0</v>
      </c>
      <c r="O139" s="453">
        <v>34719</v>
      </c>
      <c r="P139" s="453">
        <v>28</v>
      </c>
      <c r="Q139" s="453">
        <v>0</v>
      </c>
      <c r="R139" s="452"/>
      <c r="S139" s="453"/>
      <c r="T139" s="450">
        <f t="shared" si="14"/>
        <v>0</v>
      </c>
      <c r="U139" s="451">
        <f t="shared" si="15"/>
        <v>0</v>
      </c>
      <c r="V139" s="452"/>
      <c r="W139" s="453"/>
      <c r="X139" s="452"/>
      <c r="Y139" s="453"/>
      <c r="Z139" s="452"/>
      <c r="AA139" s="452"/>
      <c r="AB139" s="452"/>
      <c r="AC139" s="453"/>
      <c r="AD139" s="453"/>
      <c r="AE139" s="453"/>
      <c r="AF139" s="452"/>
      <c r="AG139" s="616"/>
    </row>
    <row r="140" spans="1:33" s="14" customFormat="1" ht="12.6" customHeight="1">
      <c r="A140" s="474" t="s">
        <v>141</v>
      </c>
      <c r="B140" s="44" t="s">
        <v>170</v>
      </c>
      <c r="C140" s="524"/>
      <c r="D140" s="490">
        <v>483045</v>
      </c>
      <c r="E140" s="490">
        <v>12</v>
      </c>
      <c r="F140" s="450">
        <f t="shared" si="12"/>
        <v>154039</v>
      </c>
      <c r="G140" s="451">
        <f t="shared" si="13"/>
        <v>155425</v>
      </c>
      <c r="H140" s="452">
        <v>58626</v>
      </c>
      <c r="I140" s="453">
        <v>68457</v>
      </c>
      <c r="J140" s="452"/>
      <c r="K140" s="453"/>
      <c r="L140" s="452">
        <v>89435</v>
      </c>
      <c r="M140" s="452">
        <v>5978</v>
      </c>
      <c r="N140" s="452">
        <v>0</v>
      </c>
      <c r="O140" s="453">
        <v>81926</v>
      </c>
      <c r="P140" s="453">
        <v>5042</v>
      </c>
      <c r="Q140" s="453">
        <v>0</v>
      </c>
      <c r="R140" s="452"/>
      <c r="S140" s="453"/>
      <c r="T140" s="450">
        <f t="shared" si="14"/>
        <v>0</v>
      </c>
      <c r="U140" s="451">
        <f t="shared" si="15"/>
        <v>0</v>
      </c>
      <c r="V140" s="452"/>
      <c r="W140" s="453"/>
      <c r="X140" s="452"/>
      <c r="Y140" s="453"/>
      <c r="Z140" s="452"/>
      <c r="AA140" s="452"/>
      <c r="AB140" s="452"/>
      <c r="AC140" s="453"/>
      <c r="AD140" s="453"/>
      <c r="AE140" s="453"/>
      <c r="AF140" s="452"/>
      <c r="AG140" s="616"/>
    </row>
    <row r="141" spans="1:33" s="14" customFormat="1" ht="12.6" customHeight="1">
      <c r="A141" s="474" t="s">
        <v>141</v>
      </c>
      <c r="B141" s="44" t="s">
        <v>171</v>
      </c>
      <c r="C141" s="524"/>
      <c r="D141" s="490">
        <v>140331</v>
      </c>
      <c r="E141" s="490">
        <v>12</v>
      </c>
      <c r="F141" s="450">
        <f t="shared" si="12"/>
        <v>190974</v>
      </c>
      <c r="G141" s="451">
        <f t="shared" si="13"/>
        <v>173190</v>
      </c>
      <c r="H141" s="452">
        <v>78547</v>
      </c>
      <c r="I141" s="453">
        <v>50975</v>
      </c>
      <c r="J141" s="452"/>
      <c r="K141" s="453"/>
      <c r="L141" s="452">
        <v>112427</v>
      </c>
      <c r="M141" s="452">
        <v>0</v>
      </c>
      <c r="N141" s="452">
        <v>0</v>
      </c>
      <c r="O141" s="453">
        <v>122215</v>
      </c>
      <c r="P141" s="453">
        <v>0</v>
      </c>
      <c r="Q141" s="453">
        <v>0</v>
      </c>
      <c r="R141" s="452"/>
      <c r="S141" s="453"/>
      <c r="T141" s="450">
        <f t="shared" si="14"/>
        <v>0</v>
      </c>
      <c r="U141" s="451">
        <f t="shared" si="15"/>
        <v>0</v>
      </c>
      <c r="V141" s="452"/>
      <c r="W141" s="453"/>
      <c r="X141" s="452"/>
      <c r="Y141" s="453"/>
      <c r="Z141" s="452"/>
      <c r="AA141" s="452"/>
      <c r="AB141" s="452"/>
      <c r="AC141" s="453"/>
      <c r="AD141" s="453"/>
      <c r="AE141" s="453"/>
      <c r="AF141" s="452"/>
      <c r="AG141" s="616"/>
    </row>
    <row r="142" spans="1:33" s="14" customFormat="1" ht="12.6" customHeight="1">
      <c r="A142" s="474" t="s">
        <v>141</v>
      </c>
      <c r="B142" s="475" t="s">
        <v>172</v>
      </c>
      <c r="C142" s="524"/>
      <c r="D142" s="525">
        <v>485458</v>
      </c>
      <c r="E142" s="490">
        <v>12</v>
      </c>
      <c r="F142" s="450">
        <f t="shared" si="12"/>
        <v>68682</v>
      </c>
      <c r="G142" s="451">
        <f t="shared" si="13"/>
        <v>67978</v>
      </c>
      <c r="H142" s="452">
        <v>42827</v>
      </c>
      <c r="I142" s="453">
        <v>40796</v>
      </c>
      <c r="J142" s="452"/>
      <c r="K142" s="453"/>
      <c r="L142" s="452">
        <v>25855</v>
      </c>
      <c r="M142" s="452">
        <v>0</v>
      </c>
      <c r="N142" s="452">
        <v>0</v>
      </c>
      <c r="O142" s="453">
        <v>27182</v>
      </c>
      <c r="P142" s="453">
        <v>0</v>
      </c>
      <c r="Q142" s="453">
        <v>0</v>
      </c>
      <c r="R142" s="452"/>
      <c r="S142" s="453"/>
      <c r="T142" s="450">
        <f t="shared" si="14"/>
        <v>0</v>
      </c>
      <c r="U142" s="451">
        <f t="shared" si="15"/>
        <v>0</v>
      </c>
      <c r="V142" s="452"/>
      <c r="W142" s="453"/>
      <c r="X142" s="452"/>
      <c r="Y142" s="453"/>
      <c r="Z142" s="452"/>
      <c r="AA142" s="452"/>
      <c r="AB142" s="452"/>
      <c r="AC142" s="453"/>
      <c r="AD142" s="453"/>
      <c r="AE142" s="453"/>
      <c r="AF142" s="452"/>
      <c r="AG142" s="616"/>
    </row>
    <row r="143" spans="1:33" s="14" customFormat="1" ht="12.6" customHeight="1">
      <c r="A143" s="474" t="s">
        <v>141</v>
      </c>
      <c r="B143" s="44" t="s">
        <v>173</v>
      </c>
      <c r="C143" s="524"/>
      <c r="D143" s="490">
        <v>139357</v>
      </c>
      <c r="E143" s="490">
        <v>12</v>
      </c>
      <c r="F143" s="450">
        <f t="shared" si="12"/>
        <v>68493</v>
      </c>
      <c r="G143" s="451">
        <f t="shared" si="13"/>
        <v>63076</v>
      </c>
      <c r="H143" s="452">
        <v>29965</v>
      </c>
      <c r="I143" s="453">
        <v>24341</v>
      </c>
      <c r="J143" s="452"/>
      <c r="K143" s="453"/>
      <c r="L143" s="452">
        <v>38528</v>
      </c>
      <c r="M143" s="452">
        <v>0</v>
      </c>
      <c r="N143" s="452">
        <v>0</v>
      </c>
      <c r="O143" s="453">
        <v>38735</v>
      </c>
      <c r="P143" s="453">
        <v>0</v>
      </c>
      <c r="Q143" s="453">
        <v>0</v>
      </c>
      <c r="R143" s="452"/>
      <c r="S143" s="453"/>
      <c r="T143" s="450">
        <f t="shared" si="14"/>
        <v>0</v>
      </c>
      <c r="U143" s="451">
        <f t="shared" si="15"/>
        <v>0</v>
      </c>
      <c r="V143" s="452"/>
      <c r="W143" s="453"/>
      <c r="X143" s="452"/>
      <c r="Y143" s="453"/>
      <c r="Z143" s="452"/>
      <c r="AA143" s="452"/>
      <c r="AB143" s="452"/>
      <c r="AC143" s="453"/>
      <c r="AD143" s="453"/>
      <c r="AE143" s="453"/>
      <c r="AF143" s="452"/>
      <c r="AG143" s="616"/>
    </row>
    <row r="144" spans="1:33" s="14" customFormat="1" ht="12.6" customHeight="1">
      <c r="A144" s="474" t="s">
        <v>141</v>
      </c>
      <c r="B144" s="44" t="s">
        <v>174</v>
      </c>
      <c r="C144" s="524"/>
      <c r="D144" s="490">
        <v>139384</v>
      </c>
      <c r="E144" s="490">
        <v>12</v>
      </c>
      <c r="F144" s="450">
        <f t="shared" si="12"/>
        <v>127340</v>
      </c>
      <c r="G144" s="451">
        <f t="shared" si="13"/>
        <v>120090</v>
      </c>
      <c r="H144" s="452">
        <v>54615</v>
      </c>
      <c r="I144" s="453">
        <v>48444</v>
      </c>
      <c r="J144" s="452"/>
      <c r="K144" s="453"/>
      <c r="L144" s="452">
        <v>72725</v>
      </c>
      <c r="M144" s="452">
        <v>0</v>
      </c>
      <c r="N144" s="452">
        <v>0</v>
      </c>
      <c r="O144" s="453">
        <v>71646</v>
      </c>
      <c r="P144" s="453">
        <v>0</v>
      </c>
      <c r="Q144" s="453">
        <v>0</v>
      </c>
      <c r="R144" s="452"/>
      <c r="S144" s="453"/>
      <c r="T144" s="450">
        <f t="shared" si="14"/>
        <v>0</v>
      </c>
      <c r="U144" s="451">
        <f t="shared" si="15"/>
        <v>0</v>
      </c>
      <c r="V144" s="452"/>
      <c r="W144" s="453"/>
      <c r="X144" s="452"/>
      <c r="Y144" s="453"/>
      <c r="Z144" s="452"/>
      <c r="AA144" s="452"/>
      <c r="AB144" s="452"/>
      <c r="AC144" s="453"/>
      <c r="AD144" s="453"/>
      <c r="AE144" s="453"/>
      <c r="AF144" s="452"/>
      <c r="AG144" s="616"/>
    </row>
    <row r="145" spans="1:33" s="14" customFormat="1" ht="12.6" customHeight="1">
      <c r="A145" s="474" t="s">
        <v>141</v>
      </c>
      <c r="B145" s="44" t="s">
        <v>175</v>
      </c>
      <c r="C145" s="524"/>
      <c r="D145" s="490">
        <v>244446</v>
      </c>
      <c r="E145" s="490">
        <v>12</v>
      </c>
      <c r="F145" s="450">
        <f t="shared" si="12"/>
        <v>60917.5</v>
      </c>
      <c r="G145" s="451">
        <f t="shared" si="13"/>
        <v>49686.5</v>
      </c>
      <c r="H145" s="452">
        <v>13811.5</v>
      </c>
      <c r="I145" s="453">
        <v>10051.5</v>
      </c>
      <c r="J145" s="452"/>
      <c r="K145" s="453"/>
      <c r="L145" s="452">
        <v>47106</v>
      </c>
      <c r="M145" s="452">
        <v>0</v>
      </c>
      <c r="N145" s="452">
        <v>0</v>
      </c>
      <c r="O145" s="453">
        <v>39635</v>
      </c>
      <c r="P145" s="453">
        <v>0</v>
      </c>
      <c r="Q145" s="453">
        <v>0</v>
      </c>
      <c r="R145" s="452"/>
      <c r="S145" s="453"/>
      <c r="T145" s="450">
        <f t="shared" si="14"/>
        <v>0</v>
      </c>
      <c r="U145" s="451">
        <f t="shared" si="15"/>
        <v>0</v>
      </c>
      <c r="V145" s="452"/>
      <c r="W145" s="453"/>
      <c r="X145" s="452"/>
      <c r="Y145" s="453"/>
      <c r="Z145" s="452"/>
      <c r="AA145" s="452"/>
      <c r="AB145" s="452"/>
      <c r="AC145" s="453"/>
      <c r="AD145" s="453"/>
      <c r="AE145" s="453"/>
      <c r="AF145" s="452"/>
      <c r="AG145" s="616"/>
    </row>
    <row r="146" spans="1:33" s="14" customFormat="1" ht="12.6" customHeight="1">
      <c r="A146" s="474" t="s">
        <v>141</v>
      </c>
      <c r="B146" s="44" t="s">
        <v>176</v>
      </c>
      <c r="C146" s="524"/>
      <c r="D146" s="490">
        <v>140012</v>
      </c>
      <c r="E146" s="490">
        <v>12</v>
      </c>
      <c r="F146" s="450">
        <f t="shared" si="12"/>
        <v>166649</v>
      </c>
      <c r="G146" s="451">
        <f t="shared" si="13"/>
        <v>150788</v>
      </c>
      <c r="H146" s="452">
        <v>60654</v>
      </c>
      <c r="I146" s="453">
        <v>44847</v>
      </c>
      <c r="J146" s="452"/>
      <c r="K146" s="453"/>
      <c r="L146" s="452">
        <v>105995</v>
      </c>
      <c r="M146" s="452">
        <v>0</v>
      </c>
      <c r="N146" s="452">
        <v>0</v>
      </c>
      <c r="O146" s="453">
        <v>105941</v>
      </c>
      <c r="P146" s="453">
        <v>0</v>
      </c>
      <c r="Q146" s="453">
        <v>0</v>
      </c>
      <c r="R146" s="452"/>
      <c r="S146" s="453"/>
      <c r="T146" s="450">
        <f t="shared" si="14"/>
        <v>0</v>
      </c>
      <c r="U146" s="451">
        <f t="shared" si="15"/>
        <v>0</v>
      </c>
      <c r="V146" s="452"/>
      <c r="W146" s="453"/>
      <c r="X146" s="452"/>
      <c r="Y146" s="453"/>
      <c r="Z146" s="452"/>
      <c r="AA146" s="452"/>
      <c r="AB146" s="452"/>
      <c r="AC146" s="453"/>
      <c r="AD146" s="453"/>
      <c r="AE146" s="453"/>
      <c r="AF146" s="452"/>
      <c r="AG146" s="616"/>
    </row>
    <row r="147" spans="1:33" s="14" customFormat="1" ht="12.6" customHeight="1">
      <c r="A147" s="474" t="s">
        <v>141</v>
      </c>
      <c r="B147" s="44" t="s">
        <v>177</v>
      </c>
      <c r="C147" s="524"/>
      <c r="D147" s="490">
        <v>140243</v>
      </c>
      <c r="E147" s="490">
        <v>12</v>
      </c>
      <c r="F147" s="450">
        <f t="shared" si="12"/>
        <v>93162</v>
      </c>
      <c r="G147" s="451">
        <f t="shared" si="13"/>
        <v>93233</v>
      </c>
      <c r="H147" s="452">
        <v>45623</v>
      </c>
      <c r="I147" s="453">
        <v>40706</v>
      </c>
      <c r="J147" s="452"/>
      <c r="K147" s="453"/>
      <c r="L147" s="452">
        <v>35035</v>
      </c>
      <c r="M147" s="452">
        <v>12504</v>
      </c>
      <c r="N147" s="452">
        <v>0</v>
      </c>
      <c r="O147" s="453">
        <v>29125</v>
      </c>
      <c r="P147" s="453">
        <v>23402</v>
      </c>
      <c r="Q147" s="453">
        <v>0</v>
      </c>
      <c r="R147" s="452"/>
      <c r="S147" s="453"/>
      <c r="T147" s="450">
        <f t="shared" si="14"/>
        <v>0</v>
      </c>
      <c r="U147" s="451">
        <f t="shared" si="15"/>
        <v>0</v>
      </c>
      <c r="V147" s="452"/>
      <c r="W147" s="453"/>
      <c r="X147" s="452"/>
      <c r="Y147" s="453"/>
      <c r="Z147" s="452"/>
      <c r="AA147" s="452"/>
      <c r="AB147" s="452"/>
      <c r="AC147" s="453"/>
      <c r="AD147" s="453"/>
      <c r="AE147" s="453"/>
      <c r="AF147" s="452"/>
      <c r="AG147" s="616"/>
    </row>
    <row r="148" spans="1:33" s="14" customFormat="1" ht="12.6" customHeight="1">
      <c r="A148" s="474" t="s">
        <v>141</v>
      </c>
      <c r="B148" s="44" t="s">
        <v>178</v>
      </c>
      <c r="C148" s="524"/>
      <c r="D148" s="490">
        <v>140678</v>
      </c>
      <c r="E148" s="490">
        <v>12</v>
      </c>
      <c r="F148" s="450">
        <f t="shared" si="12"/>
        <v>54981</v>
      </c>
      <c r="G148" s="451">
        <f t="shared" si="13"/>
        <v>51443</v>
      </c>
      <c r="H148" s="452">
        <v>26241</v>
      </c>
      <c r="I148" s="453">
        <v>21455</v>
      </c>
      <c r="J148" s="452"/>
      <c r="K148" s="453"/>
      <c r="L148" s="452">
        <v>28740</v>
      </c>
      <c r="M148" s="452">
        <v>0</v>
      </c>
      <c r="N148" s="452">
        <v>0</v>
      </c>
      <c r="O148" s="453">
        <v>28750</v>
      </c>
      <c r="P148" s="453">
        <v>1238</v>
      </c>
      <c r="Q148" s="453">
        <v>0</v>
      </c>
      <c r="R148" s="452"/>
      <c r="S148" s="453"/>
      <c r="T148" s="450">
        <f t="shared" si="14"/>
        <v>0</v>
      </c>
      <c r="U148" s="451">
        <f t="shared" si="15"/>
        <v>0</v>
      </c>
      <c r="V148" s="452"/>
      <c r="W148" s="453"/>
      <c r="X148" s="452"/>
      <c r="Y148" s="453"/>
      <c r="Z148" s="452"/>
      <c r="AA148" s="452"/>
      <c r="AB148" s="452"/>
      <c r="AC148" s="453"/>
      <c r="AD148" s="453"/>
      <c r="AE148" s="453"/>
      <c r="AF148" s="452"/>
      <c r="AG148" s="616"/>
    </row>
    <row r="149" spans="1:33">
      <c r="A149" s="474" t="s">
        <v>141</v>
      </c>
      <c r="B149" s="44" t="s">
        <v>179</v>
      </c>
      <c r="C149" s="489"/>
      <c r="D149" s="490">
        <v>420431</v>
      </c>
      <c r="E149" s="490">
        <v>12</v>
      </c>
      <c r="F149" s="450">
        <f t="shared" si="12"/>
        <v>35860</v>
      </c>
      <c r="G149" s="451">
        <f t="shared" si="13"/>
        <v>32336</v>
      </c>
      <c r="H149" s="452">
        <v>16873</v>
      </c>
      <c r="I149" s="453">
        <v>16889</v>
      </c>
      <c r="J149" s="452"/>
      <c r="K149" s="453"/>
      <c r="L149" s="452">
        <v>18987</v>
      </c>
      <c r="M149" s="452">
        <v>0</v>
      </c>
      <c r="N149" s="452">
        <v>0</v>
      </c>
      <c r="O149" s="453">
        <v>15447</v>
      </c>
      <c r="P149" s="453">
        <v>0</v>
      </c>
      <c r="Q149" s="453">
        <v>0</v>
      </c>
      <c r="R149" s="452"/>
      <c r="S149" s="453"/>
      <c r="T149" s="450">
        <f t="shared" si="14"/>
        <v>0</v>
      </c>
      <c r="U149" s="451">
        <f t="shared" si="15"/>
        <v>0</v>
      </c>
      <c r="V149" s="452"/>
      <c r="W149" s="453"/>
      <c r="X149" s="452"/>
      <c r="Y149" s="453"/>
      <c r="Z149" s="452"/>
      <c r="AA149" s="452"/>
      <c r="AB149" s="452"/>
      <c r="AC149" s="453"/>
      <c r="AD149" s="453"/>
      <c r="AE149" s="453"/>
      <c r="AF149" s="452"/>
      <c r="AG149" s="616"/>
    </row>
    <row r="150" spans="1:33" s="14" customFormat="1" ht="12.6" customHeight="1">
      <c r="A150" s="45" t="s">
        <v>141</v>
      </c>
      <c r="B150" s="44" t="s">
        <v>180</v>
      </c>
      <c r="C150" s="524"/>
      <c r="D150" s="490">
        <v>366465</v>
      </c>
      <c r="E150" s="490">
        <v>12</v>
      </c>
      <c r="F150" s="450">
        <f t="shared" si="12"/>
        <v>49479</v>
      </c>
      <c r="G150" s="451">
        <f t="shared" si="13"/>
        <v>48878</v>
      </c>
      <c r="H150" s="452">
        <v>24546</v>
      </c>
      <c r="I150" s="453">
        <v>22021</v>
      </c>
      <c r="J150" s="452"/>
      <c r="K150" s="453"/>
      <c r="L150" s="452">
        <v>24933</v>
      </c>
      <c r="M150" s="452">
        <v>0</v>
      </c>
      <c r="N150" s="452">
        <v>0</v>
      </c>
      <c r="O150" s="453">
        <v>26857</v>
      </c>
      <c r="P150" s="453">
        <v>0</v>
      </c>
      <c r="Q150" s="453">
        <v>0</v>
      </c>
      <c r="R150" s="452"/>
      <c r="S150" s="453"/>
      <c r="T150" s="450">
        <f t="shared" si="14"/>
        <v>0</v>
      </c>
      <c r="U150" s="451">
        <f t="shared" si="15"/>
        <v>0</v>
      </c>
      <c r="V150" s="452"/>
      <c r="W150" s="453"/>
      <c r="X150" s="452"/>
      <c r="Y150" s="453"/>
      <c r="Z150" s="452"/>
      <c r="AA150" s="452"/>
      <c r="AB150" s="452"/>
      <c r="AC150" s="453"/>
      <c r="AD150" s="453"/>
      <c r="AE150" s="453"/>
      <c r="AF150" s="452"/>
      <c r="AG150" s="616"/>
    </row>
    <row r="151" spans="1:33" s="14" customFormat="1" ht="12.6" customHeight="1">
      <c r="A151" s="45" t="s">
        <v>141</v>
      </c>
      <c r="B151" s="44" t="s">
        <v>181</v>
      </c>
      <c r="C151" s="524"/>
      <c r="D151" s="490">
        <v>140942</v>
      </c>
      <c r="E151" s="490">
        <v>12</v>
      </c>
      <c r="F151" s="450">
        <f t="shared" si="12"/>
        <v>84927</v>
      </c>
      <c r="G151" s="451">
        <f t="shared" si="13"/>
        <v>79164</v>
      </c>
      <c r="H151" s="452">
        <v>40608</v>
      </c>
      <c r="I151" s="453">
        <v>35125</v>
      </c>
      <c r="J151" s="452"/>
      <c r="K151" s="453"/>
      <c r="L151" s="452">
        <v>44319</v>
      </c>
      <c r="M151" s="452">
        <v>0</v>
      </c>
      <c r="N151" s="452">
        <v>0</v>
      </c>
      <c r="O151" s="453">
        <v>44039</v>
      </c>
      <c r="P151" s="453">
        <v>0</v>
      </c>
      <c r="Q151" s="453">
        <v>0</v>
      </c>
      <c r="R151" s="452"/>
      <c r="S151" s="453"/>
      <c r="T151" s="450">
        <f t="shared" si="14"/>
        <v>0</v>
      </c>
      <c r="U151" s="451">
        <f t="shared" si="15"/>
        <v>0</v>
      </c>
      <c r="V151" s="452"/>
      <c r="W151" s="453"/>
      <c r="X151" s="452"/>
      <c r="Y151" s="453"/>
      <c r="Z151" s="452"/>
      <c r="AA151" s="452"/>
      <c r="AB151" s="452"/>
      <c r="AC151" s="453"/>
      <c r="AD151" s="453"/>
      <c r="AE151" s="453"/>
      <c r="AF151" s="452"/>
      <c r="AG151" s="616"/>
    </row>
    <row r="152" spans="1:33" s="14" customFormat="1" ht="12.6" customHeight="1">
      <c r="A152" s="45" t="s">
        <v>141</v>
      </c>
      <c r="B152" s="44" t="s">
        <v>182</v>
      </c>
      <c r="C152" s="524"/>
      <c r="D152" s="490">
        <v>141006</v>
      </c>
      <c r="E152" s="490">
        <v>12</v>
      </c>
      <c r="F152" s="450">
        <f t="shared" si="12"/>
        <v>45944</v>
      </c>
      <c r="G152" s="451">
        <f t="shared" si="13"/>
        <v>39713</v>
      </c>
      <c r="H152" s="452">
        <v>28498</v>
      </c>
      <c r="I152" s="453">
        <v>24152</v>
      </c>
      <c r="J152" s="452"/>
      <c r="K152" s="453"/>
      <c r="L152" s="452">
        <v>17446</v>
      </c>
      <c r="M152" s="452">
        <v>0</v>
      </c>
      <c r="N152" s="452">
        <v>0</v>
      </c>
      <c r="O152" s="453">
        <v>15561</v>
      </c>
      <c r="P152" s="453">
        <v>0</v>
      </c>
      <c r="Q152" s="453">
        <v>0</v>
      </c>
      <c r="R152" s="452"/>
      <c r="S152" s="453"/>
      <c r="T152" s="450">
        <f t="shared" si="14"/>
        <v>0</v>
      </c>
      <c r="U152" s="451">
        <f t="shared" si="15"/>
        <v>0</v>
      </c>
      <c r="V152" s="452"/>
      <c r="W152" s="453"/>
      <c r="X152" s="452"/>
      <c r="Y152" s="453"/>
      <c r="Z152" s="452"/>
      <c r="AA152" s="452"/>
      <c r="AB152" s="452"/>
      <c r="AC152" s="453"/>
      <c r="AD152" s="453"/>
      <c r="AE152" s="453"/>
      <c r="AF152" s="452"/>
      <c r="AG152" s="616"/>
    </row>
    <row r="153" spans="1:33" s="14" customFormat="1" ht="12.6" customHeight="1">
      <c r="A153" s="45" t="s">
        <v>141</v>
      </c>
      <c r="B153" s="44" t="s">
        <v>183</v>
      </c>
      <c r="C153" s="524" t="s">
        <v>935</v>
      </c>
      <c r="D153" s="490">
        <v>368911</v>
      </c>
      <c r="E153" s="490">
        <v>12</v>
      </c>
      <c r="F153" s="450">
        <f t="shared" si="12"/>
        <v>32375</v>
      </c>
      <c r="G153" s="451">
        <f t="shared" si="13"/>
        <v>29721</v>
      </c>
      <c r="H153" s="452">
        <v>15426</v>
      </c>
      <c r="I153" s="453">
        <v>15315</v>
      </c>
      <c r="J153" s="452"/>
      <c r="K153" s="453"/>
      <c r="L153" s="452">
        <v>16949</v>
      </c>
      <c r="M153" s="452">
        <v>0</v>
      </c>
      <c r="N153" s="452">
        <v>0</v>
      </c>
      <c r="O153" s="453">
        <v>14406</v>
      </c>
      <c r="P153" s="453">
        <v>0</v>
      </c>
      <c r="Q153" s="453">
        <v>0</v>
      </c>
      <c r="R153" s="452"/>
      <c r="S153" s="453"/>
      <c r="T153" s="450">
        <f t="shared" si="14"/>
        <v>0</v>
      </c>
      <c r="U153" s="451">
        <f t="shared" si="15"/>
        <v>0</v>
      </c>
      <c r="V153" s="452"/>
      <c r="W153" s="453"/>
      <c r="X153" s="452"/>
      <c r="Y153" s="453"/>
      <c r="Z153" s="452"/>
      <c r="AA153" s="452"/>
      <c r="AB153" s="452"/>
      <c r="AC153" s="453"/>
      <c r="AD153" s="453"/>
      <c r="AE153" s="453"/>
      <c r="AF153" s="452"/>
      <c r="AG153" s="616"/>
    </row>
    <row r="154" spans="1:33" s="14" customFormat="1" ht="12.6" customHeight="1">
      <c r="A154" s="45" t="s">
        <v>141</v>
      </c>
      <c r="B154" s="44" t="s">
        <v>184</v>
      </c>
      <c r="C154" s="524"/>
      <c r="D154" s="490">
        <v>139986</v>
      </c>
      <c r="E154" s="490">
        <v>12</v>
      </c>
      <c r="F154" s="450">
        <f t="shared" si="12"/>
        <v>107717</v>
      </c>
      <c r="G154" s="451">
        <f t="shared" si="13"/>
        <v>102335</v>
      </c>
      <c r="H154" s="452">
        <v>48237</v>
      </c>
      <c r="I154" s="453">
        <v>22020</v>
      </c>
      <c r="J154" s="452"/>
      <c r="K154" s="453"/>
      <c r="L154" s="452">
        <v>59351</v>
      </c>
      <c r="M154" s="452">
        <v>129</v>
      </c>
      <c r="N154" s="452">
        <v>0</v>
      </c>
      <c r="O154" s="453">
        <v>80315</v>
      </c>
      <c r="P154" s="453">
        <v>0</v>
      </c>
      <c r="Q154" s="453">
        <v>0</v>
      </c>
      <c r="R154" s="452"/>
      <c r="S154" s="453"/>
      <c r="T154" s="450">
        <f t="shared" si="14"/>
        <v>0</v>
      </c>
      <c r="U154" s="451">
        <f t="shared" si="15"/>
        <v>0</v>
      </c>
      <c r="V154" s="452"/>
      <c r="W154" s="453"/>
      <c r="X154" s="452"/>
      <c r="Y154" s="453"/>
      <c r="Z154" s="452"/>
      <c r="AA154" s="452"/>
      <c r="AB154" s="452"/>
      <c r="AC154" s="453"/>
      <c r="AD154" s="453"/>
      <c r="AE154" s="453"/>
      <c r="AF154" s="452"/>
      <c r="AG154" s="616"/>
    </row>
    <row r="155" spans="1:33" s="14" customFormat="1" ht="12.6" customHeight="1">
      <c r="A155" s="45" t="s">
        <v>141</v>
      </c>
      <c r="B155" s="475" t="s">
        <v>185</v>
      </c>
      <c r="C155" s="524"/>
      <c r="D155" s="525">
        <v>487162</v>
      </c>
      <c r="E155" s="490">
        <v>12</v>
      </c>
      <c r="F155" s="450">
        <f t="shared" si="12"/>
        <v>94284</v>
      </c>
      <c r="G155" s="451">
        <f t="shared" si="13"/>
        <v>86092</v>
      </c>
      <c r="H155" s="452">
        <v>47517</v>
      </c>
      <c r="I155" s="453">
        <v>45601</v>
      </c>
      <c r="J155" s="452"/>
      <c r="K155" s="453"/>
      <c r="L155" s="452">
        <v>46767</v>
      </c>
      <c r="M155" s="452">
        <v>0</v>
      </c>
      <c r="N155" s="452">
        <v>0</v>
      </c>
      <c r="O155" s="453">
        <v>40491</v>
      </c>
      <c r="P155" s="453">
        <v>0</v>
      </c>
      <c r="Q155" s="453">
        <v>0</v>
      </c>
      <c r="R155" s="452"/>
      <c r="S155" s="453"/>
      <c r="T155" s="450">
        <f t="shared" si="14"/>
        <v>0</v>
      </c>
      <c r="U155" s="451">
        <f t="shared" si="15"/>
        <v>0</v>
      </c>
      <c r="V155" s="452"/>
      <c r="W155" s="453"/>
      <c r="X155" s="452"/>
      <c r="Y155" s="453"/>
      <c r="Z155" s="452"/>
      <c r="AA155" s="452"/>
      <c r="AB155" s="452"/>
      <c r="AC155" s="453"/>
      <c r="AD155" s="453"/>
      <c r="AE155" s="453"/>
      <c r="AF155" s="452"/>
      <c r="AG155" s="616"/>
    </row>
    <row r="156" spans="1:33" s="14" customFormat="1" ht="12.6" customHeight="1">
      <c r="A156" s="45" t="s">
        <v>141</v>
      </c>
      <c r="B156" s="44" t="s">
        <v>186</v>
      </c>
      <c r="C156" s="524"/>
      <c r="D156" s="490">
        <v>139278</v>
      </c>
      <c r="E156" s="490">
        <v>12</v>
      </c>
      <c r="F156" s="450">
        <f t="shared" si="12"/>
        <v>127899</v>
      </c>
      <c r="G156" s="451">
        <f t="shared" si="13"/>
        <v>117256</v>
      </c>
      <c r="H156" s="452">
        <v>47860</v>
      </c>
      <c r="I156" s="453">
        <v>47359</v>
      </c>
      <c r="J156" s="452"/>
      <c r="K156" s="453"/>
      <c r="L156" s="452">
        <v>80039</v>
      </c>
      <c r="M156" s="452">
        <v>0</v>
      </c>
      <c r="N156" s="452">
        <v>0</v>
      </c>
      <c r="O156" s="453">
        <v>69897</v>
      </c>
      <c r="P156" s="453">
        <v>0</v>
      </c>
      <c r="Q156" s="453">
        <v>0</v>
      </c>
      <c r="R156" s="452"/>
      <c r="S156" s="453"/>
      <c r="T156" s="450">
        <f t="shared" si="14"/>
        <v>0</v>
      </c>
      <c r="U156" s="451">
        <f t="shared" si="15"/>
        <v>0</v>
      </c>
      <c r="V156" s="452"/>
      <c r="W156" s="453"/>
      <c r="X156" s="452"/>
      <c r="Y156" s="453"/>
      <c r="Z156" s="452"/>
      <c r="AA156" s="452"/>
      <c r="AB156" s="452"/>
      <c r="AC156" s="453"/>
      <c r="AD156" s="453"/>
      <c r="AE156" s="453"/>
      <c r="AF156" s="452"/>
      <c r="AG156" s="616"/>
    </row>
    <row r="157" spans="1:33" s="14" customFormat="1" ht="12.6" customHeight="1">
      <c r="A157" s="45" t="s">
        <v>141</v>
      </c>
      <c r="B157" s="44" t="s">
        <v>187</v>
      </c>
      <c r="C157" s="524"/>
      <c r="D157" s="490">
        <v>141255</v>
      </c>
      <c r="E157" s="490">
        <v>12</v>
      </c>
      <c r="F157" s="450">
        <f t="shared" si="12"/>
        <v>74592</v>
      </c>
      <c r="G157" s="451">
        <f t="shared" si="13"/>
        <v>66803</v>
      </c>
      <c r="H157" s="452">
        <v>44087</v>
      </c>
      <c r="I157" s="453">
        <v>35721</v>
      </c>
      <c r="J157" s="452"/>
      <c r="K157" s="453"/>
      <c r="L157" s="452">
        <v>30505</v>
      </c>
      <c r="M157" s="452">
        <v>0</v>
      </c>
      <c r="N157" s="452">
        <v>0</v>
      </c>
      <c r="O157" s="453">
        <v>31082</v>
      </c>
      <c r="P157" s="453">
        <v>0</v>
      </c>
      <c r="Q157" s="453">
        <v>0</v>
      </c>
      <c r="R157" s="452"/>
      <c r="S157" s="453"/>
      <c r="T157" s="450">
        <f t="shared" si="14"/>
        <v>0</v>
      </c>
      <c r="U157" s="451">
        <f t="shared" si="15"/>
        <v>0</v>
      </c>
      <c r="V157" s="452"/>
      <c r="W157" s="453"/>
      <c r="X157" s="452"/>
      <c r="Y157" s="453"/>
      <c r="Z157" s="452"/>
      <c r="AA157" s="452"/>
      <c r="AB157" s="452"/>
      <c r="AC157" s="453"/>
      <c r="AD157" s="453"/>
      <c r="AE157" s="453"/>
      <c r="AF157" s="452"/>
      <c r="AG157" s="616"/>
    </row>
    <row r="158" spans="1:33" s="14" customFormat="1" ht="15.95" customHeight="1">
      <c r="A158" s="335" t="s">
        <v>188</v>
      </c>
      <c r="B158" s="333" t="s">
        <v>189</v>
      </c>
      <c r="C158" s="334"/>
      <c r="D158" s="335">
        <v>157085</v>
      </c>
      <c r="E158" s="462">
        <v>1</v>
      </c>
      <c r="F158" s="450">
        <f t="shared" si="12"/>
        <v>605707</v>
      </c>
      <c r="G158" s="451">
        <f t="shared" si="13"/>
        <v>591199</v>
      </c>
      <c r="H158" s="463">
        <v>358834</v>
      </c>
      <c r="I158" s="600">
        <v>332205</v>
      </c>
      <c r="J158" s="463">
        <v>5601</v>
      </c>
      <c r="K158" s="600">
        <v>4038</v>
      </c>
      <c r="L158" s="463">
        <v>240091</v>
      </c>
      <c r="M158" s="463">
        <v>594</v>
      </c>
      <c r="N158" s="463">
        <v>587</v>
      </c>
      <c r="O158" s="600">
        <v>254695</v>
      </c>
      <c r="P158" s="459"/>
      <c r="Q158" s="459">
        <v>261</v>
      </c>
      <c r="R158" s="463"/>
      <c r="S158" s="459"/>
      <c r="T158" s="450">
        <f t="shared" si="14"/>
        <v>84573</v>
      </c>
      <c r="U158" s="451">
        <f t="shared" si="15"/>
        <v>99918</v>
      </c>
      <c r="V158" s="463">
        <v>42374</v>
      </c>
      <c r="W158" s="600">
        <v>41125</v>
      </c>
      <c r="X158" s="463">
        <v>186</v>
      </c>
      <c r="Y158" s="600">
        <v>108</v>
      </c>
      <c r="Z158" s="463">
        <v>41528</v>
      </c>
      <c r="AA158" s="463"/>
      <c r="AB158" s="463">
        <v>485</v>
      </c>
      <c r="AC158" s="600">
        <v>58526</v>
      </c>
      <c r="AD158" s="600"/>
      <c r="AE158" s="600">
        <v>159</v>
      </c>
      <c r="AF158" s="463"/>
      <c r="AG158" s="617"/>
    </row>
    <row r="159" spans="1:33">
      <c r="A159" s="335" t="s">
        <v>188</v>
      </c>
      <c r="B159" s="333" t="s">
        <v>190</v>
      </c>
      <c r="C159" s="334"/>
      <c r="D159" s="335">
        <v>157289</v>
      </c>
      <c r="E159" s="462">
        <v>1</v>
      </c>
      <c r="F159" s="450">
        <f t="shared" si="12"/>
        <v>390671</v>
      </c>
      <c r="G159" s="451">
        <f t="shared" si="13"/>
        <v>378696</v>
      </c>
      <c r="H159" s="463">
        <v>227237</v>
      </c>
      <c r="I159" s="600">
        <v>170417</v>
      </c>
      <c r="J159" s="463">
        <v>13963</v>
      </c>
      <c r="K159" s="487">
        <v>13267</v>
      </c>
      <c r="L159" s="463">
        <v>149471</v>
      </c>
      <c r="M159" s="463"/>
      <c r="N159" s="463"/>
      <c r="O159" s="600">
        <v>195012</v>
      </c>
      <c r="P159" s="459"/>
      <c r="Q159" s="459"/>
      <c r="R159" s="463"/>
      <c r="S159" s="459"/>
      <c r="T159" s="450">
        <f t="shared" si="14"/>
        <v>84945</v>
      </c>
      <c r="U159" s="451">
        <f t="shared" si="15"/>
        <v>94910</v>
      </c>
      <c r="V159" s="463">
        <v>36331</v>
      </c>
      <c r="W159" s="600">
        <v>38507</v>
      </c>
      <c r="X159" s="463">
        <v>2726</v>
      </c>
      <c r="Y159" s="600">
        <v>2720</v>
      </c>
      <c r="Z159" s="463">
        <v>45888</v>
      </c>
      <c r="AA159" s="463"/>
      <c r="AB159" s="463"/>
      <c r="AC159" s="600">
        <v>53683</v>
      </c>
      <c r="AD159" s="600"/>
      <c r="AE159" s="600"/>
      <c r="AF159" s="463"/>
      <c r="AG159" s="617"/>
    </row>
    <row r="160" spans="1:33">
      <c r="A160" s="335" t="s">
        <v>188</v>
      </c>
      <c r="B160" s="333" t="s">
        <v>191</v>
      </c>
      <c r="C160" s="334"/>
      <c r="D160" s="335">
        <v>156620</v>
      </c>
      <c r="E160" s="462">
        <v>3</v>
      </c>
      <c r="F160" s="450">
        <f t="shared" si="12"/>
        <v>341191</v>
      </c>
      <c r="G160" s="451">
        <f t="shared" si="13"/>
        <v>322835</v>
      </c>
      <c r="H160" s="463">
        <v>227868</v>
      </c>
      <c r="I160" s="600">
        <v>162882</v>
      </c>
      <c r="J160" s="463">
        <v>9944</v>
      </c>
      <c r="K160" s="600">
        <v>8474</v>
      </c>
      <c r="L160" s="463">
        <v>98885</v>
      </c>
      <c r="M160" s="463">
        <v>4494</v>
      </c>
      <c r="N160" s="463"/>
      <c r="O160" s="600">
        <v>148196</v>
      </c>
      <c r="P160" s="459">
        <v>3283</v>
      </c>
      <c r="Q160" s="459"/>
      <c r="R160" s="463"/>
      <c r="S160" s="459"/>
      <c r="T160" s="450">
        <f t="shared" si="14"/>
        <v>40419</v>
      </c>
      <c r="U160" s="451">
        <f t="shared" si="15"/>
        <v>39574</v>
      </c>
      <c r="V160" s="463">
        <v>12124</v>
      </c>
      <c r="W160" s="600">
        <v>12188.5</v>
      </c>
      <c r="X160" s="463">
        <v>1714</v>
      </c>
      <c r="Y160" s="600">
        <v>2157</v>
      </c>
      <c r="Z160" s="463">
        <v>26581</v>
      </c>
      <c r="AA160" s="463"/>
      <c r="AB160" s="463"/>
      <c r="AC160" s="600">
        <v>25018.5</v>
      </c>
      <c r="AD160" s="600">
        <v>210</v>
      </c>
      <c r="AE160" s="600"/>
      <c r="AF160" s="463"/>
      <c r="AG160" s="617"/>
    </row>
    <row r="161" spans="1:33">
      <c r="A161" s="335" t="s">
        <v>188</v>
      </c>
      <c r="B161" s="333" t="s">
        <v>192</v>
      </c>
      <c r="C161" s="334"/>
      <c r="D161" s="335">
        <v>157386</v>
      </c>
      <c r="E161" s="462">
        <v>3</v>
      </c>
      <c r="F161" s="450">
        <f t="shared" si="12"/>
        <v>186501</v>
      </c>
      <c r="G161" s="451">
        <f t="shared" si="13"/>
        <v>174484</v>
      </c>
      <c r="H161" s="463">
        <v>88171</v>
      </c>
      <c r="I161" s="600">
        <v>70128</v>
      </c>
      <c r="J161" s="463">
        <v>26137</v>
      </c>
      <c r="K161" s="600">
        <v>25394</v>
      </c>
      <c r="L161" s="463">
        <v>67873</v>
      </c>
      <c r="M161" s="463">
        <v>4320</v>
      </c>
      <c r="N161" s="463"/>
      <c r="O161" s="600">
        <v>74655</v>
      </c>
      <c r="P161" s="459">
        <v>4307</v>
      </c>
      <c r="Q161" s="459"/>
      <c r="R161" s="463"/>
      <c r="S161" s="459"/>
      <c r="T161" s="450">
        <f t="shared" si="14"/>
        <v>11018</v>
      </c>
      <c r="U161" s="451">
        <f t="shared" si="15"/>
        <v>11229</v>
      </c>
      <c r="V161" s="463">
        <v>1071</v>
      </c>
      <c r="W161" s="600">
        <v>734</v>
      </c>
      <c r="X161" s="463">
        <v>221</v>
      </c>
      <c r="Y161" s="600">
        <v>391</v>
      </c>
      <c r="Z161" s="463">
        <v>9726</v>
      </c>
      <c r="AA161" s="463"/>
      <c r="AB161" s="463"/>
      <c r="AC161" s="600">
        <v>10104</v>
      </c>
      <c r="AD161" s="600"/>
      <c r="AE161" s="600"/>
      <c r="AF161" s="463"/>
      <c r="AG161" s="617"/>
    </row>
    <row r="162" spans="1:33">
      <c r="A162" s="335" t="s">
        <v>188</v>
      </c>
      <c r="B162" s="333" t="s">
        <v>193</v>
      </c>
      <c r="C162" s="334"/>
      <c r="D162" s="335">
        <v>157401</v>
      </c>
      <c r="E162" s="462">
        <v>3</v>
      </c>
      <c r="F162" s="450">
        <f t="shared" si="12"/>
        <v>205124</v>
      </c>
      <c r="G162" s="451">
        <f t="shared" si="13"/>
        <v>196335</v>
      </c>
      <c r="H162" s="463">
        <v>130953</v>
      </c>
      <c r="I162" s="600">
        <v>120094</v>
      </c>
      <c r="J162" s="463">
        <v>28030</v>
      </c>
      <c r="K162" s="600">
        <v>27281</v>
      </c>
      <c r="L162" s="463">
        <v>41460</v>
      </c>
      <c r="M162" s="463">
        <v>4681</v>
      </c>
      <c r="N162" s="463"/>
      <c r="O162" s="600">
        <v>46090</v>
      </c>
      <c r="P162" s="459">
        <v>2870</v>
      </c>
      <c r="Q162" s="459"/>
      <c r="R162" s="463"/>
      <c r="S162" s="459"/>
      <c r="T162" s="450">
        <f t="shared" si="14"/>
        <v>23083</v>
      </c>
      <c r="U162" s="451">
        <f t="shared" si="15"/>
        <v>25094</v>
      </c>
      <c r="V162" s="463">
        <v>7647</v>
      </c>
      <c r="W162" s="600">
        <v>5625</v>
      </c>
      <c r="X162" s="463">
        <v>3799</v>
      </c>
      <c r="Y162" s="600">
        <v>5373</v>
      </c>
      <c r="Z162" s="463">
        <v>11517</v>
      </c>
      <c r="AA162" s="463">
        <v>120</v>
      </c>
      <c r="AB162" s="463"/>
      <c r="AC162" s="600">
        <v>14024</v>
      </c>
      <c r="AD162" s="600">
        <v>72</v>
      </c>
      <c r="AE162" s="600"/>
      <c r="AF162" s="463"/>
      <c r="AG162" s="617"/>
    </row>
    <row r="163" spans="1:33">
      <c r="A163" s="335" t="s">
        <v>188</v>
      </c>
      <c r="B163" s="333" t="s">
        <v>194</v>
      </c>
      <c r="C163" s="336"/>
      <c r="D163" s="335">
        <v>157447</v>
      </c>
      <c r="E163" s="462">
        <v>3</v>
      </c>
      <c r="F163" s="450">
        <f t="shared" si="12"/>
        <v>314526</v>
      </c>
      <c r="G163" s="451">
        <f t="shared" si="13"/>
        <v>292733</v>
      </c>
      <c r="H163" s="463">
        <v>146001</v>
      </c>
      <c r="I163" s="600">
        <v>121224</v>
      </c>
      <c r="J163" s="463">
        <v>15980</v>
      </c>
      <c r="K163" s="600">
        <v>16814</v>
      </c>
      <c r="L163" s="463">
        <v>152515</v>
      </c>
      <c r="M163" s="463">
        <v>30</v>
      </c>
      <c r="N163" s="463"/>
      <c r="O163" s="600">
        <v>154527</v>
      </c>
      <c r="P163" s="459">
        <v>168</v>
      </c>
      <c r="Q163" s="459"/>
      <c r="R163" s="463"/>
      <c r="S163" s="459"/>
      <c r="T163" s="450">
        <f t="shared" si="14"/>
        <v>76260</v>
      </c>
      <c r="U163" s="451">
        <f t="shared" si="15"/>
        <v>84396.5</v>
      </c>
      <c r="V163" s="463">
        <v>14149</v>
      </c>
      <c r="W163" s="600">
        <v>11690</v>
      </c>
      <c r="X163" s="463">
        <v>111</v>
      </c>
      <c r="Y163" s="600">
        <v>1627</v>
      </c>
      <c r="Z163" s="463">
        <v>62000</v>
      </c>
      <c r="AA163" s="463"/>
      <c r="AB163" s="463"/>
      <c r="AC163" s="600">
        <v>71079.5</v>
      </c>
      <c r="AD163" s="600"/>
      <c r="AE163" s="600"/>
      <c r="AF163" s="463"/>
      <c r="AG163" s="617"/>
    </row>
    <row r="164" spans="1:33">
      <c r="A164" s="335" t="s">
        <v>188</v>
      </c>
      <c r="B164" s="333" t="s">
        <v>195</v>
      </c>
      <c r="C164" s="334"/>
      <c r="D164" s="335">
        <v>157951</v>
      </c>
      <c r="E164" s="462">
        <v>3</v>
      </c>
      <c r="F164" s="450">
        <f t="shared" si="12"/>
        <v>381158</v>
      </c>
      <c r="G164" s="451">
        <f t="shared" si="13"/>
        <v>373851</v>
      </c>
      <c r="H164" s="463">
        <v>224066</v>
      </c>
      <c r="I164" s="600">
        <v>210430</v>
      </c>
      <c r="J164" s="463">
        <v>14394</v>
      </c>
      <c r="K164" s="600">
        <v>11792</v>
      </c>
      <c r="L164" s="463">
        <v>140832</v>
      </c>
      <c r="M164" s="463">
        <v>1767</v>
      </c>
      <c r="N164" s="463">
        <v>99</v>
      </c>
      <c r="O164" s="600">
        <v>151377</v>
      </c>
      <c r="P164" s="459">
        <v>198</v>
      </c>
      <c r="Q164" s="459">
        <v>54</v>
      </c>
      <c r="R164" s="463"/>
      <c r="S164" s="459"/>
      <c r="T164" s="450">
        <f t="shared" si="14"/>
        <v>34584</v>
      </c>
      <c r="U164" s="451">
        <f t="shared" si="15"/>
        <v>33275.5</v>
      </c>
      <c r="V164" s="463">
        <v>9762</v>
      </c>
      <c r="W164" s="600">
        <v>9288</v>
      </c>
      <c r="X164" s="463">
        <v>888</v>
      </c>
      <c r="Y164" s="600">
        <v>318</v>
      </c>
      <c r="Z164" s="463">
        <v>23901</v>
      </c>
      <c r="AA164" s="463">
        <v>30</v>
      </c>
      <c r="AB164" s="463">
        <v>3</v>
      </c>
      <c r="AC164" s="600">
        <v>23669.5</v>
      </c>
      <c r="AD164" s="600"/>
      <c r="AE164" s="600"/>
      <c r="AF164" s="463"/>
      <c r="AG164" s="617"/>
    </row>
    <row r="165" spans="1:33">
      <c r="A165" s="335" t="s">
        <v>188</v>
      </c>
      <c r="B165" s="333" t="s">
        <v>196</v>
      </c>
      <c r="C165" s="440" t="s">
        <v>990</v>
      </c>
      <c r="D165" s="335">
        <v>157058</v>
      </c>
      <c r="E165" s="462">
        <v>4</v>
      </c>
      <c r="F165" s="450">
        <f t="shared" si="12"/>
        <v>51840</v>
      </c>
      <c r="G165" s="451">
        <f t="shared" si="13"/>
        <v>50944</v>
      </c>
      <c r="H165" s="463">
        <v>32989</v>
      </c>
      <c r="I165" s="600">
        <v>17038</v>
      </c>
      <c r="J165" s="463">
        <v>60</v>
      </c>
      <c r="K165" s="600">
        <v>33</v>
      </c>
      <c r="L165" s="463">
        <v>18791</v>
      </c>
      <c r="M165" s="463"/>
      <c r="N165" s="463"/>
      <c r="O165" s="600">
        <v>33873</v>
      </c>
      <c r="P165" s="459"/>
      <c r="Q165" s="459"/>
      <c r="R165" s="463"/>
      <c r="S165" s="459"/>
      <c r="T165" s="450">
        <f t="shared" si="14"/>
        <v>1914</v>
      </c>
      <c r="U165" s="451">
        <f t="shared" si="15"/>
        <v>1977</v>
      </c>
      <c r="V165" s="463">
        <v>1095</v>
      </c>
      <c r="W165" s="600">
        <v>639</v>
      </c>
      <c r="X165" s="463"/>
      <c r="Y165" s="600"/>
      <c r="Z165" s="463">
        <v>819</v>
      </c>
      <c r="AA165" s="463"/>
      <c r="AB165" s="463"/>
      <c r="AC165" s="600">
        <v>1338</v>
      </c>
      <c r="AD165" s="600"/>
      <c r="AE165" s="600"/>
      <c r="AF165" s="463"/>
      <c r="AG165" s="617"/>
    </row>
    <row r="166" spans="1:33">
      <c r="A166" s="335" t="s">
        <v>188</v>
      </c>
      <c r="B166" s="333" t="s">
        <v>197</v>
      </c>
      <c r="C166" s="334" t="s">
        <v>747</v>
      </c>
      <c r="D166" s="356">
        <v>156392</v>
      </c>
      <c r="E166" s="462">
        <v>8</v>
      </c>
      <c r="F166" s="450">
        <f t="shared" si="12"/>
        <v>201997</v>
      </c>
      <c r="G166" s="451">
        <f t="shared" si="13"/>
        <v>122084</v>
      </c>
      <c r="H166" s="463">
        <v>94108</v>
      </c>
      <c r="I166" s="600">
        <v>44170</v>
      </c>
      <c r="J166" s="463">
        <v>7729</v>
      </c>
      <c r="K166" s="600">
        <v>8683</v>
      </c>
      <c r="L166" s="463">
        <v>100160</v>
      </c>
      <c r="M166" s="463"/>
      <c r="N166" s="463"/>
      <c r="O166" s="600">
        <v>69231</v>
      </c>
      <c r="P166" s="459"/>
      <c r="Q166" s="459"/>
      <c r="R166" s="463"/>
      <c r="S166" s="459"/>
      <c r="T166" s="450">
        <f t="shared" si="14"/>
        <v>0</v>
      </c>
      <c r="U166" s="451">
        <f t="shared" si="15"/>
        <v>0</v>
      </c>
      <c r="V166" s="463"/>
      <c r="W166" s="479"/>
      <c r="X166" s="463"/>
      <c r="Y166" s="479"/>
      <c r="Z166" s="463"/>
      <c r="AA166" s="463"/>
      <c r="AB166" s="463"/>
      <c r="AC166" s="459"/>
      <c r="AD166" s="459"/>
      <c r="AE166" s="459"/>
      <c r="AF166" s="463"/>
      <c r="AG166" s="617"/>
    </row>
    <row r="167" spans="1:33">
      <c r="A167" s="335" t="s">
        <v>188</v>
      </c>
      <c r="B167" s="333" t="s">
        <v>198</v>
      </c>
      <c r="C167" s="334"/>
      <c r="D167" s="335">
        <v>156921</v>
      </c>
      <c r="E167" s="462">
        <v>8</v>
      </c>
      <c r="F167" s="450">
        <f t="shared" si="12"/>
        <v>188787</v>
      </c>
      <c r="G167" s="451">
        <f t="shared" si="13"/>
        <v>162573</v>
      </c>
      <c r="H167" s="463">
        <v>88013</v>
      </c>
      <c r="I167" s="600">
        <v>63777</v>
      </c>
      <c r="J167" s="463">
        <v>18555</v>
      </c>
      <c r="K167" s="600">
        <v>48898</v>
      </c>
      <c r="L167" s="463">
        <v>82219</v>
      </c>
      <c r="M167" s="463"/>
      <c r="N167" s="463"/>
      <c r="O167" s="600">
        <v>49898</v>
      </c>
      <c r="P167" s="459"/>
      <c r="Q167" s="459"/>
      <c r="R167" s="463"/>
      <c r="S167" s="459"/>
      <c r="T167" s="450">
        <f t="shared" si="14"/>
        <v>0</v>
      </c>
      <c r="U167" s="451">
        <f t="shared" si="15"/>
        <v>0</v>
      </c>
      <c r="V167" s="463"/>
      <c r="W167" s="459"/>
      <c r="X167" s="463"/>
      <c r="Y167" s="459"/>
      <c r="Z167" s="463"/>
      <c r="AA167" s="463"/>
      <c r="AB167" s="463"/>
      <c r="AC167" s="459"/>
      <c r="AD167" s="459"/>
      <c r="AE167" s="459"/>
      <c r="AF167" s="463"/>
      <c r="AG167" s="617"/>
    </row>
    <row r="168" spans="1:33">
      <c r="A168" s="335" t="s">
        <v>188</v>
      </c>
      <c r="B168" s="626" t="s">
        <v>200</v>
      </c>
      <c r="C168" s="626" t="s">
        <v>989</v>
      </c>
      <c r="D168" s="627">
        <v>157553</v>
      </c>
      <c r="E168" s="628">
        <v>10</v>
      </c>
      <c r="F168" s="450">
        <f t="shared" si="12"/>
        <v>53472</v>
      </c>
      <c r="G168" s="451">
        <f t="shared" si="13"/>
        <v>29920</v>
      </c>
      <c r="H168" s="463">
        <v>20351</v>
      </c>
      <c r="I168" s="600">
        <v>11520</v>
      </c>
      <c r="J168" s="463">
        <v>234</v>
      </c>
      <c r="K168" s="600">
        <v>288</v>
      </c>
      <c r="L168" s="463">
        <v>32887</v>
      </c>
      <c r="M168" s="463"/>
      <c r="N168" s="463"/>
      <c r="O168" s="600">
        <v>18112</v>
      </c>
      <c r="P168" s="459"/>
      <c r="Q168" s="459"/>
      <c r="R168" s="463"/>
      <c r="S168" s="459"/>
      <c r="T168" s="450">
        <f t="shared" si="14"/>
        <v>0</v>
      </c>
      <c r="U168" s="451">
        <f t="shared" si="15"/>
        <v>0</v>
      </c>
      <c r="V168" s="463"/>
      <c r="W168" s="459"/>
      <c r="X168" s="463"/>
      <c r="Y168" s="459"/>
      <c r="Z168" s="463"/>
      <c r="AA168" s="463"/>
      <c r="AB168" s="463"/>
      <c r="AC168" s="459"/>
      <c r="AD168" s="459"/>
      <c r="AE168" s="459"/>
      <c r="AF168" s="463"/>
      <c r="AG168" s="617"/>
    </row>
    <row r="169" spans="1:33">
      <c r="A169" s="335" t="s">
        <v>188</v>
      </c>
      <c r="B169" s="333" t="s">
        <v>201</v>
      </c>
      <c r="C169" s="334"/>
      <c r="D169" s="335">
        <v>156648</v>
      </c>
      <c r="E169" s="462">
        <v>9</v>
      </c>
      <c r="F169" s="450">
        <f t="shared" si="12"/>
        <v>101427</v>
      </c>
      <c r="G169" s="451">
        <f t="shared" si="13"/>
        <v>69786</v>
      </c>
      <c r="H169" s="463">
        <v>33338</v>
      </c>
      <c r="I169" s="600">
        <v>25385</v>
      </c>
      <c r="J169" s="463">
        <v>7853</v>
      </c>
      <c r="K169" s="487">
        <v>9112</v>
      </c>
      <c r="L169" s="463">
        <v>60236</v>
      </c>
      <c r="M169" s="463"/>
      <c r="N169" s="463"/>
      <c r="O169" s="600">
        <v>35289</v>
      </c>
      <c r="P169" s="459"/>
      <c r="Q169" s="459"/>
      <c r="R169" s="463"/>
      <c r="S169" s="459"/>
      <c r="T169" s="450">
        <f t="shared" si="14"/>
        <v>0</v>
      </c>
      <c r="U169" s="451">
        <f t="shared" si="15"/>
        <v>0</v>
      </c>
      <c r="V169" s="463"/>
      <c r="W169" s="459"/>
      <c r="X169" s="463"/>
      <c r="Y169" s="459"/>
      <c r="Z169" s="463"/>
      <c r="AA169" s="463"/>
      <c r="AB169" s="463"/>
      <c r="AC169" s="459"/>
      <c r="AD169" s="459"/>
      <c r="AE169" s="459"/>
      <c r="AF169" s="463"/>
      <c r="AG169" s="617"/>
    </row>
    <row r="170" spans="1:33">
      <c r="A170" s="335" t="s">
        <v>188</v>
      </c>
      <c r="B170" s="333" t="s">
        <v>204</v>
      </c>
      <c r="C170" s="334" t="s">
        <v>939</v>
      </c>
      <c r="D170" s="335">
        <v>157331</v>
      </c>
      <c r="E170" s="462">
        <v>9</v>
      </c>
      <c r="F170" s="450">
        <f t="shared" si="12"/>
        <v>61990</v>
      </c>
      <c r="G170" s="451">
        <f t="shared" si="13"/>
        <v>40109</v>
      </c>
      <c r="H170" s="463">
        <v>21952</v>
      </c>
      <c r="I170" s="600">
        <v>15305</v>
      </c>
      <c r="J170" s="463">
        <v>5764</v>
      </c>
      <c r="K170" s="600">
        <v>5715</v>
      </c>
      <c r="L170" s="463">
        <v>34274</v>
      </c>
      <c r="M170" s="463"/>
      <c r="N170" s="463"/>
      <c r="O170" s="600">
        <v>19089</v>
      </c>
      <c r="P170" s="459"/>
      <c r="Q170" s="459"/>
      <c r="R170" s="463"/>
      <c r="S170" s="459"/>
      <c r="T170" s="450">
        <f t="shared" si="14"/>
        <v>0</v>
      </c>
      <c r="U170" s="451">
        <f t="shared" si="15"/>
        <v>0</v>
      </c>
      <c r="V170" s="463"/>
      <c r="W170" s="459"/>
      <c r="X170" s="463"/>
      <c r="Y170" s="459"/>
      <c r="Z170" s="463"/>
      <c r="AA170" s="463"/>
      <c r="AB170" s="463"/>
      <c r="AC170" s="459"/>
      <c r="AD170" s="459"/>
      <c r="AE170" s="459"/>
      <c r="AF170" s="463"/>
      <c r="AG170" s="617"/>
    </row>
    <row r="171" spans="1:33">
      <c r="A171" s="335" t="s">
        <v>188</v>
      </c>
      <c r="B171" s="333" t="s">
        <v>205</v>
      </c>
      <c r="C171" s="334"/>
      <c r="D171" s="335">
        <v>247940</v>
      </c>
      <c r="E171" s="462">
        <v>9</v>
      </c>
      <c r="F171" s="450">
        <f t="shared" si="12"/>
        <v>69801</v>
      </c>
      <c r="G171" s="451">
        <f t="shared" si="13"/>
        <v>53205</v>
      </c>
      <c r="H171" s="463">
        <v>38653</v>
      </c>
      <c r="I171" s="600">
        <v>29977</v>
      </c>
      <c r="J171" s="463">
        <v>5337</v>
      </c>
      <c r="K171" s="600">
        <v>5611</v>
      </c>
      <c r="L171" s="463">
        <v>25811</v>
      </c>
      <c r="M171" s="463"/>
      <c r="N171" s="463"/>
      <c r="O171" s="601">
        <v>17617</v>
      </c>
      <c r="P171" s="459"/>
      <c r="Q171" s="459"/>
      <c r="R171" s="463"/>
      <c r="S171" s="459"/>
      <c r="T171" s="450">
        <f t="shared" si="14"/>
        <v>0</v>
      </c>
      <c r="U171" s="451">
        <f t="shared" si="15"/>
        <v>0</v>
      </c>
      <c r="V171" s="463"/>
      <c r="W171" s="459"/>
      <c r="X171" s="463"/>
      <c r="Y171" s="459"/>
      <c r="Z171" s="463"/>
      <c r="AA171" s="463"/>
      <c r="AB171" s="463"/>
      <c r="AC171" s="459"/>
      <c r="AD171" s="459"/>
      <c r="AE171" s="459"/>
      <c r="AF171" s="463"/>
      <c r="AG171" s="617"/>
    </row>
    <row r="172" spans="1:33">
      <c r="A172" s="335" t="s">
        <v>188</v>
      </c>
      <c r="B172" s="333" t="s">
        <v>206</v>
      </c>
      <c r="C172" s="334"/>
      <c r="D172" s="335">
        <v>157711</v>
      </c>
      <c r="E172" s="462">
        <v>9</v>
      </c>
      <c r="F172" s="450">
        <f t="shared" si="12"/>
        <v>93347</v>
      </c>
      <c r="G172" s="451">
        <f t="shared" si="13"/>
        <v>64418</v>
      </c>
      <c r="H172" s="463">
        <v>31662</v>
      </c>
      <c r="I172" s="600">
        <v>26515</v>
      </c>
      <c r="J172" s="463">
        <v>3716</v>
      </c>
      <c r="K172" s="600">
        <v>5800</v>
      </c>
      <c r="L172" s="463">
        <v>57969</v>
      </c>
      <c r="M172" s="463"/>
      <c r="N172" s="463"/>
      <c r="O172" s="600">
        <v>32103</v>
      </c>
      <c r="P172" s="459"/>
      <c r="Q172" s="459"/>
      <c r="R172" s="463"/>
      <c r="S172" s="459"/>
      <c r="T172" s="450">
        <f t="shared" si="14"/>
        <v>0</v>
      </c>
      <c r="U172" s="451">
        <f t="shared" si="15"/>
        <v>0</v>
      </c>
      <c r="V172" s="463"/>
      <c r="W172" s="459"/>
      <c r="X172" s="463"/>
      <c r="Y172" s="459"/>
      <c r="Z172" s="463"/>
      <c r="AA172" s="463"/>
      <c r="AB172" s="463"/>
      <c r="AC172" s="459"/>
      <c r="AD172" s="459"/>
      <c r="AE172" s="459"/>
      <c r="AF172" s="463"/>
      <c r="AG172" s="617"/>
    </row>
    <row r="173" spans="1:33">
      <c r="A173" s="335" t="s">
        <v>188</v>
      </c>
      <c r="B173" s="333" t="s">
        <v>208</v>
      </c>
      <c r="C173" s="334"/>
      <c r="D173" s="335">
        <v>157483</v>
      </c>
      <c r="E173" s="462">
        <v>9</v>
      </c>
      <c r="F173" s="450">
        <f t="shared" si="12"/>
        <v>85823</v>
      </c>
      <c r="G173" s="451">
        <f t="shared" si="13"/>
        <v>58658</v>
      </c>
      <c r="H173" s="463">
        <v>39408</v>
      </c>
      <c r="I173" s="600">
        <v>31720</v>
      </c>
      <c r="J173" s="463">
        <v>6221</v>
      </c>
      <c r="K173" s="600">
        <v>5597</v>
      </c>
      <c r="L173" s="463">
        <v>40194</v>
      </c>
      <c r="M173" s="463"/>
      <c r="N173" s="463"/>
      <c r="O173" s="600">
        <v>21341</v>
      </c>
      <c r="P173" s="459"/>
      <c r="Q173" s="459"/>
      <c r="R173" s="463"/>
      <c r="S173" s="459"/>
      <c r="T173" s="450">
        <f t="shared" si="14"/>
        <v>0</v>
      </c>
      <c r="U173" s="451">
        <f t="shared" si="15"/>
        <v>0</v>
      </c>
      <c r="V173" s="463"/>
      <c r="W173" s="459"/>
      <c r="X173" s="463"/>
      <c r="Y173" s="459"/>
      <c r="Z173" s="463"/>
      <c r="AA173" s="463"/>
      <c r="AB173" s="463"/>
      <c r="AC173" s="459"/>
      <c r="AD173" s="459"/>
      <c r="AE173" s="459"/>
      <c r="AF173" s="463"/>
      <c r="AG173" s="617"/>
    </row>
    <row r="174" spans="1:33">
      <c r="A174" s="335" t="s">
        <v>188</v>
      </c>
      <c r="B174" s="333" t="s">
        <v>199</v>
      </c>
      <c r="C174" s="334"/>
      <c r="D174" s="335">
        <v>156231</v>
      </c>
      <c r="E174" s="462">
        <v>10</v>
      </c>
      <c r="F174" s="450">
        <f t="shared" si="12"/>
        <v>53177</v>
      </c>
      <c r="G174" s="451">
        <f t="shared" si="13"/>
        <v>38558</v>
      </c>
      <c r="H174" s="463">
        <v>26653</v>
      </c>
      <c r="I174" s="600">
        <v>20961</v>
      </c>
      <c r="J174" s="463">
        <v>2324</v>
      </c>
      <c r="K174" s="600">
        <v>2992</v>
      </c>
      <c r="L174" s="463">
        <v>24200</v>
      </c>
      <c r="M174" s="463"/>
      <c r="N174" s="463"/>
      <c r="O174" s="600">
        <v>14605</v>
      </c>
      <c r="P174" s="459"/>
      <c r="Q174" s="459"/>
      <c r="R174" s="463"/>
      <c r="S174" s="459"/>
      <c r="T174" s="450">
        <f t="shared" si="14"/>
        <v>0</v>
      </c>
      <c r="U174" s="451">
        <f t="shared" si="15"/>
        <v>0</v>
      </c>
      <c r="V174" s="463"/>
      <c r="W174" s="459"/>
      <c r="X174" s="463"/>
      <c r="Y174" s="459"/>
      <c r="Z174" s="463"/>
      <c r="AA174" s="463"/>
      <c r="AB174" s="463"/>
      <c r="AC174" s="459"/>
      <c r="AD174" s="459"/>
      <c r="AE174" s="459"/>
      <c r="AF174" s="463"/>
      <c r="AG174" s="617"/>
    </row>
    <row r="175" spans="1:33">
      <c r="A175" s="335" t="s">
        <v>188</v>
      </c>
      <c r="B175" s="333" t="s">
        <v>209</v>
      </c>
      <c r="C175" s="336"/>
      <c r="D175" s="335">
        <v>156790</v>
      </c>
      <c r="E175" s="462">
        <v>10</v>
      </c>
      <c r="F175" s="450">
        <f t="shared" si="12"/>
        <v>51470</v>
      </c>
      <c r="G175" s="451">
        <f t="shared" si="13"/>
        <v>36729</v>
      </c>
      <c r="H175" s="463">
        <v>14846</v>
      </c>
      <c r="I175" s="600">
        <v>12961</v>
      </c>
      <c r="J175" s="463">
        <v>3371</v>
      </c>
      <c r="K175" s="600">
        <v>3514</v>
      </c>
      <c r="L175" s="463">
        <v>33253</v>
      </c>
      <c r="M175" s="463"/>
      <c r="N175" s="463"/>
      <c r="O175" s="600">
        <v>20254</v>
      </c>
      <c r="P175" s="459"/>
      <c r="Q175" s="459"/>
      <c r="R175" s="463"/>
      <c r="S175" s="459"/>
      <c r="T175" s="450">
        <f t="shared" si="14"/>
        <v>0</v>
      </c>
      <c r="U175" s="451">
        <f t="shared" si="15"/>
        <v>0</v>
      </c>
      <c r="V175" s="463"/>
      <c r="W175" s="459"/>
      <c r="X175" s="463"/>
      <c r="Y175" s="459"/>
      <c r="Z175" s="463"/>
      <c r="AA175" s="463"/>
      <c r="AB175" s="463"/>
      <c r="AC175" s="459"/>
      <c r="AD175" s="459"/>
      <c r="AE175" s="459"/>
      <c r="AF175" s="463"/>
      <c r="AG175" s="617"/>
    </row>
    <row r="176" spans="1:33">
      <c r="A176" s="335" t="s">
        <v>188</v>
      </c>
      <c r="B176" s="333" t="s">
        <v>210</v>
      </c>
      <c r="C176" s="334"/>
      <c r="D176" s="335">
        <v>156851</v>
      </c>
      <c r="E176" s="462">
        <v>10</v>
      </c>
      <c r="F176" s="450">
        <f t="shared" si="12"/>
        <v>23278</v>
      </c>
      <c r="G176" s="451">
        <f t="shared" si="13"/>
        <v>15653</v>
      </c>
      <c r="H176" s="463">
        <v>8879</v>
      </c>
      <c r="I176" s="600">
        <v>6703</v>
      </c>
      <c r="J176" s="463">
        <v>2276</v>
      </c>
      <c r="K176" s="600">
        <v>2554</v>
      </c>
      <c r="L176" s="463">
        <v>12123</v>
      </c>
      <c r="M176" s="463"/>
      <c r="N176" s="463"/>
      <c r="O176" s="600">
        <v>6396</v>
      </c>
      <c r="P176" s="459"/>
      <c r="Q176" s="459"/>
      <c r="R176" s="463"/>
      <c r="S176" s="459"/>
      <c r="T176" s="450">
        <f t="shared" si="14"/>
        <v>0</v>
      </c>
      <c r="U176" s="451">
        <f t="shared" si="15"/>
        <v>0</v>
      </c>
      <c r="V176" s="463"/>
      <c r="W176" s="459"/>
      <c r="X176" s="463"/>
      <c r="Y176" s="459"/>
      <c r="Z176" s="463"/>
      <c r="AA176" s="463"/>
      <c r="AB176" s="463"/>
      <c r="AC176" s="459"/>
      <c r="AD176" s="459"/>
      <c r="AE176" s="459"/>
      <c r="AF176" s="463"/>
      <c r="AG176" s="617"/>
    </row>
    <row r="177" spans="1:33">
      <c r="A177" s="335" t="s">
        <v>188</v>
      </c>
      <c r="B177" s="333" t="s">
        <v>202</v>
      </c>
      <c r="C177" s="336"/>
      <c r="D177" s="335">
        <v>156860</v>
      </c>
      <c r="E177" s="462">
        <v>10</v>
      </c>
      <c r="F177" s="450">
        <f t="shared" si="12"/>
        <v>41109</v>
      </c>
      <c r="G177" s="451">
        <f t="shared" si="13"/>
        <v>25798</v>
      </c>
      <c r="H177" s="463">
        <v>18385</v>
      </c>
      <c r="I177" s="600">
        <v>12744</v>
      </c>
      <c r="J177" s="463">
        <v>1000</v>
      </c>
      <c r="K177" s="487">
        <v>949</v>
      </c>
      <c r="L177" s="463">
        <v>21724</v>
      </c>
      <c r="M177" s="463"/>
      <c r="N177" s="463"/>
      <c r="O177" s="600">
        <v>12105</v>
      </c>
      <c r="P177" s="459"/>
      <c r="Q177" s="459"/>
      <c r="R177" s="463"/>
      <c r="S177" s="459"/>
      <c r="T177" s="450">
        <f t="shared" si="14"/>
        <v>0</v>
      </c>
      <c r="U177" s="451">
        <f t="shared" si="15"/>
        <v>0</v>
      </c>
      <c r="V177" s="463"/>
      <c r="W177" s="459"/>
      <c r="X177" s="463"/>
      <c r="Y177" s="459"/>
      <c r="Z177" s="463"/>
      <c r="AA177" s="463"/>
      <c r="AB177" s="463"/>
      <c r="AC177" s="459"/>
      <c r="AD177" s="459"/>
      <c r="AE177" s="459"/>
      <c r="AF177" s="463"/>
      <c r="AG177" s="617"/>
    </row>
    <row r="178" spans="1:33">
      <c r="A178" s="335" t="s">
        <v>188</v>
      </c>
      <c r="B178" s="333" t="s">
        <v>203</v>
      </c>
      <c r="C178" s="336"/>
      <c r="D178" s="335">
        <v>157304</v>
      </c>
      <c r="E178" s="462">
        <v>10</v>
      </c>
      <c r="F178" s="450">
        <f t="shared" si="12"/>
        <v>52740</v>
      </c>
      <c r="G178" s="451">
        <f t="shared" si="13"/>
        <v>37591</v>
      </c>
      <c r="H178" s="463">
        <v>19536</v>
      </c>
      <c r="I178" s="600">
        <v>15621</v>
      </c>
      <c r="J178" s="463">
        <v>6726</v>
      </c>
      <c r="K178" s="600">
        <v>5226</v>
      </c>
      <c r="L178" s="463">
        <v>26478</v>
      </c>
      <c r="M178" s="463"/>
      <c r="N178" s="463"/>
      <c r="O178" s="600">
        <v>16744</v>
      </c>
      <c r="P178" s="459"/>
      <c r="Q178" s="459"/>
      <c r="R178" s="463"/>
      <c r="S178" s="459"/>
      <c r="T178" s="450">
        <f t="shared" si="14"/>
        <v>0</v>
      </c>
      <c r="U178" s="451">
        <f t="shared" si="15"/>
        <v>0</v>
      </c>
      <c r="V178" s="463"/>
      <c r="W178" s="459"/>
      <c r="X178" s="463"/>
      <c r="Y178" s="459"/>
      <c r="Z178" s="463"/>
      <c r="AA178" s="463"/>
      <c r="AB178" s="463"/>
      <c r="AC178" s="459"/>
      <c r="AD178" s="459"/>
      <c r="AE178" s="459"/>
      <c r="AF178" s="463"/>
      <c r="AG178" s="617"/>
    </row>
    <row r="179" spans="1:33">
      <c r="A179" s="357" t="s">
        <v>188</v>
      </c>
      <c r="B179" s="333" t="s">
        <v>207</v>
      </c>
      <c r="C179" s="336"/>
      <c r="D179" s="335">
        <v>157739</v>
      </c>
      <c r="E179" s="462">
        <v>10</v>
      </c>
      <c r="F179" s="450">
        <f t="shared" si="12"/>
        <v>47904</v>
      </c>
      <c r="G179" s="451">
        <f t="shared" si="13"/>
        <v>33983</v>
      </c>
      <c r="H179" s="463">
        <v>20236</v>
      </c>
      <c r="I179" s="600">
        <v>13521</v>
      </c>
      <c r="J179" s="463"/>
      <c r="K179" s="479">
        <v>5099</v>
      </c>
      <c r="L179" s="463">
        <v>27668</v>
      </c>
      <c r="M179" s="463"/>
      <c r="N179" s="463"/>
      <c r="O179" s="600">
        <v>15363</v>
      </c>
      <c r="P179" s="459"/>
      <c r="Q179" s="459"/>
      <c r="R179" s="463"/>
      <c r="S179" s="459"/>
      <c r="T179" s="450">
        <f t="shared" si="14"/>
        <v>0</v>
      </c>
      <c r="U179" s="451">
        <f t="shared" si="15"/>
        <v>0</v>
      </c>
      <c r="V179" s="463"/>
      <c r="W179" s="459"/>
      <c r="X179" s="463"/>
      <c r="Y179" s="459"/>
      <c r="Z179" s="463"/>
      <c r="AA179" s="463"/>
      <c r="AB179" s="463"/>
      <c r="AC179" s="459"/>
      <c r="AD179" s="459"/>
      <c r="AE179" s="459"/>
      <c r="AF179" s="463"/>
      <c r="AG179" s="617"/>
    </row>
    <row r="180" spans="1:33">
      <c r="A180" s="335" t="s">
        <v>188</v>
      </c>
      <c r="B180" s="333" t="s">
        <v>211</v>
      </c>
      <c r="C180" s="334"/>
      <c r="D180" s="335">
        <v>157438</v>
      </c>
      <c r="E180" s="462">
        <v>12</v>
      </c>
      <c r="F180" s="450">
        <f t="shared" si="12"/>
        <v>74313</v>
      </c>
      <c r="G180" s="451">
        <f t="shared" si="13"/>
        <v>71155</v>
      </c>
      <c r="H180" s="463">
        <v>37068</v>
      </c>
      <c r="I180" s="600">
        <v>29253</v>
      </c>
      <c r="J180" s="463">
        <v>4465</v>
      </c>
      <c r="K180" s="600">
        <v>5597</v>
      </c>
      <c r="L180" s="463">
        <v>32780</v>
      </c>
      <c r="M180" s="463"/>
      <c r="N180" s="463"/>
      <c r="O180" s="600">
        <v>36305</v>
      </c>
      <c r="P180" s="459"/>
      <c r="Q180" s="459"/>
      <c r="R180" s="463"/>
      <c r="S180" s="459"/>
      <c r="T180" s="450">
        <f t="shared" si="14"/>
        <v>0</v>
      </c>
      <c r="U180" s="451">
        <f t="shared" si="15"/>
        <v>0</v>
      </c>
      <c r="V180" s="463"/>
      <c r="W180" s="459"/>
      <c r="X180" s="463"/>
      <c r="Y180" s="459"/>
      <c r="Z180" s="463"/>
      <c r="AA180" s="463"/>
      <c r="AB180" s="463"/>
      <c r="AC180" s="459"/>
      <c r="AD180" s="459"/>
      <c r="AE180" s="459"/>
      <c r="AF180" s="463"/>
      <c r="AG180" s="617"/>
    </row>
    <row r="181" spans="1:33">
      <c r="A181" s="335" t="s">
        <v>188</v>
      </c>
      <c r="B181" s="333" t="s">
        <v>212</v>
      </c>
      <c r="C181" s="334"/>
      <c r="D181" s="335">
        <v>156338</v>
      </c>
      <c r="E181" s="462">
        <v>12</v>
      </c>
      <c r="F181" s="450">
        <f t="shared" si="12"/>
        <v>76907</v>
      </c>
      <c r="G181" s="451">
        <f t="shared" si="13"/>
        <v>58646</v>
      </c>
      <c r="H181" s="463">
        <v>38862</v>
      </c>
      <c r="I181" s="600">
        <v>29223</v>
      </c>
      <c r="J181" s="463">
        <v>4922</v>
      </c>
      <c r="K181" s="600">
        <v>6288</v>
      </c>
      <c r="L181" s="463">
        <v>33123</v>
      </c>
      <c r="M181" s="463"/>
      <c r="N181" s="463"/>
      <c r="O181" s="600">
        <v>23135</v>
      </c>
      <c r="P181" s="459"/>
      <c r="Q181" s="459"/>
      <c r="R181" s="463"/>
      <c r="S181" s="459"/>
      <c r="T181" s="450">
        <f t="shared" si="14"/>
        <v>0</v>
      </c>
      <c r="U181" s="451">
        <f t="shared" si="15"/>
        <v>0</v>
      </c>
      <c r="V181" s="463"/>
      <c r="W181" s="459"/>
      <c r="X181" s="463"/>
      <c r="Y181" s="459"/>
      <c r="Z181" s="463"/>
      <c r="AA181" s="463"/>
      <c r="AB181" s="463"/>
      <c r="AC181" s="459"/>
      <c r="AD181" s="459"/>
      <c r="AE181" s="459"/>
      <c r="AF181" s="463"/>
      <c r="AG181" s="617"/>
    </row>
    <row r="182" spans="1:33" s="14" customFormat="1" ht="13.5" customHeight="1">
      <c r="A182" s="416" t="s">
        <v>213</v>
      </c>
      <c r="B182" s="358" t="s">
        <v>214</v>
      </c>
      <c r="C182" s="526"/>
      <c r="D182" s="527">
        <v>159391</v>
      </c>
      <c r="E182" s="528">
        <v>1</v>
      </c>
      <c r="F182" s="450">
        <f t="shared" si="12"/>
        <v>745363</v>
      </c>
      <c r="G182" s="451">
        <f t="shared" si="13"/>
        <v>790236</v>
      </c>
      <c r="H182" s="452">
        <v>501083.59011700301</v>
      </c>
      <c r="I182" s="453">
        <v>506723.40622391802</v>
      </c>
      <c r="J182" s="452"/>
      <c r="K182" s="453"/>
      <c r="L182" s="452">
        <v>244279.40988299699</v>
      </c>
      <c r="M182" s="452"/>
      <c r="N182" s="452"/>
      <c r="O182" s="453">
        <v>283512.59377608198</v>
      </c>
      <c r="P182" s="453"/>
      <c r="Q182" s="453"/>
      <c r="R182" s="452"/>
      <c r="S182" s="453"/>
      <c r="T182" s="450">
        <f t="shared" si="14"/>
        <v>150237.00000000041</v>
      </c>
      <c r="U182" s="451">
        <f t="shared" si="15"/>
        <v>161972.49999999959</v>
      </c>
      <c r="V182" s="452">
        <v>121840.755434783</v>
      </c>
      <c r="W182" s="453">
        <v>128587.419198761</v>
      </c>
      <c r="X182" s="452"/>
      <c r="Y182" s="453"/>
      <c r="Z182" s="452">
        <v>28396.244565217399</v>
      </c>
      <c r="AA182" s="452"/>
      <c r="AB182" s="452"/>
      <c r="AC182" s="453">
        <v>33385.080801238597</v>
      </c>
      <c r="AD182" s="453"/>
      <c r="AE182" s="453"/>
      <c r="AF182" s="452"/>
      <c r="AG182" s="616"/>
    </row>
    <row r="183" spans="1:33">
      <c r="A183" s="416" t="s">
        <v>213</v>
      </c>
      <c r="B183" s="358" t="s">
        <v>215</v>
      </c>
      <c r="C183" s="526"/>
      <c r="D183" s="527">
        <v>159647</v>
      </c>
      <c r="E183" s="528">
        <v>2</v>
      </c>
      <c r="F183" s="450">
        <f t="shared" si="12"/>
        <v>262612.00000000012</v>
      </c>
      <c r="G183" s="451">
        <f t="shared" si="13"/>
        <v>256479</v>
      </c>
      <c r="H183" s="452">
        <v>194112.42158671599</v>
      </c>
      <c r="I183" s="453">
        <v>153756.69492703301</v>
      </c>
      <c r="J183" s="452"/>
      <c r="K183" s="453"/>
      <c r="L183" s="452">
        <v>68499.578413284107</v>
      </c>
      <c r="M183" s="452"/>
      <c r="N183" s="452"/>
      <c r="O183" s="453">
        <v>102722.30507296701</v>
      </c>
      <c r="P183" s="453"/>
      <c r="Q183" s="453"/>
      <c r="R183" s="452"/>
      <c r="S183" s="453"/>
      <c r="T183" s="450">
        <f t="shared" si="14"/>
        <v>22088</v>
      </c>
      <c r="U183" s="451">
        <f t="shared" si="15"/>
        <v>20503</v>
      </c>
      <c r="V183" s="452">
        <v>14242.4137235116</v>
      </c>
      <c r="W183" s="453">
        <v>11116.084337349401</v>
      </c>
      <c r="X183" s="452"/>
      <c r="Y183" s="453"/>
      <c r="Z183" s="452">
        <v>7845.5862764883996</v>
      </c>
      <c r="AA183" s="452"/>
      <c r="AB183" s="452"/>
      <c r="AC183" s="453">
        <v>9386.9156626505992</v>
      </c>
      <c r="AD183" s="453"/>
      <c r="AE183" s="453"/>
      <c r="AF183" s="452"/>
      <c r="AG183" s="616"/>
    </row>
    <row r="184" spans="1:33">
      <c r="A184" s="416" t="s">
        <v>213</v>
      </c>
      <c r="B184" s="358" t="s">
        <v>216</v>
      </c>
      <c r="C184" s="526"/>
      <c r="D184" s="527">
        <v>160658</v>
      </c>
      <c r="E184" s="528">
        <v>2</v>
      </c>
      <c r="F184" s="450">
        <f t="shared" si="12"/>
        <v>368365.99999999983</v>
      </c>
      <c r="G184" s="451">
        <f t="shared" si="13"/>
        <v>349428.00000000017</v>
      </c>
      <c r="H184" s="452">
        <v>302142.14345683501</v>
      </c>
      <c r="I184" s="453">
        <v>279811.14154916699</v>
      </c>
      <c r="J184" s="452"/>
      <c r="K184" s="453"/>
      <c r="L184" s="452">
        <v>66223.856543164802</v>
      </c>
      <c r="M184" s="452"/>
      <c r="N184" s="452"/>
      <c r="O184" s="453">
        <v>69616.858450833199</v>
      </c>
      <c r="P184" s="453"/>
      <c r="Q184" s="453"/>
      <c r="R184" s="452"/>
      <c r="S184" s="453"/>
      <c r="T184" s="450">
        <f t="shared" si="14"/>
        <v>40954.999999999971</v>
      </c>
      <c r="U184" s="451">
        <f t="shared" si="15"/>
        <v>42489.000000000029</v>
      </c>
      <c r="V184" s="452">
        <v>33499.287507846799</v>
      </c>
      <c r="W184" s="453">
        <v>34408.768985322298</v>
      </c>
      <c r="X184" s="452"/>
      <c r="Y184" s="453"/>
      <c r="Z184" s="452">
        <v>7455.7124921531704</v>
      </c>
      <c r="AA184" s="452"/>
      <c r="AB184" s="452"/>
      <c r="AC184" s="453">
        <v>8080.2310146777299</v>
      </c>
      <c r="AD184" s="453"/>
      <c r="AE184" s="453"/>
      <c r="AF184" s="452"/>
      <c r="AG184" s="616"/>
    </row>
    <row r="185" spans="1:33">
      <c r="A185" s="416" t="s">
        <v>213</v>
      </c>
      <c r="B185" s="358" t="s">
        <v>217</v>
      </c>
      <c r="C185" s="526"/>
      <c r="D185" s="527">
        <v>159939</v>
      </c>
      <c r="E185" s="528">
        <v>2</v>
      </c>
      <c r="F185" s="450">
        <f t="shared" si="12"/>
        <v>164434</v>
      </c>
      <c r="G185" s="451">
        <f t="shared" si="13"/>
        <v>156497.00000000052</v>
      </c>
      <c r="H185" s="452">
        <v>76731.460610932496</v>
      </c>
      <c r="I185" s="453">
        <v>53266.565476190503</v>
      </c>
      <c r="J185" s="452"/>
      <c r="K185" s="453"/>
      <c r="L185" s="452">
        <v>87702.539389067504</v>
      </c>
      <c r="M185" s="452"/>
      <c r="N185" s="452"/>
      <c r="O185" s="453">
        <v>103230.43452381001</v>
      </c>
      <c r="P185" s="453"/>
      <c r="Q185" s="453"/>
      <c r="R185" s="452"/>
      <c r="S185" s="453"/>
      <c r="T185" s="450">
        <f t="shared" si="14"/>
        <v>23104</v>
      </c>
      <c r="U185" s="451">
        <f t="shared" si="15"/>
        <v>21759.999999999978</v>
      </c>
      <c r="V185" s="452">
        <v>13190.0500463392</v>
      </c>
      <c r="W185" s="453">
        <v>8777.9193205944794</v>
      </c>
      <c r="X185" s="452"/>
      <c r="Y185" s="453"/>
      <c r="Z185" s="452">
        <v>9913.9499536608</v>
      </c>
      <c r="AA185" s="452"/>
      <c r="AB185" s="452"/>
      <c r="AC185" s="453">
        <v>12982.080679405501</v>
      </c>
      <c r="AD185" s="453"/>
      <c r="AE185" s="453"/>
      <c r="AF185" s="452"/>
      <c r="AG185" s="616"/>
    </row>
    <row r="186" spans="1:33">
      <c r="A186" s="416" t="s">
        <v>213</v>
      </c>
      <c r="B186" s="358" t="s">
        <v>223</v>
      </c>
      <c r="C186" s="529"/>
      <c r="D186" s="527">
        <v>159717</v>
      </c>
      <c r="E186" s="528">
        <v>3</v>
      </c>
      <c r="F186" s="450">
        <f t="shared" si="12"/>
        <v>178508.00000000012</v>
      </c>
      <c r="G186" s="451">
        <f t="shared" si="13"/>
        <v>161657.00000000041</v>
      </c>
      <c r="H186" s="452">
        <v>66258.698611111104</v>
      </c>
      <c r="I186" s="453">
        <v>51971.8583055864</v>
      </c>
      <c r="J186" s="452"/>
      <c r="K186" s="453"/>
      <c r="L186" s="452">
        <v>112249.301388889</v>
      </c>
      <c r="M186" s="452"/>
      <c r="N186" s="452"/>
      <c r="O186" s="453">
        <v>109685.14169441399</v>
      </c>
      <c r="P186" s="453"/>
      <c r="Q186" s="453"/>
      <c r="R186" s="452"/>
      <c r="S186" s="453"/>
      <c r="T186" s="450">
        <f t="shared" si="14"/>
        <v>10794</v>
      </c>
      <c r="U186" s="451">
        <f t="shared" si="15"/>
        <v>9691</v>
      </c>
      <c r="V186" s="452">
        <v>2132.1481481481501</v>
      </c>
      <c r="W186" s="453">
        <v>1697.04147465438</v>
      </c>
      <c r="X186" s="452"/>
      <c r="Y186" s="453"/>
      <c r="Z186" s="452">
        <v>8661.8518518518504</v>
      </c>
      <c r="AA186" s="452"/>
      <c r="AB186" s="452"/>
      <c r="AC186" s="453">
        <v>7993.9585253456198</v>
      </c>
      <c r="AD186" s="453"/>
      <c r="AE186" s="453"/>
      <c r="AF186" s="452"/>
      <c r="AG186" s="616"/>
    </row>
    <row r="187" spans="1:33">
      <c r="A187" s="416" t="s">
        <v>213</v>
      </c>
      <c r="B187" s="358" t="s">
        <v>218</v>
      </c>
      <c r="C187" s="526"/>
      <c r="D187" s="527">
        <v>160612</v>
      </c>
      <c r="E187" s="528">
        <v>3</v>
      </c>
      <c r="F187" s="450">
        <f t="shared" si="12"/>
        <v>328315.99999999971</v>
      </c>
      <c r="G187" s="451">
        <f t="shared" si="13"/>
        <v>305952.99999999971</v>
      </c>
      <c r="H187" s="452">
        <v>233604.85630926301</v>
      </c>
      <c r="I187" s="453">
        <v>304716.37203747901</v>
      </c>
      <c r="J187" s="452"/>
      <c r="K187" s="453"/>
      <c r="L187" s="452">
        <v>94711.143690736702</v>
      </c>
      <c r="M187" s="452"/>
      <c r="N187" s="452"/>
      <c r="O187" s="453">
        <v>1236.6279625206701</v>
      </c>
      <c r="P187" s="453"/>
      <c r="Q187" s="453"/>
      <c r="R187" s="452"/>
      <c r="S187" s="453"/>
      <c r="T187" s="450">
        <f t="shared" si="14"/>
        <v>16550</v>
      </c>
      <c r="U187" s="451">
        <f t="shared" si="15"/>
        <v>17191.999999999975</v>
      </c>
      <c r="V187" s="452">
        <v>8226.94541231127</v>
      </c>
      <c r="W187" s="453">
        <v>17036.2400906002</v>
      </c>
      <c r="X187" s="452"/>
      <c r="Y187" s="453"/>
      <c r="Z187" s="452">
        <v>8323.05458768873</v>
      </c>
      <c r="AA187" s="452"/>
      <c r="AB187" s="452"/>
      <c r="AC187" s="453">
        <v>155.75990939977399</v>
      </c>
      <c r="AD187" s="453"/>
      <c r="AE187" s="453"/>
      <c r="AF187" s="452"/>
      <c r="AG187" s="616"/>
    </row>
    <row r="188" spans="1:33">
      <c r="A188" s="416" t="s">
        <v>213</v>
      </c>
      <c r="B188" s="358" t="s">
        <v>219</v>
      </c>
      <c r="C188" s="526"/>
      <c r="D188" s="527">
        <v>160621</v>
      </c>
      <c r="E188" s="528">
        <v>3</v>
      </c>
      <c r="F188" s="450">
        <f t="shared" si="12"/>
        <v>156947.99999999951</v>
      </c>
      <c r="G188" s="451">
        <f t="shared" si="13"/>
        <v>161584.00000000029</v>
      </c>
      <c r="H188" s="452">
        <v>116807.562167906</v>
      </c>
      <c r="I188" s="453">
        <v>125867.125124461</v>
      </c>
      <c r="J188" s="452"/>
      <c r="K188" s="453"/>
      <c r="L188" s="452">
        <v>40140.437832093499</v>
      </c>
      <c r="M188" s="452"/>
      <c r="N188" s="452"/>
      <c r="O188" s="453">
        <v>35716.874875539303</v>
      </c>
      <c r="P188" s="453"/>
      <c r="Q188" s="453"/>
      <c r="R188" s="452"/>
      <c r="S188" s="453"/>
      <c r="T188" s="450">
        <f t="shared" si="14"/>
        <v>14822.99999999998</v>
      </c>
      <c r="U188" s="451">
        <f t="shared" si="15"/>
        <v>27955</v>
      </c>
      <c r="V188" s="452">
        <v>10594.2162162162</v>
      </c>
      <c r="W188" s="453">
        <v>22562.106299212599</v>
      </c>
      <c r="X188" s="452"/>
      <c r="Y188" s="453"/>
      <c r="Z188" s="452">
        <v>4228.7837837837797</v>
      </c>
      <c r="AA188" s="452"/>
      <c r="AB188" s="452"/>
      <c r="AC188" s="453">
        <v>5392.8937007874001</v>
      </c>
      <c r="AD188" s="453"/>
      <c r="AE188" s="453"/>
      <c r="AF188" s="452"/>
      <c r="AG188" s="616"/>
    </row>
    <row r="189" spans="1:33">
      <c r="A189" s="416" t="s">
        <v>213</v>
      </c>
      <c r="B189" s="358" t="s">
        <v>220</v>
      </c>
      <c r="C189" s="526"/>
      <c r="D189" s="527">
        <v>159993</v>
      </c>
      <c r="E189" s="528">
        <v>3</v>
      </c>
      <c r="F189" s="450">
        <f t="shared" si="12"/>
        <v>175676</v>
      </c>
      <c r="G189" s="451">
        <f t="shared" si="13"/>
        <v>166942</v>
      </c>
      <c r="H189" s="452">
        <v>87344.343199700306</v>
      </c>
      <c r="I189" s="453">
        <v>74827.460934579402</v>
      </c>
      <c r="J189" s="452"/>
      <c r="K189" s="453"/>
      <c r="L189" s="452">
        <v>88331.656800299694</v>
      </c>
      <c r="M189" s="452"/>
      <c r="N189" s="452"/>
      <c r="O189" s="453">
        <v>92114.539065420598</v>
      </c>
      <c r="P189" s="453"/>
      <c r="Q189" s="453"/>
      <c r="R189" s="452"/>
      <c r="S189" s="453"/>
      <c r="T189" s="450">
        <f t="shared" si="14"/>
        <v>42331</v>
      </c>
      <c r="U189" s="451">
        <f t="shared" si="15"/>
        <v>44235</v>
      </c>
      <c r="V189" s="452">
        <v>13033.9556171983</v>
      </c>
      <c r="W189" s="453">
        <v>12601.529894490001</v>
      </c>
      <c r="X189" s="452"/>
      <c r="Y189" s="453"/>
      <c r="Z189" s="452">
        <v>29297.044382801701</v>
      </c>
      <c r="AA189" s="452"/>
      <c r="AB189" s="452"/>
      <c r="AC189" s="453">
        <v>31633.470105510001</v>
      </c>
      <c r="AD189" s="453"/>
      <c r="AE189" s="453"/>
      <c r="AF189" s="452"/>
      <c r="AG189" s="616"/>
    </row>
    <row r="190" spans="1:33">
      <c r="A190" s="416" t="s">
        <v>213</v>
      </c>
      <c r="B190" s="358" t="s">
        <v>221</v>
      </c>
      <c r="C190" s="526"/>
      <c r="D190" s="527">
        <v>159009</v>
      </c>
      <c r="E190" s="528">
        <v>4</v>
      </c>
      <c r="F190" s="450">
        <f t="shared" si="12"/>
        <v>126302</v>
      </c>
      <c r="G190" s="451">
        <f t="shared" si="13"/>
        <v>130098.00000000031</v>
      </c>
      <c r="H190" s="452">
        <v>50091.064327485401</v>
      </c>
      <c r="I190" s="453">
        <v>21462.195519348301</v>
      </c>
      <c r="J190" s="452"/>
      <c r="K190" s="453"/>
      <c r="L190" s="452">
        <v>76210.935672514606</v>
      </c>
      <c r="M190" s="452"/>
      <c r="N190" s="452"/>
      <c r="O190" s="453">
        <v>108635.804480652</v>
      </c>
      <c r="P190" s="453"/>
      <c r="Q190" s="453"/>
      <c r="R190" s="452"/>
      <c r="S190" s="453"/>
      <c r="T190" s="450">
        <f t="shared" si="14"/>
        <v>16346</v>
      </c>
      <c r="U190" s="451">
        <f t="shared" si="15"/>
        <v>14659.99999999996</v>
      </c>
      <c r="V190" s="452">
        <v>3887.4441260745002</v>
      </c>
      <c r="W190" s="453">
        <v>2389.71786833856</v>
      </c>
      <c r="X190" s="452"/>
      <c r="Y190" s="453"/>
      <c r="Z190" s="452">
        <v>12458.555873925499</v>
      </c>
      <c r="AA190" s="452"/>
      <c r="AB190" s="452"/>
      <c r="AC190" s="453">
        <v>12270.282131661401</v>
      </c>
      <c r="AD190" s="453"/>
      <c r="AE190" s="453"/>
      <c r="AF190" s="452"/>
      <c r="AG190" s="616"/>
    </row>
    <row r="191" spans="1:33">
      <c r="A191" s="416" t="s">
        <v>213</v>
      </c>
      <c r="B191" s="358" t="s">
        <v>222</v>
      </c>
      <c r="C191" s="526"/>
      <c r="D191" s="527">
        <v>159416</v>
      </c>
      <c r="E191" s="528">
        <v>4</v>
      </c>
      <c r="F191" s="450">
        <f t="shared" si="12"/>
        <v>60666</v>
      </c>
      <c r="G191" s="451">
        <f t="shared" si="13"/>
        <v>58816</v>
      </c>
      <c r="H191" s="452">
        <v>39179.236823612096</v>
      </c>
      <c r="I191" s="453">
        <v>30130.301754386001</v>
      </c>
      <c r="J191" s="452"/>
      <c r="K191" s="453"/>
      <c r="L191" s="452">
        <v>21486.7631763879</v>
      </c>
      <c r="M191" s="452"/>
      <c r="N191" s="452"/>
      <c r="O191" s="453">
        <v>28685.698245613999</v>
      </c>
      <c r="P191" s="453"/>
      <c r="Q191" s="453"/>
      <c r="R191" s="452"/>
      <c r="S191" s="453"/>
      <c r="T191" s="450">
        <f t="shared" si="14"/>
        <v>124502</v>
      </c>
      <c r="U191" s="451">
        <f t="shared" si="15"/>
        <v>124764.99999999959</v>
      </c>
      <c r="V191" s="452">
        <v>28531.708333333299</v>
      </c>
      <c r="W191" s="453">
        <v>21345.3373493976</v>
      </c>
      <c r="X191" s="452"/>
      <c r="Y191" s="453"/>
      <c r="Z191" s="452">
        <v>95970.291666666701</v>
      </c>
      <c r="AA191" s="452"/>
      <c r="AB191" s="452"/>
      <c r="AC191" s="453">
        <v>103419.662650602</v>
      </c>
      <c r="AD191" s="453"/>
      <c r="AE191" s="453"/>
      <c r="AF191" s="452"/>
      <c r="AG191" s="616"/>
    </row>
    <row r="192" spans="1:33">
      <c r="A192" s="416" t="s">
        <v>213</v>
      </c>
      <c r="B192" s="358" t="s">
        <v>224</v>
      </c>
      <c r="C192" s="526"/>
      <c r="D192" s="527">
        <v>159966</v>
      </c>
      <c r="E192" s="528">
        <v>4</v>
      </c>
      <c r="F192" s="450">
        <f t="shared" si="12"/>
        <v>161193</v>
      </c>
      <c r="G192" s="451">
        <f t="shared" si="13"/>
        <v>153048</v>
      </c>
      <c r="H192" s="452">
        <v>72972.506756756804</v>
      </c>
      <c r="I192" s="453">
        <v>81272.636233951504</v>
      </c>
      <c r="J192" s="452"/>
      <c r="K192" s="453"/>
      <c r="L192" s="452">
        <v>88220.493243243196</v>
      </c>
      <c r="M192" s="452"/>
      <c r="N192" s="452"/>
      <c r="O192" s="453">
        <v>71775.363766048496</v>
      </c>
      <c r="P192" s="453"/>
      <c r="Q192" s="453"/>
      <c r="R192" s="452"/>
      <c r="S192" s="453"/>
      <c r="T192" s="450">
        <f t="shared" si="14"/>
        <v>11513</v>
      </c>
      <c r="U192" s="451">
        <f t="shared" si="15"/>
        <v>11386</v>
      </c>
      <c r="V192" s="452">
        <v>3259.7048192771099</v>
      </c>
      <c r="W192" s="453">
        <v>3271.8390804597698</v>
      </c>
      <c r="X192" s="452"/>
      <c r="Y192" s="453"/>
      <c r="Z192" s="452">
        <v>8253.2951807228892</v>
      </c>
      <c r="AA192" s="452"/>
      <c r="AB192" s="452"/>
      <c r="AC192" s="453">
        <v>8114.1609195402298</v>
      </c>
      <c r="AD192" s="453"/>
      <c r="AE192" s="453"/>
      <c r="AF192" s="452"/>
      <c r="AG192" s="616"/>
    </row>
    <row r="193" spans="1:33">
      <c r="A193" s="416" t="s">
        <v>213</v>
      </c>
      <c r="B193" s="358" t="s">
        <v>225</v>
      </c>
      <c r="C193" s="526"/>
      <c r="D193" s="527">
        <v>160038</v>
      </c>
      <c r="E193" s="528">
        <v>4</v>
      </c>
      <c r="F193" s="450">
        <f t="shared" si="12"/>
        <v>238814</v>
      </c>
      <c r="G193" s="451">
        <f t="shared" si="13"/>
        <v>226429.9999999998</v>
      </c>
      <c r="H193" s="452">
        <v>137393.98449920499</v>
      </c>
      <c r="I193" s="453">
        <v>132276.00447336299</v>
      </c>
      <c r="J193" s="452"/>
      <c r="K193" s="453"/>
      <c r="L193" s="452">
        <v>101420.01550079499</v>
      </c>
      <c r="M193" s="452"/>
      <c r="N193" s="452"/>
      <c r="O193" s="453">
        <v>94153.995526636805</v>
      </c>
      <c r="P193" s="453"/>
      <c r="Q193" s="453"/>
      <c r="R193" s="452"/>
      <c r="S193" s="453"/>
      <c r="T193" s="450">
        <f t="shared" si="14"/>
        <v>15591.00000000002</v>
      </c>
      <c r="U193" s="451">
        <f t="shared" si="15"/>
        <v>15905.999999999969</v>
      </c>
      <c r="V193" s="452">
        <v>2521.7510548523201</v>
      </c>
      <c r="W193" s="453">
        <v>2635.98016997167</v>
      </c>
      <c r="X193" s="452"/>
      <c r="Y193" s="453"/>
      <c r="Z193" s="452">
        <v>13069.248945147699</v>
      </c>
      <c r="AA193" s="452"/>
      <c r="AB193" s="452"/>
      <c r="AC193" s="453">
        <v>13270.019830028299</v>
      </c>
      <c r="AD193" s="453"/>
      <c r="AE193" s="453"/>
      <c r="AF193" s="452"/>
      <c r="AG193" s="616"/>
    </row>
    <row r="194" spans="1:33">
      <c r="A194" s="360" t="s">
        <v>213</v>
      </c>
      <c r="B194" s="358" t="s">
        <v>226</v>
      </c>
      <c r="C194" s="529"/>
      <c r="D194" s="527">
        <v>160630</v>
      </c>
      <c r="E194" s="528">
        <v>5</v>
      </c>
      <c r="F194" s="450">
        <f t="shared" si="12"/>
        <v>41596</v>
      </c>
      <c r="G194" s="451">
        <f t="shared" si="13"/>
        <v>36080</v>
      </c>
      <c r="H194" s="452">
        <v>0</v>
      </c>
      <c r="I194" s="453">
        <v>0</v>
      </c>
      <c r="J194" s="452"/>
      <c r="K194" s="453"/>
      <c r="L194" s="452">
        <v>41596</v>
      </c>
      <c r="M194" s="452"/>
      <c r="N194" s="452"/>
      <c r="O194" s="453">
        <v>36080</v>
      </c>
      <c r="P194" s="453"/>
      <c r="Q194" s="453"/>
      <c r="R194" s="452"/>
      <c r="S194" s="453"/>
      <c r="T194" s="450">
        <f t="shared" si="14"/>
        <v>7039</v>
      </c>
      <c r="U194" s="451">
        <f t="shared" si="15"/>
        <v>6099</v>
      </c>
      <c r="V194" s="452">
        <v>0</v>
      </c>
      <c r="W194" s="453">
        <v>0</v>
      </c>
      <c r="X194" s="452"/>
      <c r="Y194" s="453"/>
      <c r="Z194" s="452">
        <v>7039</v>
      </c>
      <c r="AA194" s="452"/>
      <c r="AB194" s="452"/>
      <c r="AC194" s="453">
        <v>6099</v>
      </c>
      <c r="AD194" s="453"/>
      <c r="AE194" s="453"/>
      <c r="AF194" s="452"/>
      <c r="AG194" s="616"/>
    </row>
    <row r="195" spans="1:33">
      <c r="A195" s="416" t="s">
        <v>213</v>
      </c>
      <c r="B195" s="358" t="s">
        <v>227</v>
      </c>
      <c r="C195" s="529"/>
      <c r="D195" s="527">
        <v>159382</v>
      </c>
      <c r="E195" s="528">
        <v>6</v>
      </c>
      <c r="F195" s="450">
        <f t="shared" si="12"/>
        <v>80535</v>
      </c>
      <c r="G195" s="451">
        <f t="shared" si="13"/>
        <v>88467</v>
      </c>
      <c r="H195" s="452">
        <v>41532.6091954023</v>
      </c>
      <c r="I195" s="453">
        <v>40670.619300911902</v>
      </c>
      <c r="J195" s="452"/>
      <c r="K195" s="453"/>
      <c r="L195" s="452">
        <v>39002.3908045977</v>
      </c>
      <c r="M195" s="452"/>
      <c r="N195" s="452"/>
      <c r="O195" s="453">
        <v>47796.380699088098</v>
      </c>
      <c r="P195" s="453"/>
      <c r="Q195" s="453"/>
      <c r="R195" s="452"/>
      <c r="S195" s="453"/>
      <c r="T195" s="450">
        <f t="shared" si="14"/>
        <v>0</v>
      </c>
      <c r="U195" s="451">
        <f t="shared" si="15"/>
        <v>0</v>
      </c>
      <c r="V195" s="452"/>
      <c r="W195" s="453"/>
      <c r="X195" s="452"/>
      <c r="Y195" s="453"/>
      <c r="Z195" s="452"/>
      <c r="AA195" s="452"/>
      <c r="AB195" s="452"/>
      <c r="AC195" s="453"/>
      <c r="AD195" s="453"/>
      <c r="AE195" s="453"/>
      <c r="AF195" s="452"/>
      <c r="AG195" s="616"/>
    </row>
    <row r="196" spans="1:33">
      <c r="A196" s="416" t="s">
        <v>213</v>
      </c>
      <c r="B196" s="358" t="s">
        <v>228</v>
      </c>
      <c r="C196" s="526"/>
      <c r="D196" s="527">
        <v>437103</v>
      </c>
      <c r="E196" s="528">
        <v>8</v>
      </c>
      <c r="F196" s="450">
        <f t="shared" si="12"/>
        <v>154897</v>
      </c>
      <c r="G196" s="451">
        <f t="shared" si="13"/>
        <v>155288.99999999971</v>
      </c>
      <c r="H196" s="452">
        <v>56047.3393339334</v>
      </c>
      <c r="I196" s="453">
        <v>29892.275496688701</v>
      </c>
      <c r="J196" s="452"/>
      <c r="K196" s="453"/>
      <c r="L196" s="452">
        <v>98849.6606660666</v>
      </c>
      <c r="M196" s="452"/>
      <c r="N196" s="452"/>
      <c r="O196" s="453">
        <v>125396.72450331099</v>
      </c>
      <c r="P196" s="453"/>
      <c r="Q196" s="453"/>
      <c r="R196" s="452"/>
      <c r="S196" s="453"/>
      <c r="T196" s="450">
        <f t="shared" si="14"/>
        <v>0</v>
      </c>
      <c r="U196" s="451">
        <f t="shared" si="15"/>
        <v>0</v>
      </c>
      <c r="V196" s="452"/>
      <c r="W196" s="453"/>
      <c r="X196" s="452"/>
      <c r="Y196" s="453"/>
      <c r="Z196" s="452"/>
      <c r="AA196" s="452"/>
      <c r="AB196" s="452"/>
      <c r="AC196" s="453"/>
      <c r="AD196" s="453"/>
      <c r="AE196" s="453"/>
      <c r="AF196" s="452"/>
      <c r="AG196" s="616"/>
    </row>
    <row r="197" spans="1:33">
      <c r="A197" s="416" t="s">
        <v>213</v>
      </c>
      <c r="B197" s="358" t="s">
        <v>230</v>
      </c>
      <c r="C197" s="526"/>
      <c r="D197" s="527">
        <v>158662</v>
      </c>
      <c r="E197" s="528">
        <v>8</v>
      </c>
      <c r="F197" s="450">
        <f t="shared" si="12"/>
        <v>275618</v>
      </c>
      <c r="G197" s="451">
        <f t="shared" si="13"/>
        <v>248974</v>
      </c>
      <c r="H197" s="452">
        <v>133996.504610845</v>
      </c>
      <c r="I197" s="453">
        <v>102964.35131396999</v>
      </c>
      <c r="J197" s="452"/>
      <c r="K197" s="453"/>
      <c r="L197" s="452">
        <v>141621.495389155</v>
      </c>
      <c r="M197" s="452"/>
      <c r="N197" s="452"/>
      <c r="O197" s="453">
        <v>146009.64868603001</v>
      </c>
      <c r="P197" s="453"/>
      <c r="Q197" s="453"/>
      <c r="R197" s="452"/>
      <c r="S197" s="453"/>
      <c r="T197" s="450">
        <f t="shared" si="14"/>
        <v>0</v>
      </c>
      <c r="U197" s="451">
        <f t="shared" si="15"/>
        <v>0</v>
      </c>
      <c r="V197" s="452"/>
      <c r="W197" s="453"/>
      <c r="X197" s="452"/>
      <c r="Y197" s="453"/>
      <c r="Z197" s="452"/>
      <c r="AA197" s="452"/>
      <c r="AB197" s="452"/>
      <c r="AC197" s="453"/>
      <c r="AD197" s="453"/>
      <c r="AE197" s="453"/>
      <c r="AF197" s="452"/>
      <c r="AG197" s="616"/>
    </row>
    <row r="198" spans="1:33">
      <c r="A198" s="416" t="s">
        <v>213</v>
      </c>
      <c r="B198" s="358" t="s">
        <v>229</v>
      </c>
      <c r="C198" s="526"/>
      <c r="D198" s="527">
        <v>158431</v>
      </c>
      <c r="E198" s="528">
        <v>9</v>
      </c>
      <c r="F198" s="450">
        <f t="shared" si="12"/>
        <v>130050</v>
      </c>
      <c r="G198" s="451">
        <f t="shared" si="13"/>
        <v>115386.5</v>
      </c>
      <c r="H198" s="452">
        <v>49671.875</v>
      </c>
      <c r="I198" s="453">
        <v>44645.612340216299</v>
      </c>
      <c r="J198" s="452"/>
      <c r="K198" s="453"/>
      <c r="L198" s="452">
        <v>80378.125</v>
      </c>
      <c r="M198" s="452"/>
      <c r="N198" s="452"/>
      <c r="O198" s="453">
        <v>70740.887659783693</v>
      </c>
      <c r="P198" s="453"/>
      <c r="Q198" s="453"/>
      <c r="R198" s="452"/>
      <c r="S198" s="453"/>
      <c r="T198" s="450">
        <f t="shared" si="14"/>
        <v>0</v>
      </c>
      <c r="U198" s="451">
        <f t="shared" si="15"/>
        <v>0</v>
      </c>
      <c r="V198" s="452"/>
      <c r="W198" s="453"/>
      <c r="X198" s="452"/>
      <c r="Y198" s="453"/>
      <c r="Z198" s="452"/>
      <c r="AA198" s="452"/>
      <c r="AB198" s="452"/>
      <c r="AC198" s="453"/>
      <c r="AD198" s="453"/>
      <c r="AE198" s="453"/>
      <c r="AF198" s="452"/>
      <c r="AG198" s="616"/>
    </row>
    <row r="199" spans="1:33">
      <c r="A199" s="416" t="s">
        <v>213</v>
      </c>
      <c r="B199" s="358" t="s">
        <v>231</v>
      </c>
      <c r="C199" s="529"/>
      <c r="D199" s="527">
        <v>483212</v>
      </c>
      <c r="E199" s="528">
        <v>9</v>
      </c>
      <c r="F199" s="450">
        <f t="shared" si="12"/>
        <v>84462</v>
      </c>
      <c r="G199" s="451">
        <f t="shared" si="13"/>
        <v>80189.5</v>
      </c>
      <c r="H199" s="452">
        <v>47255.4565774156</v>
      </c>
      <c r="I199" s="453">
        <v>40720.500815280699</v>
      </c>
      <c r="J199" s="452"/>
      <c r="K199" s="453"/>
      <c r="L199" s="452">
        <v>37206.5434225844</v>
      </c>
      <c r="M199" s="452"/>
      <c r="N199" s="452"/>
      <c r="O199" s="453">
        <v>39468.999184719301</v>
      </c>
      <c r="P199" s="453"/>
      <c r="Q199" s="453"/>
      <c r="R199" s="452"/>
      <c r="S199" s="453"/>
      <c r="T199" s="450">
        <f t="shared" si="14"/>
        <v>0</v>
      </c>
      <c r="U199" s="451">
        <f t="shared" si="15"/>
        <v>0</v>
      </c>
      <c r="V199" s="452"/>
      <c r="W199" s="453"/>
      <c r="X199" s="452"/>
      <c r="Y199" s="453"/>
      <c r="Z199" s="452"/>
      <c r="AA199" s="452"/>
      <c r="AB199" s="452"/>
      <c r="AC199" s="453"/>
      <c r="AD199" s="453"/>
      <c r="AE199" s="453"/>
      <c r="AF199" s="452"/>
      <c r="AG199" s="616"/>
    </row>
    <row r="200" spans="1:33">
      <c r="A200" s="416" t="s">
        <v>213</v>
      </c>
      <c r="B200" s="358" t="s">
        <v>232</v>
      </c>
      <c r="C200" s="526"/>
      <c r="D200" s="527">
        <v>434061</v>
      </c>
      <c r="E200" s="528">
        <v>9</v>
      </c>
      <c r="F200" s="450">
        <f t="shared" ref="F200:F263" si="16">SUM(H200,J200,L200,M200,N200,R200)</f>
        <v>139465</v>
      </c>
      <c r="G200" s="451">
        <f t="shared" ref="G200:G263" si="17">SUM(I200,K200,O200,P200,Q200,S200)</f>
        <v>128628</v>
      </c>
      <c r="H200" s="452">
        <v>75108.701814058993</v>
      </c>
      <c r="I200" s="453">
        <v>58730.283400809698</v>
      </c>
      <c r="J200" s="452"/>
      <c r="K200" s="453"/>
      <c r="L200" s="452">
        <v>64356.298185940999</v>
      </c>
      <c r="M200" s="452"/>
      <c r="N200" s="452"/>
      <c r="O200" s="453">
        <v>69897.716599190302</v>
      </c>
      <c r="P200" s="453"/>
      <c r="Q200" s="453"/>
      <c r="R200" s="452"/>
      <c r="S200" s="453"/>
      <c r="T200" s="450">
        <f t="shared" ref="T200:T263" si="18">SUM(V200,X200,Z200,AA200,AB200,AF200)</f>
        <v>0</v>
      </c>
      <c r="U200" s="451">
        <f t="shared" ref="U200:U263" si="19">SUM(W200,Y200,AC200,AD200,AE200,AG200)</f>
        <v>0</v>
      </c>
      <c r="V200" s="452"/>
      <c r="W200" s="453"/>
      <c r="X200" s="452"/>
      <c r="Y200" s="453"/>
      <c r="Z200" s="452"/>
      <c r="AA200" s="452"/>
      <c r="AB200" s="452"/>
      <c r="AC200" s="453"/>
      <c r="AD200" s="453"/>
      <c r="AE200" s="453"/>
      <c r="AF200" s="452"/>
      <c r="AG200" s="616"/>
    </row>
    <row r="201" spans="1:33">
      <c r="A201" s="416" t="s">
        <v>213</v>
      </c>
      <c r="B201" s="358" t="s">
        <v>233</v>
      </c>
      <c r="C201" s="529"/>
      <c r="D201" s="527">
        <v>160649</v>
      </c>
      <c r="E201" s="528">
        <v>9</v>
      </c>
      <c r="F201" s="450">
        <f t="shared" si="16"/>
        <v>61383</v>
      </c>
      <c r="G201" s="451">
        <f t="shared" si="17"/>
        <v>54146</v>
      </c>
      <c r="H201" s="452">
        <v>40446.519490254897</v>
      </c>
      <c r="I201" s="453">
        <v>28188.986259542002</v>
      </c>
      <c r="J201" s="452"/>
      <c r="K201" s="453"/>
      <c r="L201" s="452">
        <v>20936.480509745099</v>
      </c>
      <c r="M201" s="452"/>
      <c r="N201" s="452"/>
      <c r="O201" s="453">
        <v>25957.013740457998</v>
      </c>
      <c r="P201" s="453"/>
      <c r="Q201" s="453"/>
      <c r="R201" s="452"/>
      <c r="S201" s="453"/>
      <c r="T201" s="450">
        <f t="shared" si="18"/>
        <v>0</v>
      </c>
      <c r="U201" s="451">
        <f t="shared" si="19"/>
        <v>0</v>
      </c>
      <c r="V201" s="452"/>
      <c r="W201" s="453"/>
      <c r="X201" s="452"/>
      <c r="Y201" s="453"/>
      <c r="Z201" s="452"/>
      <c r="AA201" s="452"/>
      <c r="AB201" s="452"/>
      <c r="AC201" s="453"/>
      <c r="AD201" s="453"/>
      <c r="AE201" s="453"/>
      <c r="AF201" s="452"/>
      <c r="AG201" s="616"/>
    </row>
    <row r="202" spans="1:33">
      <c r="A202" s="416" t="s">
        <v>213</v>
      </c>
      <c r="B202" s="358" t="s">
        <v>234</v>
      </c>
      <c r="C202" s="417"/>
      <c r="D202" s="530">
        <v>159407</v>
      </c>
      <c r="E202" s="531">
        <v>9</v>
      </c>
      <c r="F202" s="450">
        <f t="shared" si="16"/>
        <v>60805</v>
      </c>
      <c r="G202" s="451">
        <f t="shared" si="17"/>
        <v>61121</v>
      </c>
      <c r="H202" s="452">
        <v>34728.306613226501</v>
      </c>
      <c r="I202" s="453">
        <v>33795.637996219302</v>
      </c>
      <c r="J202" s="452"/>
      <c r="K202" s="453"/>
      <c r="L202" s="452">
        <v>26076.693386773499</v>
      </c>
      <c r="M202" s="452"/>
      <c r="N202" s="452"/>
      <c r="O202" s="453">
        <v>27325.362003780701</v>
      </c>
      <c r="P202" s="453"/>
      <c r="Q202" s="453"/>
      <c r="R202" s="452"/>
      <c r="S202" s="453"/>
      <c r="T202" s="450">
        <f t="shared" si="18"/>
        <v>0</v>
      </c>
      <c r="U202" s="451">
        <f t="shared" si="19"/>
        <v>0</v>
      </c>
      <c r="V202" s="452"/>
      <c r="W202" s="453"/>
      <c r="X202" s="452"/>
      <c r="Y202" s="453"/>
      <c r="Z202" s="452"/>
      <c r="AA202" s="452"/>
      <c r="AB202" s="452"/>
      <c r="AC202" s="453"/>
      <c r="AD202" s="453"/>
      <c r="AE202" s="453"/>
      <c r="AF202" s="452"/>
      <c r="AG202" s="616"/>
    </row>
    <row r="203" spans="1:33">
      <c r="A203" s="416" t="s">
        <v>213</v>
      </c>
      <c r="B203" s="358" t="s">
        <v>235</v>
      </c>
      <c r="C203" s="526"/>
      <c r="D203" s="527">
        <v>158884</v>
      </c>
      <c r="E203" s="528">
        <v>10</v>
      </c>
      <c r="F203" s="450">
        <f t="shared" si="16"/>
        <v>44603</v>
      </c>
      <c r="G203" s="451">
        <f t="shared" si="17"/>
        <v>40995</v>
      </c>
      <c r="H203" s="452">
        <v>18447.699716713902</v>
      </c>
      <c r="I203" s="453">
        <v>17101.464497041401</v>
      </c>
      <c r="J203" s="452"/>
      <c r="K203" s="453"/>
      <c r="L203" s="452">
        <v>26155.300283286098</v>
      </c>
      <c r="M203" s="452"/>
      <c r="N203" s="452"/>
      <c r="O203" s="453">
        <v>23893.535502958599</v>
      </c>
      <c r="P203" s="453"/>
      <c r="Q203" s="453"/>
      <c r="R203" s="452"/>
      <c r="S203" s="453"/>
      <c r="T203" s="450">
        <f t="shared" si="18"/>
        <v>0</v>
      </c>
      <c r="U203" s="451">
        <f t="shared" si="19"/>
        <v>0</v>
      </c>
      <c r="V203" s="452"/>
      <c r="W203" s="453"/>
      <c r="X203" s="452"/>
      <c r="Y203" s="453"/>
      <c r="Z203" s="452"/>
      <c r="AA203" s="452"/>
      <c r="AB203" s="452"/>
      <c r="AC203" s="453"/>
      <c r="AD203" s="453"/>
      <c r="AE203" s="453"/>
      <c r="AF203" s="452"/>
      <c r="AG203" s="616"/>
    </row>
    <row r="204" spans="1:33">
      <c r="A204" s="360" t="s">
        <v>213</v>
      </c>
      <c r="B204" s="358" t="s">
        <v>236</v>
      </c>
      <c r="C204" s="526"/>
      <c r="D204" s="527">
        <v>436304</v>
      </c>
      <c r="E204" s="528">
        <v>10</v>
      </c>
      <c r="F204" s="450">
        <f t="shared" si="16"/>
        <v>58568</v>
      </c>
      <c r="G204" s="451">
        <f t="shared" si="17"/>
        <v>48287</v>
      </c>
      <c r="H204" s="452">
        <v>37514.459760627302</v>
      </c>
      <c r="I204" s="453">
        <v>29006.175021987699</v>
      </c>
      <c r="J204" s="452"/>
      <c r="K204" s="453"/>
      <c r="L204" s="452">
        <v>21053.540239372702</v>
      </c>
      <c r="M204" s="452"/>
      <c r="N204" s="452"/>
      <c r="O204" s="453">
        <v>19280.824978012301</v>
      </c>
      <c r="P204" s="453"/>
      <c r="Q204" s="453"/>
      <c r="R204" s="452"/>
      <c r="S204" s="453"/>
      <c r="T204" s="450">
        <f t="shared" si="18"/>
        <v>0</v>
      </c>
      <c r="U204" s="451">
        <f t="shared" si="19"/>
        <v>0</v>
      </c>
      <c r="V204" s="452"/>
      <c r="W204" s="453"/>
      <c r="X204" s="452"/>
      <c r="Y204" s="453"/>
      <c r="Z204" s="452"/>
      <c r="AA204" s="452"/>
      <c r="AB204" s="452"/>
      <c r="AC204" s="453"/>
      <c r="AD204" s="453"/>
      <c r="AE204" s="453"/>
      <c r="AF204" s="452"/>
      <c r="AG204" s="616"/>
    </row>
    <row r="205" spans="1:33">
      <c r="A205" s="360" t="s">
        <v>213</v>
      </c>
      <c r="B205" s="358" t="s">
        <v>713</v>
      </c>
      <c r="C205" s="526"/>
      <c r="D205" s="527">
        <v>158088</v>
      </c>
      <c r="E205" s="528">
        <v>12</v>
      </c>
      <c r="F205" s="450">
        <f t="shared" si="16"/>
        <v>43041</v>
      </c>
      <c r="G205" s="451">
        <f t="shared" si="17"/>
        <v>38894</v>
      </c>
      <c r="H205" s="452">
        <v>32715.298557692298</v>
      </c>
      <c r="I205" s="453">
        <v>26247.973374296002</v>
      </c>
      <c r="J205" s="452"/>
      <c r="K205" s="453"/>
      <c r="L205" s="452">
        <v>10325.7014423077</v>
      </c>
      <c r="M205" s="452"/>
      <c r="N205" s="452"/>
      <c r="O205" s="453">
        <v>12646.026625704</v>
      </c>
      <c r="P205" s="453"/>
      <c r="Q205" s="453"/>
      <c r="R205" s="452"/>
      <c r="S205" s="453"/>
      <c r="T205" s="450">
        <f t="shared" si="18"/>
        <v>0</v>
      </c>
      <c r="U205" s="451">
        <f t="shared" si="19"/>
        <v>0</v>
      </c>
      <c r="V205" s="452"/>
      <c r="W205" s="453"/>
      <c r="X205" s="452"/>
      <c r="Y205" s="453"/>
      <c r="Z205" s="452"/>
      <c r="AA205" s="452"/>
      <c r="AB205" s="452"/>
      <c r="AC205" s="453"/>
      <c r="AD205" s="453"/>
      <c r="AE205" s="453"/>
      <c r="AF205" s="452"/>
      <c r="AG205" s="616"/>
    </row>
    <row r="206" spans="1:33">
      <c r="A206" s="360" t="s">
        <v>213</v>
      </c>
      <c r="B206" s="358" t="s">
        <v>237</v>
      </c>
      <c r="C206" s="529"/>
      <c r="D206" s="527">
        <v>160481</v>
      </c>
      <c r="E206" s="528">
        <v>12</v>
      </c>
      <c r="F206" s="450">
        <f t="shared" si="16"/>
        <v>46862</v>
      </c>
      <c r="G206" s="451">
        <f t="shared" si="17"/>
        <v>39441</v>
      </c>
      <c r="H206" s="452">
        <v>24428.063829787199</v>
      </c>
      <c r="I206" s="453">
        <v>18091.267641996601</v>
      </c>
      <c r="J206" s="452"/>
      <c r="K206" s="453"/>
      <c r="L206" s="452">
        <v>22433.936170212801</v>
      </c>
      <c r="M206" s="452"/>
      <c r="N206" s="452"/>
      <c r="O206" s="453">
        <v>21349.732358003399</v>
      </c>
      <c r="P206" s="453"/>
      <c r="Q206" s="453"/>
      <c r="R206" s="452"/>
      <c r="S206" s="453"/>
      <c r="T206" s="450">
        <f t="shared" si="18"/>
        <v>0</v>
      </c>
      <c r="U206" s="451">
        <f t="shared" si="19"/>
        <v>0</v>
      </c>
      <c r="V206" s="452"/>
      <c r="W206" s="453"/>
      <c r="X206" s="452"/>
      <c r="Y206" s="453"/>
      <c r="Z206" s="452"/>
      <c r="AA206" s="452"/>
      <c r="AB206" s="452"/>
      <c r="AC206" s="453"/>
      <c r="AD206" s="453"/>
      <c r="AE206" s="453"/>
      <c r="AF206" s="452"/>
      <c r="AG206" s="616"/>
    </row>
    <row r="207" spans="1:33">
      <c r="A207" s="360" t="s">
        <v>213</v>
      </c>
      <c r="B207" s="358" t="s">
        <v>238</v>
      </c>
      <c r="C207" s="526"/>
      <c r="D207" s="527">
        <v>160667</v>
      </c>
      <c r="E207" s="528">
        <v>12</v>
      </c>
      <c r="F207" s="450">
        <f t="shared" si="16"/>
        <v>63782</v>
      </c>
      <c r="G207" s="451">
        <f t="shared" si="17"/>
        <v>62772.5</v>
      </c>
      <c r="H207" s="452">
        <v>46952.656795747898</v>
      </c>
      <c r="I207" s="453">
        <v>42229.234425566297</v>
      </c>
      <c r="J207" s="452"/>
      <c r="K207" s="453"/>
      <c r="L207" s="452">
        <v>16829.343204252102</v>
      </c>
      <c r="M207" s="452"/>
      <c r="N207" s="452"/>
      <c r="O207" s="453">
        <v>20543.265574433699</v>
      </c>
      <c r="P207" s="453"/>
      <c r="Q207" s="453"/>
      <c r="R207" s="452"/>
      <c r="S207" s="453"/>
      <c r="T207" s="450">
        <f t="shared" si="18"/>
        <v>0</v>
      </c>
      <c r="U207" s="451">
        <f t="shared" si="19"/>
        <v>0</v>
      </c>
      <c r="V207" s="452"/>
      <c r="W207" s="453"/>
      <c r="X207" s="452"/>
      <c r="Y207" s="453"/>
      <c r="Z207" s="452"/>
      <c r="AA207" s="452"/>
      <c r="AB207" s="452"/>
      <c r="AC207" s="453"/>
      <c r="AD207" s="453"/>
      <c r="AE207" s="453"/>
      <c r="AF207" s="452"/>
      <c r="AG207" s="616"/>
    </row>
    <row r="208" spans="1:33">
      <c r="A208" s="360" t="s">
        <v>213</v>
      </c>
      <c r="B208" s="358" t="s">
        <v>240</v>
      </c>
      <c r="C208" s="526"/>
      <c r="D208" s="527">
        <v>160579</v>
      </c>
      <c r="E208" s="528">
        <v>12</v>
      </c>
      <c r="F208" s="450">
        <f t="shared" si="16"/>
        <v>68860</v>
      </c>
      <c r="G208" s="451">
        <f t="shared" si="17"/>
        <v>63770.5</v>
      </c>
      <c r="H208" s="452">
        <v>49743.892617449703</v>
      </c>
      <c r="I208" s="453">
        <v>44340.7453495831</v>
      </c>
      <c r="J208" s="452"/>
      <c r="K208" s="453"/>
      <c r="L208" s="452">
        <v>19116.107382550301</v>
      </c>
      <c r="M208" s="452"/>
      <c r="N208" s="452"/>
      <c r="O208" s="453">
        <v>19429.7546504169</v>
      </c>
      <c r="P208" s="453"/>
      <c r="Q208" s="453"/>
      <c r="R208" s="452"/>
      <c r="S208" s="453"/>
      <c r="T208" s="450">
        <f t="shared" si="18"/>
        <v>0</v>
      </c>
      <c r="U208" s="451">
        <f t="shared" si="19"/>
        <v>0</v>
      </c>
      <c r="V208" s="452"/>
      <c r="W208" s="453"/>
      <c r="X208" s="452"/>
      <c r="Y208" s="453"/>
      <c r="Z208" s="452"/>
      <c r="AA208" s="452"/>
      <c r="AB208" s="452"/>
      <c r="AC208" s="453"/>
      <c r="AD208" s="453"/>
      <c r="AE208" s="453"/>
      <c r="AF208" s="452"/>
      <c r="AG208" s="616"/>
    </row>
    <row r="209" spans="1:34">
      <c r="A209" s="360" t="s">
        <v>213</v>
      </c>
      <c r="B209" s="358" t="s">
        <v>239</v>
      </c>
      <c r="C209" s="526"/>
      <c r="D209" s="527">
        <v>160010</v>
      </c>
      <c r="E209" s="528">
        <v>13</v>
      </c>
      <c r="F209" s="450">
        <f t="shared" si="16"/>
        <v>22823</v>
      </c>
      <c r="G209" s="451">
        <f t="shared" si="17"/>
        <v>20536.000000000007</v>
      </c>
      <c r="H209" s="452">
        <v>20858.1059602649</v>
      </c>
      <c r="I209" s="453">
        <v>19630.6494623656</v>
      </c>
      <c r="J209" s="452"/>
      <c r="K209" s="453"/>
      <c r="L209" s="452">
        <v>1964.8940397351</v>
      </c>
      <c r="M209" s="452"/>
      <c r="N209" s="452"/>
      <c r="O209" s="453">
        <v>905.35053763440897</v>
      </c>
      <c r="P209" s="453"/>
      <c r="Q209" s="453"/>
      <c r="R209" s="452"/>
      <c r="S209" s="453"/>
      <c r="T209" s="450">
        <f t="shared" si="18"/>
        <v>0</v>
      </c>
      <c r="U209" s="451">
        <f t="shared" si="19"/>
        <v>0</v>
      </c>
      <c r="V209" s="452"/>
      <c r="W209" s="453"/>
      <c r="X209" s="452"/>
      <c r="Y209" s="453"/>
      <c r="Z209" s="452"/>
      <c r="AA209" s="452"/>
      <c r="AB209" s="452"/>
      <c r="AC209" s="453"/>
      <c r="AD209" s="453"/>
      <c r="AE209" s="453"/>
      <c r="AF209" s="452"/>
      <c r="AG209" s="616"/>
    </row>
    <row r="210" spans="1:34">
      <c r="A210" s="360" t="s">
        <v>213</v>
      </c>
      <c r="B210" s="358" t="s">
        <v>241</v>
      </c>
      <c r="C210" s="526"/>
      <c r="D210" s="527">
        <v>159373</v>
      </c>
      <c r="E210" s="528">
        <v>15</v>
      </c>
      <c r="F210" s="450">
        <f t="shared" si="16"/>
        <v>0</v>
      </c>
      <c r="G210" s="451">
        <f t="shared" si="17"/>
        <v>0</v>
      </c>
      <c r="H210" s="452"/>
      <c r="I210" s="453"/>
      <c r="J210" s="452"/>
      <c r="K210" s="453"/>
      <c r="L210" s="452"/>
      <c r="M210" s="452"/>
      <c r="N210" s="452"/>
      <c r="O210" s="453"/>
      <c r="P210" s="453"/>
      <c r="Q210" s="453"/>
      <c r="R210" s="452"/>
      <c r="S210" s="453"/>
      <c r="T210" s="450">
        <f t="shared" si="18"/>
        <v>0</v>
      </c>
      <c r="U210" s="451">
        <f t="shared" si="19"/>
        <v>0</v>
      </c>
      <c r="V210" s="452"/>
      <c r="W210" s="453"/>
      <c r="X210" s="452"/>
      <c r="Y210" s="453"/>
      <c r="Z210" s="452"/>
      <c r="AA210" s="452"/>
      <c r="AB210" s="452"/>
      <c r="AC210" s="453"/>
      <c r="AD210" s="453"/>
      <c r="AE210" s="453"/>
      <c r="AF210" s="452"/>
      <c r="AG210" s="616"/>
    </row>
    <row r="211" spans="1:34">
      <c r="A211" s="360" t="s">
        <v>213</v>
      </c>
      <c r="B211" s="358" t="s">
        <v>242</v>
      </c>
      <c r="C211" s="526"/>
      <c r="D211" s="527">
        <v>435000</v>
      </c>
      <c r="E211" s="528">
        <v>15</v>
      </c>
      <c r="F211" s="450">
        <f t="shared" si="16"/>
        <v>0</v>
      </c>
      <c r="G211" s="451">
        <f t="shared" si="17"/>
        <v>0</v>
      </c>
      <c r="H211" s="452"/>
      <c r="I211" s="453"/>
      <c r="J211" s="452"/>
      <c r="K211" s="453"/>
      <c r="L211" s="452"/>
      <c r="M211" s="452"/>
      <c r="N211" s="452"/>
      <c r="O211" s="453"/>
      <c r="P211" s="453"/>
      <c r="Q211" s="453"/>
      <c r="R211" s="452"/>
      <c r="S211" s="453"/>
      <c r="T211" s="450">
        <f t="shared" si="18"/>
        <v>0</v>
      </c>
      <c r="U211" s="451">
        <f t="shared" si="19"/>
        <v>0</v>
      </c>
      <c r="V211" s="452"/>
      <c r="W211" s="453"/>
      <c r="X211" s="452"/>
      <c r="Y211" s="453"/>
      <c r="Z211" s="452"/>
      <c r="AA211" s="452"/>
      <c r="AB211" s="452"/>
      <c r="AC211" s="453"/>
      <c r="AD211" s="453"/>
      <c r="AE211" s="453"/>
      <c r="AF211" s="452"/>
      <c r="AG211" s="616"/>
    </row>
    <row r="212" spans="1:34">
      <c r="A212" s="360" t="s">
        <v>213</v>
      </c>
      <c r="B212" s="362" t="s">
        <v>729</v>
      </c>
      <c r="C212" s="526"/>
      <c r="D212" s="527">
        <v>440916</v>
      </c>
      <c r="E212" s="528">
        <v>15</v>
      </c>
      <c r="F212" s="450">
        <f t="shared" si="16"/>
        <v>0</v>
      </c>
      <c r="G212" s="451">
        <f t="shared" si="17"/>
        <v>0</v>
      </c>
      <c r="H212" s="452"/>
      <c r="I212" s="453"/>
      <c r="J212" s="452"/>
      <c r="K212" s="453"/>
      <c r="L212" s="452"/>
      <c r="M212" s="452"/>
      <c r="N212" s="452"/>
      <c r="O212" s="453"/>
      <c r="P212" s="453"/>
      <c r="Q212" s="453"/>
      <c r="R212" s="452"/>
      <c r="S212" s="453"/>
      <c r="T212" s="450">
        <f t="shared" si="18"/>
        <v>21220.000000000051</v>
      </c>
      <c r="U212" s="451">
        <f t="shared" si="19"/>
        <v>0</v>
      </c>
      <c r="V212" s="452">
        <v>19723.153526971</v>
      </c>
      <c r="W212" s="453"/>
      <c r="X212" s="452"/>
      <c r="Y212" s="453"/>
      <c r="Z212" s="452">
        <v>1496.84647302905</v>
      </c>
      <c r="AA212" s="452"/>
      <c r="AB212" s="452"/>
      <c r="AC212" s="453"/>
      <c r="AD212" s="453"/>
      <c r="AE212" s="453"/>
      <c r="AF212" s="452"/>
      <c r="AG212" s="616"/>
    </row>
    <row r="213" spans="1:34" s="14" customFormat="1" ht="15.75" customHeight="1">
      <c r="A213" s="338" t="s">
        <v>243</v>
      </c>
      <c r="B213" s="339" t="s">
        <v>260</v>
      </c>
      <c r="C213" s="510"/>
      <c r="D213" s="508">
        <v>161688</v>
      </c>
      <c r="E213" s="509">
        <v>10</v>
      </c>
      <c r="F213" s="450">
        <f t="shared" si="16"/>
        <v>46937</v>
      </c>
      <c r="G213" s="451">
        <f t="shared" si="17"/>
        <v>42829</v>
      </c>
      <c r="H213" s="463">
        <v>19375</v>
      </c>
      <c r="I213" s="459">
        <v>13441</v>
      </c>
      <c r="J213" s="463">
        <v>5910</v>
      </c>
      <c r="K213" s="459">
        <v>5581</v>
      </c>
      <c r="L213" s="463">
        <v>20874</v>
      </c>
      <c r="M213" s="463">
        <v>778</v>
      </c>
      <c r="N213" s="463">
        <v>0</v>
      </c>
      <c r="O213" s="459">
        <v>23807</v>
      </c>
      <c r="P213" s="459">
        <v>0</v>
      </c>
      <c r="Q213" s="459">
        <v>0</v>
      </c>
      <c r="R213" s="463">
        <v>0</v>
      </c>
      <c r="S213" s="459">
        <v>0</v>
      </c>
      <c r="T213" s="450">
        <f t="shared" si="18"/>
        <v>0</v>
      </c>
      <c r="U213" s="451">
        <f t="shared" si="19"/>
        <v>0</v>
      </c>
      <c r="V213" s="463">
        <v>0</v>
      </c>
      <c r="W213" s="459"/>
      <c r="X213" s="463">
        <v>0</v>
      </c>
      <c r="Y213" s="459"/>
      <c r="Z213" s="463">
        <v>0</v>
      </c>
      <c r="AA213" s="463">
        <v>0</v>
      </c>
      <c r="AB213" s="463">
        <v>0</v>
      </c>
      <c r="AC213" s="459"/>
      <c r="AD213" s="459"/>
      <c r="AE213" s="459"/>
      <c r="AF213" s="463">
        <v>0</v>
      </c>
      <c r="AG213" s="617"/>
    </row>
    <row r="214" spans="1:34" s="14" customFormat="1" ht="15" customHeight="1">
      <c r="A214" s="338" t="s">
        <v>243</v>
      </c>
      <c r="B214" s="339" t="s">
        <v>254</v>
      </c>
      <c r="C214" s="507"/>
      <c r="D214" s="508">
        <v>161767</v>
      </c>
      <c r="E214" s="509">
        <v>8</v>
      </c>
      <c r="F214" s="450">
        <f t="shared" si="16"/>
        <v>222168</v>
      </c>
      <c r="G214" s="451">
        <f t="shared" si="17"/>
        <v>195185</v>
      </c>
      <c r="H214" s="463">
        <v>55230</v>
      </c>
      <c r="I214" s="459">
        <v>13729</v>
      </c>
      <c r="J214" s="463">
        <v>10000</v>
      </c>
      <c r="K214" s="459">
        <v>5554</v>
      </c>
      <c r="L214" s="463">
        <v>156529</v>
      </c>
      <c r="M214" s="463">
        <v>409</v>
      </c>
      <c r="N214" s="463">
        <v>0</v>
      </c>
      <c r="O214" s="459">
        <v>175902</v>
      </c>
      <c r="P214" s="459">
        <v>0</v>
      </c>
      <c r="Q214" s="459">
        <v>0</v>
      </c>
      <c r="R214" s="463">
        <v>0</v>
      </c>
      <c r="S214" s="459">
        <v>0</v>
      </c>
      <c r="T214" s="450">
        <f t="shared" si="18"/>
        <v>0</v>
      </c>
      <c r="U214" s="451">
        <f t="shared" si="19"/>
        <v>0</v>
      </c>
      <c r="V214" s="463">
        <v>0</v>
      </c>
      <c r="W214" s="459"/>
      <c r="X214" s="463">
        <v>0</v>
      </c>
      <c r="Y214" s="459"/>
      <c r="Z214" s="463">
        <v>0</v>
      </c>
      <c r="AA214" s="463">
        <v>0</v>
      </c>
      <c r="AB214" s="463">
        <v>0</v>
      </c>
      <c r="AC214" s="459"/>
      <c r="AD214" s="459"/>
      <c r="AE214" s="459"/>
      <c r="AF214" s="463">
        <v>0</v>
      </c>
      <c r="AG214" s="617"/>
    </row>
    <row r="215" spans="1:34">
      <c r="A215" s="338" t="s">
        <v>243</v>
      </c>
      <c r="B215" s="339" t="s">
        <v>261</v>
      </c>
      <c r="C215" s="507"/>
      <c r="D215" s="508">
        <v>161864</v>
      </c>
      <c r="E215" s="509">
        <v>9</v>
      </c>
      <c r="F215" s="450">
        <f t="shared" si="16"/>
        <v>82002</v>
      </c>
      <c r="G215" s="451">
        <f t="shared" si="17"/>
        <v>69309</v>
      </c>
      <c r="H215" s="463">
        <v>27075</v>
      </c>
      <c r="I215" s="459">
        <v>60</v>
      </c>
      <c r="J215" s="463">
        <v>139</v>
      </c>
      <c r="K215" s="459">
        <v>1162</v>
      </c>
      <c r="L215" s="463">
        <v>54788</v>
      </c>
      <c r="M215" s="463">
        <v>0</v>
      </c>
      <c r="N215" s="463">
        <v>0</v>
      </c>
      <c r="O215" s="459">
        <v>68087</v>
      </c>
      <c r="P215" s="459">
        <v>0</v>
      </c>
      <c r="Q215" s="459">
        <v>0</v>
      </c>
      <c r="R215" s="463">
        <v>0</v>
      </c>
      <c r="S215" s="459">
        <v>0</v>
      </c>
      <c r="T215" s="450">
        <f t="shared" si="18"/>
        <v>0</v>
      </c>
      <c r="U215" s="451">
        <f t="shared" si="19"/>
        <v>0</v>
      </c>
      <c r="V215" s="463">
        <v>0</v>
      </c>
      <c r="W215" s="459"/>
      <c r="X215" s="463">
        <v>0</v>
      </c>
      <c r="Y215" s="459"/>
      <c r="Z215" s="463">
        <v>0</v>
      </c>
      <c r="AA215" s="463">
        <v>0</v>
      </c>
      <c r="AB215" s="463">
        <v>0</v>
      </c>
      <c r="AC215" s="459"/>
      <c r="AD215" s="459"/>
      <c r="AE215" s="459"/>
      <c r="AF215" s="463">
        <v>0</v>
      </c>
      <c r="AG215" s="617"/>
    </row>
    <row r="216" spans="1:34">
      <c r="A216" s="338" t="s">
        <v>243</v>
      </c>
      <c r="B216" s="339" t="s">
        <v>262</v>
      </c>
      <c r="C216" s="507"/>
      <c r="D216" s="508">
        <v>405872</v>
      </c>
      <c r="E216" s="509">
        <v>9</v>
      </c>
      <c r="F216" s="450">
        <f t="shared" si="16"/>
        <v>53193</v>
      </c>
      <c r="G216" s="451">
        <f t="shared" si="17"/>
        <v>47999</v>
      </c>
      <c r="H216" s="452">
        <v>19521.5</v>
      </c>
      <c r="I216" s="459">
        <v>12803</v>
      </c>
      <c r="J216" s="463">
        <v>1894</v>
      </c>
      <c r="K216" s="459">
        <v>2242</v>
      </c>
      <c r="L216" s="452">
        <v>31777.5</v>
      </c>
      <c r="M216" s="463">
        <v>0</v>
      </c>
      <c r="N216" s="463">
        <v>0</v>
      </c>
      <c r="O216" s="459">
        <v>32436</v>
      </c>
      <c r="P216" s="459">
        <v>0</v>
      </c>
      <c r="Q216" s="459">
        <v>518</v>
      </c>
      <c r="R216" s="463">
        <v>0</v>
      </c>
      <c r="S216" s="459">
        <v>0</v>
      </c>
      <c r="T216" s="450">
        <f t="shared" si="18"/>
        <v>0</v>
      </c>
      <c r="U216" s="451">
        <f t="shared" si="19"/>
        <v>0</v>
      </c>
      <c r="V216" s="463">
        <v>0</v>
      </c>
      <c r="W216" s="459"/>
      <c r="X216" s="463">
        <v>0</v>
      </c>
      <c r="Y216" s="459"/>
      <c r="Z216" s="463">
        <v>0</v>
      </c>
      <c r="AA216" s="463">
        <v>0</v>
      </c>
      <c r="AB216" s="463">
        <v>0</v>
      </c>
      <c r="AC216" s="459"/>
      <c r="AD216" s="459"/>
      <c r="AE216" s="459"/>
      <c r="AF216" s="463">
        <v>0</v>
      </c>
      <c r="AG216" s="617"/>
    </row>
    <row r="217" spans="1:34" s="14" customFormat="1" ht="15" customHeight="1">
      <c r="A217" s="338" t="s">
        <v>243</v>
      </c>
      <c r="B217" s="339" t="s">
        <v>267</v>
      </c>
      <c r="C217" s="507"/>
      <c r="D217" s="508">
        <v>162104</v>
      </c>
      <c r="E217" s="509">
        <v>10</v>
      </c>
      <c r="F217" s="450">
        <f t="shared" si="16"/>
        <v>37736</v>
      </c>
      <c r="G217" s="451">
        <f t="shared" si="17"/>
        <v>30196</v>
      </c>
      <c r="H217" s="463">
        <v>22653</v>
      </c>
      <c r="I217" s="459">
        <v>5849</v>
      </c>
      <c r="J217" s="463">
        <v>1342</v>
      </c>
      <c r="K217" s="459">
        <v>1493</v>
      </c>
      <c r="L217" s="463">
        <v>13741</v>
      </c>
      <c r="M217" s="463">
        <v>0</v>
      </c>
      <c r="N217" s="463">
        <v>0</v>
      </c>
      <c r="O217" s="459">
        <v>22854</v>
      </c>
      <c r="P217" s="459">
        <v>0</v>
      </c>
      <c r="Q217" s="459">
        <v>0</v>
      </c>
      <c r="R217" s="463">
        <v>0</v>
      </c>
      <c r="S217" s="459">
        <v>0</v>
      </c>
      <c r="T217" s="450">
        <f t="shared" si="18"/>
        <v>0</v>
      </c>
      <c r="U217" s="451">
        <f t="shared" si="19"/>
        <v>0</v>
      </c>
      <c r="V217" s="463">
        <v>0</v>
      </c>
      <c r="W217" s="459"/>
      <c r="X217" s="463">
        <v>0</v>
      </c>
      <c r="Y217" s="459"/>
      <c r="Z217" s="463">
        <v>0</v>
      </c>
      <c r="AA217" s="463">
        <v>0</v>
      </c>
      <c r="AB217" s="463">
        <v>0</v>
      </c>
      <c r="AC217" s="459"/>
      <c r="AD217" s="459"/>
      <c r="AE217" s="459"/>
      <c r="AF217" s="463">
        <v>0</v>
      </c>
      <c r="AG217" s="617"/>
      <c r="AH217" s="15"/>
    </row>
    <row r="218" spans="1:34">
      <c r="A218" s="338" t="s">
        <v>243</v>
      </c>
      <c r="B218" s="339" t="s">
        <v>268</v>
      </c>
      <c r="C218" s="510"/>
      <c r="D218" s="508">
        <v>162168</v>
      </c>
      <c r="E218" s="509">
        <v>10</v>
      </c>
      <c r="F218" s="450">
        <f t="shared" si="16"/>
        <v>33315</v>
      </c>
      <c r="G218" s="451">
        <f t="shared" si="17"/>
        <v>29578</v>
      </c>
      <c r="H218" s="463">
        <v>9964</v>
      </c>
      <c r="I218" s="459">
        <v>5679</v>
      </c>
      <c r="J218" s="463">
        <v>709</v>
      </c>
      <c r="K218" s="459">
        <v>564</v>
      </c>
      <c r="L218" s="463">
        <v>22579</v>
      </c>
      <c r="M218" s="463">
        <v>63</v>
      </c>
      <c r="N218" s="463">
        <v>0</v>
      </c>
      <c r="O218" s="459">
        <v>23335</v>
      </c>
      <c r="P218" s="459">
        <v>0</v>
      </c>
      <c r="Q218" s="459">
        <v>0</v>
      </c>
      <c r="R218" s="463">
        <v>0</v>
      </c>
      <c r="S218" s="459">
        <v>0</v>
      </c>
      <c r="T218" s="450">
        <f t="shared" si="18"/>
        <v>0</v>
      </c>
      <c r="U218" s="451">
        <f t="shared" si="19"/>
        <v>0</v>
      </c>
      <c r="V218" s="463">
        <v>0</v>
      </c>
      <c r="W218" s="459"/>
      <c r="X218" s="463">
        <v>0</v>
      </c>
      <c r="Y218" s="459"/>
      <c r="Z218" s="463">
        <v>0</v>
      </c>
      <c r="AA218" s="463">
        <v>0</v>
      </c>
      <c r="AB218" s="463">
        <v>0</v>
      </c>
      <c r="AC218" s="459"/>
      <c r="AD218" s="459"/>
      <c r="AE218" s="459"/>
      <c r="AF218" s="463">
        <v>0</v>
      </c>
      <c r="AG218" s="617"/>
    </row>
    <row r="219" spans="1:34" s="14" customFormat="1" ht="15" customHeight="1">
      <c r="A219" s="409" t="s">
        <v>243</v>
      </c>
      <c r="B219" s="339" t="s">
        <v>255</v>
      </c>
      <c r="C219" s="507"/>
      <c r="D219" s="508">
        <v>162122</v>
      </c>
      <c r="E219" s="532">
        <v>9</v>
      </c>
      <c r="F219" s="450">
        <f t="shared" si="16"/>
        <v>124845</v>
      </c>
      <c r="G219" s="451">
        <f t="shared" si="17"/>
        <v>111653</v>
      </c>
      <c r="H219" s="463">
        <v>25740</v>
      </c>
      <c r="I219" s="459">
        <v>7536</v>
      </c>
      <c r="J219" s="463">
        <v>10527</v>
      </c>
      <c r="K219" s="459">
        <v>3581</v>
      </c>
      <c r="L219" s="463">
        <v>62985</v>
      </c>
      <c r="M219" s="463">
        <v>25593</v>
      </c>
      <c r="N219" s="463">
        <v>0</v>
      </c>
      <c r="O219" s="459">
        <v>68019</v>
      </c>
      <c r="P219" s="459">
        <v>32517</v>
      </c>
      <c r="Q219" s="459">
        <v>0</v>
      </c>
      <c r="R219" s="463">
        <v>0</v>
      </c>
      <c r="S219" s="459">
        <v>0</v>
      </c>
      <c r="T219" s="450">
        <f t="shared" si="18"/>
        <v>0</v>
      </c>
      <c r="U219" s="451">
        <f t="shared" si="19"/>
        <v>0</v>
      </c>
      <c r="V219" s="463">
        <v>0</v>
      </c>
      <c r="W219" s="459"/>
      <c r="X219" s="463">
        <v>0</v>
      </c>
      <c r="Y219" s="459"/>
      <c r="Z219" s="463">
        <v>0</v>
      </c>
      <c r="AA219" s="463">
        <v>0</v>
      </c>
      <c r="AB219" s="463">
        <v>0</v>
      </c>
      <c r="AC219" s="459"/>
      <c r="AD219" s="459"/>
      <c r="AE219" s="459"/>
      <c r="AF219" s="463">
        <v>0</v>
      </c>
      <c r="AG219" s="617"/>
      <c r="AH219" s="15"/>
    </row>
    <row r="220" spans="1:34">
      <c r="A220" s="338" t="s">
        <v>243</v>
      </c>
      <c r="B220" s="339" t="s">
        <v>256</v>
      </c>
      <c r="C220" s="507"/>
      <c r="D220" s="508">
        <v>434672</v>
      </c>
      <c r="E220" s="509">
        <v>8</v>
      </c>
      <c r="F220" s="450">
        <f t="shared" si="16"/>
        <v>313344.5</v>
      </c>
      <c r="G220" s="451">
        <f t="shared" si="17"/>
        <v>292731</v>
      </c>
      <c r="H220" s="452">
        <v>102323.5</v>
      </c>
      <c r="I220" s="459">
        <v>69840</v>
      </c>
      <c r="J220" s="463">
        <v>21649</v>
      </c>
      <c r="K220" s="459">
        <v>18506</v>
      </c>
      <c r="L220" s="463">
        <v>189372</v>
      </c>
      <c r="M220" s="463">
        <v>0</v>
      </c>
      <c r="N220" s="463">
        <v>0</v>
      </c>
      <c r="O220" s="459">
        <v>204385</v>
      </c>
      <c r="P220" s="459">
        <v>0</v>
      </c>
      <c r="Q220" s="459">
        <v>0</v>
      </c>
      <c r="R220" s="463">
        <v>0</v>
      </c>
      <c r="S220" s="459">
        <v>0</v>
      </c>
      <c r="T220" s="450">
        <f t="shared" si="18"/>
        <v>0</v>
      </c>
      <c r="U220" s="451">
        <f t="shared" si="19"/>
        <v>0</v>
      </c>
      <c r="V220" s="463">
        <v>0</v>
      </c>
      <c r="W220" s="459"/>
      <c r="X220" s="463">
        <v>0</v>
      </c>
      <c r="Y220" s="459"/>
      <c r="Z220" s="463">
        <v>0</v>
      </c>
      <c r="AA220" s="463">
        <v>0</v>
      </c>
      <c r="AB220" s="463">
        <v>0</v>
      </c>
      <c r="AC220" s="459"/>
      <c r="AD220" s="459"/>
      <c r="AE220" s="459"/>
      <c r="AF220" s="463">
        <v>0</v>
      </c>
      <c r="AG220" s="617"/>
    </row>
    <row r="221" spans="1:34">
      <c r="A221" s="338" t="s">
        <v>243</v>
      </c>
      <c r="B221" s="339" t="s">
        <v>263</v>
      </c>
      <c r="C221" s="507"/>
      <c r="D221" s="508">
        <v>162557</v>
      </c>
      <c r="E221" s="509">
        <v>9</v>
      </c>
      <c r="F221" s="450">
        <f t="shared" si="16"/>
        <v>102774</v>
      </c>
      <c r="G221" s="451">
        <f t="shared" si="17"/>
        <v>93866</v>
      </c>
      <c r="H221" s="463">
        <v>54841</v>
      </c>
      <c r="I221" s="459">
        <v>8356</v>
      </c>
      <c r="J221" s="463">
        <v>10433</v>
      </c>
      <c r="K221" s="459">
        <v>12412</v>
      </c>
      <c r="L221" s="463">
        <v>37500</v>
      </c>
      <c r="M221" s="463">
        <v>0</v>
      </c>
      <c r="N221" s="463">
        <v>0</v>
      </c>
      <c r="O221" s="459">
        <v>73098</v>
      </c>
      <c r="P221" s="459">
        <v>0</v>
      </c>
      <c r="Q221" s="459">
        <v>0</v>
      </c>
      <c r="R221" s="463">
        <v>0</v>
      </c>
      <c r="S221" s="459">
        <v>0</v>
      </c>
      <c r="T221" s="450">
        <f t="shared" si="18"/>
        <v>0</v>
      </c>
      <c r="U221" s="451">
        <f t="shared" si="19"/>
        <v>0</v>
      </c>
      <c r="V221" s="463">
        <v>0</v>
      </c>
      <c r="W221" s="459"/>
      <c r="X221" s="463">
        <v>0</v>
      </c>
      <c r="Y221" s="459"/>
      <c r="Z221" s="463">
        <v>0</v>
      </c>
      <c r="AA221" s="463">
        <v>0</v>
      </c>
      <c r="AB221" s="463">
        <v>0</v>
      </c>
      <c r="AC221" s="459"/>
      <c r="AD221" s="459"/>
      <c r="AE221" s="459"/>
      <c r="AF221" s="463">
        <v>0</v>
      </c>
      <c r="AG221" s="617"/>
    </row>
    <row r="222" spans="1:34" s="14" customFormat="1" ht="15" customHeight="1">
      <c r="A222" s="338" t="s">
        <v>243</v>
      </c>
      <c r="B222" s="339" t="s">
        <v>269</v>
      </c>
      <c r="C222" s="507"/>
      <c r="D222" s="508">
        <v>162609</v>
      </c>
      <c r="E222" s="509">
        <v>10</v>
      </c>
      <c r="F222" s="450">
        <f t="shared" si="16"/>
        <v>13504.25</v>
      </c>
      <c r="G222" s="451">
        <f t="shared" si="17"/>
        <v>11524</v>
      </c>
      <c r="H222" s="452">
        <v>6927.25</v>
      </c>
      <c r="I222" s="459">
        <v>4354</v>
      </c>
      <c r="J222" s="463">
        <v>715</v>
      </c>
      <c r="K222" s="459">
        <v>896</v>
      </c>
      <c r="L222" s="463">
        <v>5862</v>
      </c>
      <c r="M222" s="463">
        <v>0</v>
      </c>
      <c r="N222" s="463">
        <v>0</v>
      </c>
      <c r="O222" s="459">
        <v>6274</v>
      </c>
      <c r="P222" s="459">
        <v>0</v>
      </c>
      <c r="Q222" s="459">
        <v>0</v>
      </c>
      <c r="R222" s="463">
        <v>0</v>
      </c>
      <c r="S222" s="459">
        <v>0</v>
      </c>
      <c r="T222" s="450">
        <f t="shared" si="18"/>
        <v>0</v>
      </c>
      <c r="U222" s="451">
        <f t="shared" si="19"/>
        <v>0</v>
      </c>
      <c r="V222" s="463">
        <v>0</v>
      </c>
      <c r="W222" s="459"/>
      <c r="X222" s="463">
        <v>0</v>
      </c>
      <c r="Y222" s="459"/>
      <c r="Z222" s="463">
        <v>0</v>
      </c>
      <c r="AA222" s="463">
        <v>0</v>
      </c>
      <c r="AB222" s="463">
        <v>0</v>
      </c>
      <c r="AC222" s="459"/>
      <c r="AD222" s="459"/>
      <c r="AE222" s="459"/>
      <c r="AF222" s="463">
        <v>0</v>
      </c>
      <c r="AG222" s="617"/>
      <c r="AH222" s="15"/>
    </row>
    <row r="223" spans="1:34" s="14" customFormat="1" ht="15" customHeight="1">
      <c r="A223" s="338" t="s">
        <v>243</v>
      </c>
      <c r="B223" s="339" t="s">
        <v>264</v>
      </c>
      <c r="C223" s="507"/>
      <c r="D223" s="508">
        <v>162690</v>
      </c>
      <c r="E223" s="509">
        <v>9</v>
      </c>
      <c r="F223" s="450">
        <f t="shared" si="16"/>
        <v>82570</v>
      </c>
      <c r="G223" s="451">
        <f t="shared" si="17"/>
        <v>66780</v>
      </c>
      <c r="H223" s="463">
        <v>26859</v>
      </c>
      <c r="I223" s="459">
        <v>13088</v>
      </c>
      <c r="J223" s="463">
        <v>5103</v>
      </c>
      <c r="K223" s="459">
        <v>4411</v>
      </c>
      <c r="L223" s="463">
        <v>50608</v>
      </c>
      <c r="M223" s="463">
        <v>0</v>
      </c>
      <c r="N223" s="463">
        <v>0</v>
      </c>
      <c r="O223" s="459">
        <v>49281</v>
      </c>
      <c r="P223" s="459">
        <v>0</v>
      </c>
      <c r="Q223" s="459">
        <v>0</v>
      </c>
      <c r="R223" s="463">
        <v>0</v>
      </c>
      <c r="S223" s="459">
        <v>0</v>
      </c>
      <c r="T223" s="450">
        <f t="shared" si="18"/>
        <v>0</v>
      </c>
      <c r="U223" s="451">
        <f t="shared" si="19"/>
        <v>0</v>
      </c>
      <c r="V223" s="463">
        <v>0</v>
      </c>
      <c r="W223" s="459"/>
      <c r="X223" s="463">
        <v>0</v>
      </c>
      <c r="Y223" s="459"/>
      <c r="Z223" s="463">
        <v>0</v>
      </c>
      <c r="AA223" s="463">
        <v>0</v>
      </c>
      <c r="AB223" s="463">
        <v>0</v>
      </c>
      <c r="AC223" s="459"/>
      <c r="AD223" s="459"/>
      <c r="AE223" s="459"/>
      <c r="AF223" s="463">
        <v>0</v>
      </c>
      <c r="AG223" s="617"/>
      <c r="AH223" s="15"/>
    </row>
    <row r="224" spans="1:34">
      <c r="A224" s="338" t="s">
        <v>243</v>
      </c>
      <c r="B224" s="339" t="s">
        <v>265</v>
      </c>
      <c r="C224" s="510"/>
      <c r="D224" s="508">
        <v>162706</v>
      </c>
      <c r="E224" s="509">
        <v>9</v>
      </c>
      <c r="F224" s="450">
        <f t="shared" si="16"/>
        <v>99517.5</v>
      </c>
      <c r="G224" s="451">
        <f t="shared" si="17"/>
        <v>85545</v>
      </c>
      <c r="H224" s="452">
        <v>45856.5</v>
      </c>
      <c r="I224" s="459">
        <v>17098</v>
      </c>
      <c r="J224" s="463">
        <v>1794</v>
      </c>
      <c r="K224" s="459">
        <v>1180</v>
      </c>
      <c r="L224" s="463">
        <v>51867</v>
      </c>
      <c r="M224" s="463">
        <v>0</v>
      </c>
      <c r="N224" s="463">
        <v>0</v>
      </c>
      <c r="O224" s="459">
        <v>67267</v>
      </c>
      <c r="P224" s="459">
        <v>0</v>
      </c>
      <c r="Q224" s="459">
        <v>0</v>
      </c>
      <c r="R224" s="463">
        <v>0</v>
      </c>
      <c r="S224" s="459">
        <v>0</v>
      </c>
      <c r="T224" s="450">
        <f t="shared" si="18"/>
        <v>0</v>
      </c>
      <c r="U224" s="451">
        <f t="shared" si="19"/>
        <v>0</v>
      </c>
      <c r="V224" s="463">
        <v>0</v>
      </c>
      <c r="W224" s="459"/>
      <c r="X224" s="463">
        <v>0</v>
      </c>
      <c r="Y224" s="459"/>
      <c r="Z224" s="463">
        <v>0</v>
      </c>
      <c r="AA224" s="463">
        <v>0</v>
      </c>
      <c r="AB224" s="463">
        <v>0</v>
      </c>
      <c r="AC224" s="459"/>
      <c r="AD224" s="459"/>
      <c r="AE224" s="459"/>
      <c r="AF224" s="463">
        <v>0</v>
      </c>
      <c r="AG224" s="617"/>
    </row>
    <row r="225" spans="1:34">
      <c r="A225" s="338" t="s">
        <v>243</v>
      </c>
      <c r="B225" s="339" t="s">
        <v>257</v>
      </c>
      <c r="C225" s="507"/>
      <c r="D225" s="508">
        <v>162779</v>
      </c>
      <c r="E225" s="509">
        <v>8</v>
      </c>
      <c r="F225" s="450">
        <f t="shared" si="16"/>
        <v>175856</v>
      </c>
      <c r="G225" s="451">
        <f t="shared" si="17"/>
        <v>158294</v>
      </c>
      <c r="H225" s="463">
        <v>52364</v>
      </c>
      <c r="I225" s="459">
        <v>23402</v>
      </c>
      <c r="J225" s="463">
        <v>27303</v>
      </c>
      <c r="K225" s="459">
        <v>5313</v>
      </c>
      <c r="L225" s="463">
        <v>79860</v>
      </c>
      <c r="M225" s="463">
        <v>16329</v>
      </c>
      <c r="N225" s="463">
        <v>0</v>
      </c>
      <c r="O225" s="459">
        <v>95889</v>
      </c>
      <c r="P225" s="459">
        <v>33690</v>
      </c>
      <c r="Q225" s="459">
        <v>0</v>
      </c>
      <c r="R225" s="463">
        <v>0</v>
      </c>
      <c r="S225" s="459">
        <v>0</v>
      </c>
      <c r="T225" s="450">
        <f t="shared" si="18"/>
        <v>0</v>
      </c>
      <c r="U225" s="451">
        <f t="shared" si="19"/>
        <v>0</v>
      </c>
      <c r="V225" s="463">
        <v>0</v>
      </c>
      <c r="W225" s="459"/>
      <c r="X225" s="463">
        <v>0</v>
      </c>
      <c r="Y225" s="459"/>
      <c r="Z225" s="463">
        <v>0</v>
      </c>
      <c r="AA225" s="463">
        <v>0</v>
      </c>
      <c r="AB225" s="463">
        <v>0</v>
      </c>
      <c r="AC225" s="459"/>
      <c r="AD225" s="459"/>
      <c r="AE225" s="459"/>
      <c r="AF225" s="463">
        <v>0</v>
      </c>
      <c r="AG225" s="617"/>
    </row>
    <row r="226" spans="1:34">
      <c r="A226" s="338" t="s">
        <v>243</v>
      </c>
      <c r="B226" s="339" t="s">
        <v>258</v>
      </c>
      <c r="C226" s="507"/>
      <c r="D226" s="508">
        <v>163426</v>
      </c>
      <c r="E226" s="509">
        <v>8</v>
      </c>
      <c r="F226" s="450">
        <f t="shared" si="16"/>
        <v>641620</v>
      </c>
      <c r="G226" s="451">
        <f t="shared" si="17"/>
        <v>608069</v>
      </c>
      <c r="H226" s="463">
        <v>183192</v>
      </c>
      <c r="I226" s="459">
        <v>37444</v>
      </c>
      <c r="J226" s="463">
        <v>64244</v>
      </c>
      <c r="K226" s="459">
        <v>26537</v>
      </c>
      <c r="L226" s="463">
        <v>394184</v>
      </c>
      <c r="M226" s="463">
        <v>0</v>
      </c>
      <c r="N226" s="463">
        <v>0</v>
      </c>
      <c r="O226" s="459">
        <v>544088</v>
      </c>
      <c r="P226" s="459">
        <v>0</v>
      </c>
      <c r="Q226" s="459">
        <v>0</v>
      </c>
      <c r="R226" s="463">
        <v>0</v>
      </c>
      <c r="S226" s="459">
        <v>0</v>
      </c>
      <c r="T226" s="450">
        <f t="shared" si="18"/>
        <v>0</v>
      </c>
      <c r="U226" s="451">
        <f t="shared" si="19"/>
        <v>0</v>
      </c>
      <c r="V226" s="463">
        <v>0</v>
      </c>
      <c r="W226" s="459"/>
      <c r="X226" s="463">
        <v>0</v>
      </c>
      <c r="Y226" s="459"/>
      <c r="Z226" s="463">
        <v>0</v>
      </c>
      <c r="AA226" s="463">
        <v>0</v>
      </c>
      <c r="AB226" s="463">
        <v>0</v>
      </c>
      <c r="AC226" s="459"/>
      <c r="AD226" s="459"/>
      <c r="AE226" s="459"/>
      <c r="AF226" s="463">
        <v>0</v>
      </c>
      <c r="AG226" s="617"/>
    </row>
    <row r="227" spans="1:34">
      <c r="A227" s="338" t="s">
        <v>243</v>
      </c>
      <c r="B227" s="339" t="s">
        <v>259</v>
      </c>
      <c r="C227" s="507"/>
      <c r="D227" s="508">
        <v>163657</v>
      </c>
      <c r="E227" s="509">
        <v>8</v>
      </c>
      <c r="F227" s="450">
        <f t="shared" si="16"/>
        <v>404271</v>
      </c>
      <c r="G227" s="451">
        <f t="shared" si="17"/>
        <v>295177</v>
      </c>
      <c r="H227" s="463">
        <v>67452</v>
      </c>
      <c r="I227" s="459">
        <v>105184</v>
      </c>
      <c r="J227" s="463">
        <v>39966</v>
      </c>
      <c r="K227" s="459">
        <v>43265</v>
      </c>
      <c r="L227" s="463">
        <v>296853</v>
      </c>
      <c r="M227" s="463">
        <v>0</v>
      </c>
      <c r="N227" s="463">
        <v>0</v>
      </c>
      <c r="O227" s="459">
        <v>146728</v>
      </c>
      <c r="P227" s="459">
        <v>0</v>
      </c>
      <c r="Q227" s="459">
        <v>0</v>
      </c>
      <c r="R227" s="463">
        <v>0</v>
      </c>
      <c r="S227" s="459">
        <v>0</v>
      </c>
      <c r="T227" s="450">
        <f t="shared" si="18"/>
        <v>0</v>
      </c>
      <c r="U227" s="451">
        <f t="shared" si="19"/>
        <v>0</v>
      </c>
      <c r="V227" s="463">
        <v>0</v>
      </c>
      <c r="W227" s="459"/>
      <c r="X227" s="463">
        <v>0</v>
      </c>
      <c r="Y227" s="459"/>
      <c r="Z227" s="463">
        <v>0</v>
      </c>
      <c r="AA227" s="463">
        <v>0</v>
      </c>
      <c r="AB227" s="463">
        <v>0</v>
      </c>
      <c r="AC227" s="459"/>
      <c r="AD227" s="459"/>
      <c r="AE227" s="459"/>
      <c r="AF227" s="463">
        <v>0</v>
      </c>
      <c r="AG227" s="617"/>
    </row>
    <row r="228" spans="1:34" s="14" customFormat="1" ht="15" customHeight="1">
      <c r="A228" s="338" t="s">
        <v>243</v>
      </c>
      <c r="B228" s="339" t="s">
        <v>266</v>
      </c>
      <c r="C228" s="510"/>
      <c r="D228" s="508">
        <v>164313</v>
      </c>
      <c r="E228" s="509">
        <v>10</v>
      </c>
      <c r="F228" s="450">
        <f t="shared" si="16"/>
        <v>47327</v>
      </c>
      <c r="G228" s="451">
        <f t="shared" si="17"/>
        <v>42861</v>
      </c>
      <c r="H228" s="452">
        <v>17344.5</v>
      </c>
      <c r="I228" s="459">
        <v>13993</v>
      </c>
      <c r="J228" s="463">
        <v>1075</v>
      </c>
      <c r="K228" s="459">
        <v>2030</v>
      </c>
      <c r="L228" s="452">
        <v>28907.5</v>
      </c>
      <c r="M228" s="463">
        <v>0</v>
      </c>
      <c r="N228" s="463">
        <v>0</v>
      </c>
      <c r="O228" s="459">
        <v>26838</v>
      </c>
      <c r="P228" s="459">
        <v>0</v>
      </c>
      <c r="Q228" s="459">
        <v>0</v>
      </c>
      <c r="R228" s="463">
        <v>0</v>
      </c>
      <c r="S228" s="459">
        <v>0</v>
      </c>
      <c r="T228" s="450">
        <f t="shared" si="18"/>
        <v>0</v>
      </c>
      <c r="U228" s="451">
        <f t="shared" si="19"/>
        <v>0</v>
      </c>
      <c r="V228" s="463">
        <v>0</v>
      </c>
      <c r="W228" s="459"/>
      <c r="X228" s="463">
        <v>0</v>
      </c>
      <c r="Y228" s="459"/>
      <c r="Z228" s="463">
        <v>0</v>
      </c>
      <c r="AA228" s="463">
        <v>0</v>
      </c>
      <c r="AB228" s="463">
        <v>0</v>
      </c>
      <c r="AC228" s="459"/>
      <c r="AD228" s="459"/>
      <c r="AE228" s="459"/>
      <c r="AF228" s="463">
        <v>0</v>
      </c>
      <c r="AG228" s="617"/>
      <c r="AH228" s="15"/>
    </row>
    <row r="229" spans="1:34">
      <c r="A229" s="338" t="s">
        <v>243</v>
      </c>
      <c r="B229" s="339" t="s">
        <v>247</v>
      </c>
      <c r="C229" s="507"/>
      <c r="D229" s="508">
        <v>162007</v>
      </c>
      <c r="E229" s="509">
        <v>4</v>
      </c>
      <c r="F229" s="450">
        <f t="shared" si="16"/>
        <v>146010</v>
      </c>
      <c r="G229" s="451">
        <f t="shared" si="17"/>
        <v>142846</v>
      </c>
      <c r="H229" s="463">
        <v>51275</v>
      </c>
      <c r="I229" s="459">
        <v>34784</v>
      </c>
      <c r="J229" s="463">
        <v>0</v>
      </c>
      <c r="K229" s="459">
        <v>381</v>
      </c>
      <c r="L229" s="463">
        <v>94735</v>
      </c>
      <c r="M229" s="463">
        <v>0</v>
      </c>
      <c r="N229" s="463">
        <v>0</v>
      </c>
      <c r="O229" s="459">
        <v>107681</v>
      </c>
      <c r="P229" s="459">
        <v>0</v>
      </c>
      <c r="Q229" s="459">
        <v>0</v>
      </c>
      <c r="R229" s="463">
        <v>0</v>
      </c>
      <c r="S229" s="459">
        <v>0</v>
      </c>
      <c r="T229" s="450">
        <f t="shared" si="18"/>
        <v>15128</v>
      </c>
      <c r="U229" s="451">
        <f t="shared" si="19"/>
        <v>14865</v>
      </c>
      <c r="V229" s="463">
        <v>5431</v>
      </c>
      <c r="W229" s="459">
        <v>2682</v>
      </c>
      <c r="X229" s="463">
        <v>0</v>
      </c>
      <c r="Y229" s="459">
        <v>288</v>
      </c>
      <c r="Z229" s="463">
        <v>9697</v>
      </c>
      <c r="AA229" s="463">
        <v>0</v>
      </c>
      <c r="AB229" s="463">
        <v>0</v>
      </c>
      <c r="AC229" s="459">
        <v>11895</v>
      </c>
      <c r="AD229" s="459">
        <v>0</v>
      </c>
      <c r="AE229" s="459">
        <v>0</v>
      </c>
      <c r="AF229" s="463">
        <v>0</v>
      </c>
      <c r="AG229" s="617">
        <v>0</v>
      </c>
    </row>
    <row r="230" spans="1:34">
      <c r="A230" s="338" t="s">
        <v>243</v>
      </c>
      <c r="B230" s="339" t="s">
        <v>252</v>
      </c>
      <c r="C230" s="507"/>
      <c r="D230" s="508">
        <v>162283</v>
      </c>
      <c r="E230" s="509">
        <v>5</v>
      </c>
      <c r="F230" s="450">
        <f t="shared" si="16"/>
        <v>56181</v>
      </c>
      <c r="G230" s="451">
        <f t="shared" si="17"/>
        <v>46557</v>
      </c>
      <c r="H230" s="463">
        <v>42034</v>
      </c>
      <c r="I230" s="459">
        <v>32734</v>
      </c>
      <c r="J230" s="463">
        <v>21</v>
      </c>
      <c r="K230" s="459">
        <v>0</v>
      </c>
      <c r="L230" s="463">
        <v>14126</v>
      </c>
      <c r="M230" s="463">
        <v>0</v>
      </c>
      <c r="N230" s="463">
        <v>0</v>
      </c>
      <c r="O230" s="459">
        <v>13823</v>
      </c>
      <c r="P230" s="459">
        <v>0</v>
      </c>
      <c r="Q230" s="459">
        <v>0</v>
      </c>
      <c r="R230" s="463">
        <v>0</v>
      </c>
      <c r="S230" s="459">
        <v>0</v>
      </c>
      <c r="T230" s="450">
        <f t="shared" si="18"/>
        <v>3776</v>
      </c>
      <c r="U230" s="451">
        <f t="shared" si="19"/>
        <v>3136</v>
      </c>
      <c r="V230" s="463">
        <v>2998</v>
      </c>
      <c r="W230" s="459">
        <v>2151</v>
      </c>
      <c r="X230" s="463">
        <v>48</v>
      </c>
      <c r="Y230" s="459">
        <v>54</v>
      </c>
      <c r="Z230" s="463">
        <v>730</v>
      </c>
      <c r="AA230" s="463">
        <v>0</v>
      </c>
      <c r="AB230" s="463">
        <v>0</v>
      </c>
      <c r="AC230" s="459">
        <v>931</v>
      </c>
      <c r="AD230" s="459">
        <v>0</v>
      </c>
      <c r="AE230" s="459">
        <v>0</v>
      </c>
      <c r="AF230" s="463">
        <v>0</v>
      </c>
      <c r="AG230" s="617">
        <v>0</v>
      </c>
    </row>
    <row r="231" spans="1:34">
      <c r="A231" s="338" t="s">
        <v>243</v>
      </c>
      <c r="B231" s="339" t="s">
        <v>248</v>
      </c>
      <c r="C231" s="507"/>
      <c r="D231" s="508">
        <v>162584</v>
      </c>
      <c r="E231" s="509">
        <v>4</v>
      </c>
      <c r="F231" s="450">
        <f t="shared" si="16"/>
        <v>112015</v>
      </c>
      <c r="G231" s="451">
        <f t="shared" si="17"/>
        <v>101012</v>
      </c>
      <c r="H231" s="463">
        <v>83175</v>
      </c>
      <c r="I231" s="459">
        <v>62262</v>
      </c>
      <c r="J231" s="463">
        <v>1717</v>
      </c>
      <c r="K231" s="459">
        <v>1127</v>
      </c>
      <c r="L231" s="463">
        <v>27123</v>
      </c>
      <c r="M231" s="463">
        <v>0</v>
      </c>
      <c r="N231" s="463">
        <v>0</v>
      </c>
      <c r="O231" s="459">
        <v>37623</v>
      </c>
      <c r="P231" s="459">
        <v>0</v>
      </c>
      <c r="Q231" s="459">
        <v>0</v>
      </c>
      <c r="R231" s="463">
        <v>0</v>
      </c>
      <c r="S231" s="459">
        <v>0</v>
      </c>
      <c r="T231" s="450">
        <f t="shared" si="18"/>
        <v>13518</v>
      </c>
      <c r="U231" s="451">
        <f t="shared" si="19"/>
        <v>14633</v>
      </c>
      <c r="V231" s="463">
        <v>3818</v>
      </c>
      <c r="W231" s="459">
        <v>3590</v>
      </c>
      <c r="X231" s="463">
        <v>2593</v>
      </c>
      <c r="Y231" s="459">
        <v>3034</v>
      </c>
      <c r="Z231" s="463">
        <v>7107</v>
      </c>
      <c r="AA231" s="463">
        <v>0</v>
      </c>
      <c r="AB231" s="463">
        <v>0</v>
      </c>
      <c r="AC231" s="459">
        <v>8009</v>
      </c>
      <c r="AD231" s="459">
        <v>0</v>
      </c>
      <c r="AE231" s="459">
        <v>0</v>
      </c>
      <c r="AF231" s="463">
        <v>0</v>
      </c>
      <c r="AG231" s="617">
        <v>0</v>
      </c>
    </row>
    <row r="232" spans="1:34">
      <c r="A232" s="338" t="s">
        <v>243</v>
      </c>
      <c r="B232" s="339" t="s">
        <v>249</v>
      </c>
      <c r="C232" s="507"/>
      <c r="D232" s="508">
        <v>163851</v>
      </c>
      <c r="E232" s="509">
        <v>4</v>
      </c>
      <c r="F232" s="450">
        <f t="shared" si="16"/>
        <v>219186</v>
      </c>
      <c r="G232" s="451">
        <f t="shared" si="17"/>
        <v>201880</v>
      </c>
      <c r="H232" s="463">
        <v>99471</v>
      </c>
      <c r="I232" s="459">
        <v>84749</v>
      </c>
      <c r="J232" s="463">
        <v>1325</v>
      </c>
      <c r="K232" s="459">
        <v>904</v>
      </c>
      <c r="L232" s="463">
        <v>89901</v>
      </c>
      <c r="M232" s="463">
        <v>28489</v>
      </c>
      <c r="N232" s="463">
        <v>0</v>
      </c>
      <c r="O232" s="459">
        <v>116227</v>
      </c>
      <c r="P232" s="459">
        <v>0</v>
      </c>
      <c r="Q232" s="459">
        <v>0</v>
      </c>
      <c r="R232" s="463">
        <v>0</v>
      </c>
      <c r="S232" s="459">
        <v>0</v>
      </c>
      <c r="T232" s="450">
        <f t="shared" si="18"/>
        <v>16561</v>
      </c>
      <c r="U232" s="451">
        <f t="shared" si="19"/>
        <v>15851</v>
      </c>
      <c r="V232" s="463">
        <v>967</v>
      </c>
      <c r="W232" s="459">
        <v>945</v>
      </c>
      <c r="X232" s="463">
        <v>30</v>
      </c>
      <c r="Y232" s="459">
        <v>28</v>
      </c>
      <c r="Z232" s="463">
        <v>12055</v>
      </c>
      <c r="AA232" s="463">
        <v>3509</v>
      </c>
      <c r="AB232" s="463">
        <v>0</v>
      </c>
      <c r="AC232" s="459">
        <v>14878</v>
      </c>
      <c r="AD232" s="459">
        <v>0</v>
      </c>
      <c r="AE232" s="459">
        <v>0</v>
      </c>
      <c r="AF232" s="463">
        <v>0</v>
      </c>
      <c r="AG232" s="617">
        <v>0</v>
      </c>
    </row>
    <row r="233" spans="1:34">
      <c r="A233" s="338" t="s">
        <v>243</v>
      </c>
      <c r="B233" s="339" t="s">
        <v>246</v>
      </c>
      <c r="C233" s="507"/>
      <c r="D233" s="508">
        <v>164076</v>
      </c>
      <c r="E233" s="509">
        <v>3</v>
      </c>
      <c r="F233" s="450">
        <f t="shared" si="16"/>
        <v>539315</v>
      </c>
      <c r="G233" s="451">
        <f t="shared" si="17"/>
        <v>504795</v>
      </c>
      <c r="H233" s="463">
        <v>285422</v>
      </c>
      <c r="I233" s="459">
        <v>216408</v>
      </c>
      <c r="J233" s="463">
        <v>6337</v>
      </c>
      <c r="K233" s="459">
        <v>5666</v>
      </c>
      <c r="L233" s="463">
        <v>247556</v>
      </c>
      <c r="M233" s="463">
        <v>0</v>
      </c>
      <c r="N233" s="463">
        <v>0</v>
      </c>
      <c r="O233" s="459">
        <v>282721</v>
      </c>
      <c r="P233" s="459">
        <v>0</v>
      </c>
      <c r="Q233" s="459">
        <v>0</v>
      </c>
      <c r="R233" s="463">
        <v>0</v>
      </c>
      <c r="S233" s="459">
        <v>0</v>
      </c>
      <c r="T233" s="450">
        <f t="shared" si="18"/>
        <v>44942</v>
      </c>
      <c r="U233" s="451">
        <f t="shared" si="19"/>
        <v>45479</v>
      </c>
      <c r="V233" s="452">
        <v>18441.5</v>
      </c>
      <c r="W233" s="459">
        <v>16224</v>
      </c>
      <c r="X233" s="463">
        <v>3484</v>
      </c>
      <c r="Y233" s="459">
        <v>2149</v>
      </c>
      <c r="Z233" s="452">
        <v>23016.5</v>
      </c>
      <c r="AA233" s="463">
        <v>0</v>
      </c>
      <c r="AB233" s="463">
        <v>0</v>
      </c>
      <c r="AC233" s="459">
        <v>27106</v>
      </c>
      <c r="AD233" s="459">
        <v>0</v>
      </c>
      <c r="AE233" s="459">
        <v>0</v>
      </c>
      <c r="AF233" s="463">
        <v>0</v>
      </c>
      <c r="AG233" s="617">
        <v>0</v>
      </c>
    </row>
    <row r="234" spans="1:34">
      <c r="A234" s="338" t="s">
        <v>243</v>
      </c>
      <c r="B234" s="339" t="s">
        <v>250</v>
      </c>
      <c r="C234" s="510"/>
      <c r="D234" s="508">
        <v>161873</v>
      </c>
      <c r="E234" s="509">
        <v>3</v>
      </c>
      <c r="F234" s="450">
        <f t="shared" si="16"/>
        <v>41180</v>
      </c>
      <c r="G234" s="451">
        <f t="shared" si="17"/>
        <v>35672</v>
      </c>
      <c r="H234" s="463">
        <v>24214</v>
      </c>
      <c r="I234" s="459">
        <v>11562</v>
      </c>
      <c r="J234" s="463">
        <v>1074</v>
      </c>
      <c r="K234" s="459">
        <v>216</v>
      </c>
      <c r="L234" s="463">
        <v>15892</v>
      </c>
      <c r="M234" s="463">
        <v>0</v>
      </c>
      <c r="N234" s="463">
        <v>0</v>
      </c>
      <c r="O234" s="459">
        <v>23894</v>
      </c>
      <c r="P234" s="459">
        <v>0</v>
      </c>
      <c r="Q234" s="459">
        <v>0</v>
      </c>
      <c r="R234" s="463">
        <v>0</v>
      </c>
      <c r="S234" s="459">
        <v>0</v>
      </c>
      <c r="T234" s="450">
        <f t="shared" si="18"/>
        <v>39419.5</v>
      </c>
      <c r="U234" s="451">
        <f t="shared" si="19"/>
        <v>37601</v>
      </c>
      <c r="V234" s="452">
        <v>27661.5</v>
      </c>
      <c r="W234" s="459">
        <v>23775</v>
      </c>
      <c r="X234" s="463">
        <v>837</v>
      </c>
      <c r="Y234" s="459">
        <v>405</v>
      </c>
      <c r="Z234" s="463">
        <v>10921</v>
      </c>
      <c r="AA234" s="463">
        <v>0</v>
      </c>
      <c r="AB234" s="463">
        <v>0</v>
      </c>
      <c r="AC234" s="459">
        <v>13421</v>
      </c>
      <c r="AD234" s="459">
        <v>0</v>
      </c>
      <c r="AE234" s="459">
        <v>0</v>
      </c>
      <c r="AF234" s="463">
        <v>0</v>
      </c>
      <c r="AG234" s="617">
        <v>0</v>
      </c>
    </row>
    <row r="235" spans="1:34">
      <c r="A235" s="338" t="s">
        <v>243</v>
      </c>
      <c r="B235" s="339" t="s">
        <v>270</v>
      </c>
      <c r="C235" s="510"/>
      <c r="D235" s="508">
        <v>163259</v>
      </c>
      <c r="E235" s="509">
        <v>15</v>
      </c>
      <c r="F235" s="450">
        <f t="shared" si="16"/>
        <v>22607</v>
      </c>
      <c r="G235" s="451">
        <f t="shared" si="17"/>
        <v>23919</v>
      </c>
      <c r="H235" s="463">
        <v>11143</v>
      </c>
      <c r="I235" s="459">
        <v>50</v>
      </c>
      <c r="J235" s="463">
        <v>7447</v>
      </c>
      <c r="K235" s="459">
        <v>0</v>
      </c>
      <c r="L235" s="463">
        <v>4017</v>
      </c>
      <c r="M235" s="463">
        <v>0</v>
      </c>
      <c r="N235" s="463">
        <v>0</v>
      </c>
      <c r="O235" s="459">
        <v>23869</v>
      </c>
      <c r="P235" s="459">
        <v>0</v>
      </c>
      <c r="Q235" s="459">
        <v>0</v>
      </c>
      <c r="R235" s="463">
        <v>0</v>
      </c>
      <c r="S235" s="459">
        <v>0</v>
      </c>
      <c r="T235" s="450">
        <f t="shared" si="18"/>
        <v>77758</v>
      </c>
      <c r="U235" s="451">
        <f t="shared" si="19"/>
        <v>59670</v>
      </c>
      <c r="V235" s="463">
        <v>38444</v>
      </c>
      <c r="W235" s="459">
        <v>1595</v>
      </c>
      <c r="X235" s="463">
        <v>17219</v>
      </c>
      <c r="Y235" s="459">
        <v>6328</v>
      </c>
      <c r="Z235" s="463">
        <v>10539</v>
      </c>
      <c r="AA235" s="463">
        <v>11556</v>
      </c>
      <c r="AB235" s="463">
        <v>0</v>
      </c>
      <c r="AC235" s="459">
        <v>51747</v>
      </c>
      <c r="AD235" s="459">
        <v>0</v>
      </c>
      <c r="AE235" s="459">
        <v>0</v>
      </c>
      <c r="AF235" s="463">
        <v>0</v>
      </c>
      <c r="AG235" s="617">
        <v>0</v>
      </c>
    </row>
    <row r="236" spans="1:34">
      <c r="A236" s="338" t="s">
        <v>243</v>
      </c>
      <c r="B236" s="339" t="s">
        <v>245</v>
      </c>
      <c r="C236" s="507"/>
      <c r="D236" s="508">
        <v>163268</v>
      </c>
      <c r="E236" s="509">
        <v>2</v>
      </c>
      <c r="F236" s="450">
        <f t="shared" si="16"/>
        <v>314224.5</v>
      </c>
      <c r="G236" s="451">
        <f t="shared" si="17"/>
        <v>303704</v>
      </c>
      <c r="H236" s="463">
        <v>118868</v>
      </c>
      <c r="I236" s="459">
        <v>65423</v>
      </c>
      <c r="J236" s="463">
        <v>3644</v>
      </c>
      <c r="K236" s="459">
        <v>2352</v>
      </c>
      <c r="L236" s="452">
        <v>191712.5</v>
      </c>
      <c r="M236" s="463">
        <v>0</v>
      </c>
      <c r="N236" s="463">
        <v>0</v>
      </c>
      <c r="O236" s="459">
        <v>235929</v>
      </c>
      <c r="P236" s="459">
        <v>0</v>
      </c>
      <c r="Q236" s="459">
        <v>0</v>
      </c>
      <c r="R236" s="463">
        <v>0</v>
      </c>
      <c r="S236" s="459">
        <v>0</v>
      </c>
      <c r="T236" s="450">
        <f t="shared" si="18"/>
        <v>36927</v>
      </c>
      <c r="U236" s="451">
        <f t="shared" si="19"/>
        <v>38410</v>
      </c>
      <c r="V236" s="463">
        <v>12198</v>
      </c>
      <c r="W236" s="459">
        <v>8140</v>
      </c>
      <c r="X236" s="463">
        <v>1021</v>
      </c>
      <c r="Y236" s="459">
        <v>438</v>
      </c>
      <c r="Z236" s="463">
        <v>23708</v>
      </c>
      <c r="AA236" s="463">
        <v>0</v>
      </c>
      <c r="AB236" s="463">
        <v>0</v>
      </c>
      <c r="AC236" s="459">
        <v>29832</v>
      </c>
      <c r="AD236" s="459">
        <v>0</v>
      </c>
      <c r="AE236" s="459">
        <v>0</v>
      </c>
      <c r="AF236" s="463">
        <v>0</v>
      </c>
      <c r="AG236" s="617">
        <v>0</v>
      </c>
    </row>
    <row r="237" spans="1:34">
      <c r="A237" s="338" t="s">
        <v>243</v>
      </c>
      <c r="B237" s="364" t="s">
        <v>748</v>
      </c>
      <c r="C237" s="507"/>
      <c r="D237" s="508">
        <v>163286</v>
      </c>
      <c r="E237" s="509">
        <v>1</v>
      </c>
      <c r="F237" s="450">
        <f t="shared" si="16"/>
        <v>883046</v>
      </c>
      <c r="G237" s="451">
        <f t="shared" si="17"/>
        <v>882237</v>
      </c>
      <c r="H237" s="463">
        <v>435071</v>
      </c>
      <c r="I237" s="459">
        <v>424630</v>
      </c>
      <c r="J237" s="463">
        <v>8141</v>
      </c>
      <c r="K237" s="459">
        <v>6132</v>
      </c>
      <c r="L237" s="463">
        <v>439462</v>
      </c>
      <c r="M237" s="463">
        <v>372</v>
      </c>
      <c r="N237" s="463">
        <v>0</v>
      </c>
      <c r="O237" s="459">
        <v>451102</v>
      </c>
      <c r="P237" s="459">
        <v>373</v>
      </c>
      <c r="Q237" s="459">
        <v>0</v>
      </c>
      <c r="R237" s="463">
        <v>0</v>
      </c>
      <c r="S237" s="459">
        <v>0</v>
      </c>
      <c r="T237" s="450">
        <f t="shared" si="18"/>
        <v>150008</v>
      </c>
      <c r="U237" s="451">
        <f t="shared" si="19"/>
        <v>156169</v>
      </c>
      <c r="V237" s="463">
        <v>76767</v>
      </c>
      <c r="W237" s="459">
        <v>90906</v>
      </c>
      <c r="X237" s="463">
        <v>11771</v>
      </c>
      <c r="Y237" s="459">
        <v>11897</v>
      </c>
      <c r="Z237" s="463">
        <v>61318</v>
      </c>
      <c r="AA237" s="463">
        <v>152</v>
      </c>
      <c r="AB237" s="463">
        <v>0</v>
      </c>
      <c r="AC237" s="459">
        <v>53292</v>
      </c>
      <c r="AD237" s="459">
        <v>74</v>
      </c>
      <c r="AE237" s="459">
        <v>0</v>
      </c>
      <c r="AF237" s="463">
        <v>0</v>
      </c>
      <c r="AG237" s="617">
        <v>0</v>
      </c>
    </row>
    <row r="238" spans="1:34">
      <c r="A238" s="338" t="s">
        <v>243</v>
      </c>
      <c r="B238" s="339" t="s">
        <v>251</v>
      </c>
      <c r="C238" s="507"/>
      <c r="D238" s="508">
        <v>163338</v>
      </c>
      <c r="E238" s="509">
        <v>4</v>
      </c>
      <c r="F238" s="450">
        <f t="shared" si="16"/>
        <v>61666</v>
      </c>
      <c r="G238" s="451">
        <f t="shared" si="17"/>
        <v>53460</v>
      </c>
      <c r="H238" s="463">
        <v>37506</v>
      </c>
      <c r="I238" s="459">
        <v>39196</v>
      </c>
      <c r="J238" s="463">
        <v>683.5</v>
      </c>
      <c r="K238" s="459">
        <v>503</v>
      </c>
      <c r="L238" s="452">
        <v>23476.5</v>
      </c>
      <c r="M238" s="463">
        <v>0</v>
      </c>
      <c r="N238" s="463">
        <v>0</v>
      </c>
      <c r="O238" s="459">
        <v>13761</v>
      </c>
      <c r="P238" s="459">
        <v>0</v>
      </c>
      <c r="Q238" s="459">
        <v>0</v>
      </c>
      <c r="R238" s="463">
        <v>0</v>
      </c>
      <c r="S238" s="459">
        <v>0</v>
      </c>
      <c r="T238" s="450">
        <f t="shared" si="18"/>
        <v>15529.5</v>
      </c>
      <c r="U238" s="451">
        <f t="shared" si="19"/>
        <v>16499</v>
      </c>
      <c r="V238" s="463">
        <v>11465</v>
      </c>
      <c r="W238" s="459">
        <v>15077</v>
      </c>
      <c r="X238" s="463">
        <v>213</v>
      </c>
      <c r="Y238" s="459">
        <v>93</v>
      </c>
      <c r="Z238" s="452">
        <v>3851.5</v>
      </c>
      <c r="AA238" s="463">
        <v>0</v>
      </c>
      <c r="AB238" s="463">
        <v>0</v>
      </c>
      <c r="AC238" s="459">
        <v>1329</v>
      </c>
      <c r="AD238" s="459">
        <v>0</v>
      </c>
      <c r="AE238" s="459">
        <v>0</v>
      </c>
      <c r="AF238" s="463">
        <v>0</v>
      </c>
      <c r="AG238" s="617">
        <v>0</v>
      </c>
    </row>
    <row r="239" spans="1:34">
      <c r="A239" s="338" t="s">
        <v>243</v>
      </c>
      <c r="B239" s="339" t="s">
        <v>732</v>
      </c>
      <c r="C239" s="507"/>
      <c r="D239" s="508">
        <v>163204</v>
      </c>
      <c r="E239" s="509">
        <v>15</v>
      </c>
      <c r="F239" s="450">
        <f t="shared" si="16"/>
        <v>868447</v>
      </c>
      <c r="G239" s="451">
        <f t="shared" si="17"/>
        <v>856788</v>
      </c>
      <c r="H239" s="463">
        <v>0</v>
      </c>
      <c r="I239" s="459">
        <v>0</v>
      </c>
      <c r="J239" s="463">
        <v>29413</v>
      </c>
      <c r="K239" s="459">
        <v>18308</v>
      </c>
      <c r="L239" s="463">
        <v>839034</v>
      </c>
      <c r="M239" s="463">
        <v>0</v>
      </c>
      <c r="N239" s="463">
        <v>0</v>
      </c>
      <c r="O239" s="459">
        <v>838161</v>
      </c>
      <c r="P239" s="459">
        <v>319</v>
      </c>
      <c r="Q239" s="459">
        <v>0</v>
      </c>
      <c r="R239" s="463">
        <v>0</v>
      </c>
      <c r="S239" s="459">
        <v>0</v>
      </c>
      <c r="T239" s="450">
        <f t="shared" si="18"/>
        <v>189581</v>
      </c>
      <c r="U239" s="451">
        <f t="shared" si="19"/>
        <v>178211</v>
      </c>
      <c r="V239" s="463">
        <v>0</v>
      </c>
      <c r="W239" s="459">
        <v>0</v>
      </c>
      <c r="X239" s="463">
        <v>3480</v>
      </c>
      <c r="Y239" s="459">
        <v>2391</v>
      </c>
      <c r="Z239" s="463">
        <v>186101</v>
      </c>
      <c r="AA239" s="463">
        <v>0</v>
      </c>
      <c r="AB239" s="463">
        <v>0</v>
      </c>
      <c r="AC239" s="459">
        <v>175310</v>
      </c>
      <c r="AD239" s="459">
        <v>510</v>
      </c>
      <c r="AE239" s="459">
        <v>0</v>
      </c>
      <c r="AF239" s="463">
        <v>0</v>
      </c>
      <c r="AG239" s="617">
        <v>0</v>
      </c>
    </row>
    <row r="240" spans="1:34">
      <c r="A240" s="338" t="s">
        <v>243</v>
      </c>
      <c r="B240" s="339" t="s">
        <v>244</v>
      </c>
      <c r="C240" s="510"/>
      <c r="D240" s="508">
        <v>163453</v>
      </c>
      <c r="E240" s="509">
        <v>2</v>
      </c>
      <c r="F240" s="450">
        <f t="shared" si="16"/>
        <v>182089</v>
      </c>
      <c r="G240" s="451">
        <f t="shared" si="17"/>
        <v>183180</v>
      </c>
      <c r="H240" s="463">
        <v>147893</v>
      </c>
      <c r="I240" s="459">
        <v>136317</v>
      </c>
      <c r="J240" s="463">
        <v>63</v>
      </c>
      <c r="K240" s="459">
        <v>21</v>
      </c>
      <c r="L240" s="463">
        <v>34133</v>
      </c>
      <c r="M240" s="463">
        <v>0</v>
      </c>
      <c r="N240" s="463">
        <v>0</v>
      </c>
      <c r="O240" s="459">
        <v>46842</v>
      </c>
      <c r="P240" s="459">
        <v>0</v>
      </c>
      <c r="Q240" s="459">
        <v>0</v>
      </c>
      <c r="R240" s="463">
        <v>0</v>
      </c>
      <c r="S240" s="459">
        <v>0</v>
      </c>
      <c r="T240" s="450">
        <f t="shared" si="18"/>
        <v>25251</v>
      </c>
      <c r="U240" s="451">
        <f t="shared" si="19"/>
        <v>26278</v>
      </c>
      <c r="V240" s="463">
        <v>18852</v>
      </c>
      <c r="W240" s="459">
        <v>17385</v>
      </c>
      <c r="X240" s="463">
        <v>27</v>
      </c>
      <c r="Y240" s="459">
        <v>27</v>
      </c>
      <c r="Z240" s="463">
        <v>6372</v>
      </c>
      <c r="AA240" s="463">
        <v>0</v>
      </c>
      <c r="AB240" s="463">
        <v>0</v>
      </c>
      <c r="AC240" s="459">
        <v>8866</v>
      </c>
      <c r="AD240" s="459">
        <v>0</v>
      </c>
      <c r="AE240" s="459">
        <v>0</v>
      </c>
      <c r="AF240" s="463">
        <v>0</v>
      </c>
      <c r="AG240" s="617">
        <v>0</v>
      </c>
    </row>
    <row r="241" spans="1:33">
      <c r="A241" s="338" t="s">
        <v>243</v>
      </c>
      <c r="B241" s="339" t="s">
        <v>253</v>
      </c>
      <c r="C241" s="507"/>
      <c r="D241" s="508">
        <v>163912</v>
      </c>
      <c r="E241" s="509">
        <v>6</v>
      </c>
      <c r="F241" s="450">
        <f t="shared" si="16"/>
        <v>46411.5</v>
      </c>
      <c r="G241" s="451">
        <f t="shared" si="17"/>
        <v>47785</v>
      </c>
      <c r="H241" s="452">
        <v>35938.5</v>
      </c>
      <c r="I241" s="459">
        <v>34402</v>
      </c>
      <c r="J241" s="463">
        <v>0</v>
      </c>
      <c r="K241" s="459">
        <v>0</v>
      </c>
      <c r="L241" s="463">
        <v>10473</v>
      </c>
      <c r="M241" s="463">
        <v>0</v>
      </c>
      <c r="N241" s="463">
        <v>0</v>
      </c>
      <c r="O241" s="459">
        <v>13383</v>
      </c>
      <c r="P241" s="459">
        <v>0</v>
      </c>
      <c r="Q241" s="459">
        <v>0</v>
      </c>
      <c r="R241" s="463">
        <v>0</v>
      </c>
      <c r="S241" s="459">
        <v>0</v>
      </c>
      <c r="T241" s="450">
        <f t="shared" si="18"/>
        <v>889</v>
      </c>
      <c r="U241" s="451">
        <f t="shared" si="19"/>
        <v>985</v>
      </c>
      <c r="V241" s="463">
        <v>292</v>
      </c>
      <c r="W241" s="459">
        <v>593</v>
      </c>
      <c r="X241" s="463">
        <v>0</v>
      </c>
      <c r="Y241" s="459">
        <v>0</v>
      </c>
      <c r="Z241" s="463">
        <v>597</v>
      </c>
      <c r="AA241" s="463">
        <v>0</v>
      </c>
      <c r="AB241" s="463">
        <v>0</v>
      </c>
      <c r="AC241" s="459">
        <v>392</v>
      </c>
      <c r="AD241" s="459">
        <v>0</v>
      </c>
      <c r="AE241" s="459">
        <v>0</v>
      </c>
      <c r="AF241" s="463">
        <v>0</v>
      </c>
      <c r="AG241" s="617">
        <v>0</v>
      </c>
    </row>
    <row r="242" spans="1:33" s="14" customFormat="1" ht="15.75" customHeight="1">
      <c r="A242" s="421" t="s">
        <v>271</v>
      </c>
      <c r="B242" s="365" t="s">
        <v>272</v>
      </c>
      <c r="C242" s="533"/>
      <c r="D242" s="534">
        <v>176080</v>
      </c>
      <c r="E242" s="535">
        <v>1</v>
      </c>
      <c r="F242" s="450">
        <f t="shared" si="16"/>
        <v>549213</v>
      </c>
      <c r="G242" s="451">
        <f t="shared" si="17"/>
        <v>533007</v>
      </c>
      <c r="H242" s="463">
        <v>342357</v>
      </c>
      <c r="I242" s="459">
        <v>342545</v>
      </c>
      <c r="J242" s="463">
        <v>5633</v>
      </c>
      <c r="K242" s="459">
        <v>3839</v>
      </c>
      <c r="L242" s="463">
        <v>200977</v>
      </c>
      <c r="M242" s="463">
        <v>246</v>
      </c>
      <c r="N242" s="463"/>
      <c r="O242" s="459">
        <v>186406</v>
      </c>
      <c r="P242" s="459">
        <v>217</v>
      </c>
      <c r="Q242" s="459"/>
      <c r="R242" s="463"/>
      <c r="S242" s="459"/>
      <c r="T242" s="450">
        <f t="shared" si="18"/>
        <v>61690</v>
      </c>
      <c r="U242" s="451">
        <f t="shared" si="19"/>
        <v>71299</v>
      </c>
      <c r="V242" s="463">
        <v>27861</v>
      </c>
      <c r="W242" s="459">
        <v>33479</v>
      </c>
      <c r="X242" s="463">
        <v>685</v>
      </c>
      <c r="Y242" s="459">
        <v>1812</v>
      </c>
      <c r="Z242" s="463">
        <v>32946</v>
      </c>
      <c r="AA242" s="463">
        <v>198</v>
      </c>
      <c r="AB242" s="463"/>
      <c r="AC242" s="459">
        <v>35885</v>
      </c>
      <c r="AD242" s="459">
        <v>123</v>
      </c>
      <c r="AE242" s="459"/>
      <c r="AF242" s="463"/>
      <c r="AG242" s="617"/>
    </row>
    <row r="243" spans="1:33" s="14" customFormat="1" ht="15.75" customHeight="1">
      <c r="A243" s="421" t="s">
        <v>271</v>
      </c>
      <c r="B243" s="365" t="s">
        <v>275</v>
      </c>
      <c r="C243" s="536"/>
      <c r="D243" s="534">
        <v>176017</v>
      </c>
      <c r="E243" s="535">
        <v>1</v>
      </c>
      <c r="F243" s="450">
        <f t="shared" si="16"/>
        <v>501424</v>
      </c>
      <c r="G243" s="451">
        <f t="shared" si="17"/>
        <v>481115</v>
      </c>
      <c r="H243" s="463">
        <v>242260</v>
      </c>
      <c r="I243" s="459">
        <v>228092</v>
      </c>
      <c r="J243" s="463">
        <v>28569</v>
      </c>
      <c r="K243" s="459">
        <v>28030</v>
      </c>
      <c r="L243" s="463">
        <v>220926</v>
      </c>
      <c r="M243" s="463">
        <v>5319</v>
      </c>
      <c r="N243" s="463"/>
      <c r="O243" s="459">
        <v>217241</v>
      </c>
      <c r="P243" s="459">
        <v>3819</v>
      </c>
      <c r="Q243" s="459"/>
      <c r="R243" s="463">
        <v>4350</v>
      </c>
      <c r="S243" s="459">
        <v>3933</v>
      </c>
      <c r="T243" s="450">
        <f t="shared" si="18"/>
        <v>72959</v>
      </c>
      <c r="U243" s="451">
        <f t="shared" si="19"/>
        <v>77715</v>
      </c>
      <c r="V243" s="463">
        <v>52519</v>
      </c>
      <c r="W243" s="459">
        <v>52879</v>
      </c>
      <c r="X243" s="463">
        <v>588</v>
      </c>
      <c r="Y243" s="459">
        <v>578</v>
      </c>
      <c r="Z243" s="463">
        <v>19282</v>
      </c>
      <c r="AA243" s="463">
        <v>516</v>
      </c>
      <c r="AB243" s="463"/>
      <c r="AC243" s="459">
        <v>23188</v>
      </c>
      <c r="AD243" s="459">
        <v>974</v>
      </c>
      <c r="AE243" s="459"/>
      <c r="AF243" s="463">
        <v>54</v>
      </c>
      <c r="AG243" s="617">
        <v>96</v>
      </c>
    </row>
    <row r="244" spans="1:33">
      <c r="A244" s="421" t="s">
        <v>271</v>
      </c>
      <c r="B244" s="365" t="s">
        <v>273</v>
      </c>
      <c r="C244" s="533"/>
      <c r="D244" s="534">
        <v>176372</v>
      </c>
      <c r="E244" s="535">
        <v>1</v>
      </c>
      <c r="F244" s="450">
        <f t="shared" si="16"/>
        <v>330945</v>
      </c>
      <c r="G244" s="451">
        <f t="shared" si="17"/>
        <v>314003</v>
      </c>
      <c r="H244" s="463">
        <v>124697</v>
      </c>
      <c r="I244" s="459">
        <v>109519</v>
      </c>
      <c r="J244" s="463">
        <v>12144</v>
      </c>
      <c r="K244" s="459">
        <v>7352</v>
      </c>
      <c r="L244" s="463">
        <v>190809</v>
      </c>
      <c r="M244" s="463">
        <v>3295</v>
      </c>
      <c r="N244" s="463"/>
      <c r="O244" s="459">
        <v>194078</v>
      </c>
      <c r="P244" s="459">
        <v>3054</v>
      </c>
      <c r="Q244" s="459"/>
      <c r="R244" s="463"/>
      <c r="S244" s="459"/>
      <c r="T244" s="450">
        <f t="shared" si="18"/>
        <v>53687</v>
      </c>
      <c r="U244" s="451">
        <f t="shared" si="19"/>
        <v>63436</v>
      </c>
      <c r="V244" s="463">
        <v>18776</v>
      </c>
      <c r="W244" s="459">
        <v>20181</v>
      </c>
      <c r="X244" s="463">
        <v>2650</v>
      </c>
      <c r="Y244" s="459">
        <v>3305</v>
      </c>
      <c r="Z244" s="463">
        <v>31858</v>
      </c>
      <c r="AA244" s="463">
        <v>403</v>
      </c>
      <c r="AB244" s="463"/>
      <c r="AC244" s="459">
        <v>39774</v>
      </c>
      <c r="AD244" s="459">
        <v>176</v>
      </c>
      <c r="AE244" s="459"/>
      <c r="AF244" s="463"/>
      <c r="AG244" s="617"/>
    </row>
    <row r="245" spans="1:33" s="14" customFormat="1" ht="15" customHeight="1">
      <c r="A245" s="421" t="s">
        <v>271</v>
      </c>
      <c r="B245" s="365" t="s">
        <v>274</v>
      </c>
      <c r="C245" s="533"/>
      <c r="D245" s="534">
        <v>175856</v>
      </c>
      <c r="E245" s="535">
        <v>2</v>
      </c>
      <c r="F245" s="450">
        <f t="shared" si="16"/>
        <v>132288.5</v>
      </c>
      <c r="G245" s="451">
        <f t="shared" si="17"/>
        <v>136390.5</v>
      </c>
      <c r="H245" s="463">
        <v>47090</v>
      </c>
      <c r="I245" s="459">
        <v>46195</v>
      </c>
      <c r="J245" s="463">
        <v>1043</v>
      </c>
      <c r="K245" s="459">
        <v>27</v>
      </c>
      <c r="L245" s="463">
        <v>84155.5</v>
      </c>
      <c r="M245" s="463"/>
      <c r="N245" s="463"/>
      <c r="O245" s="459">
        <v>90168.5</v>
      </c>
      <c r="P245" s="459"/>
      <c r="Q245" s="459"/>
      <c r="R245" s="463"/>
      <c r="S245" s="459"/>
      <c r="T245" s="450">
        <f t="shared" si="18"/>
        <v>34452</v>
      </c>
      <c r="U245" s="451">
        <f t="shared" si="19"/>
        <v>38579.5</v>
      </c>
      <c r="V245" s="463">
        <v>7469</v>
      </c>
      <c r="W245" s="459">
        <v>9033.5</v>
      </c>
      <c r="X245" s="463">
        <v>2921</v>
      </c>
      <c r="Y245" s="459">
        <v>652</v>
      </c>
      <c r="Z245" s="463">
        <v>24062</v>
      </c>
      <c r="AA245" s="463"/>
      <c r="AB245" s="463"/>
      <c r="AC245" s="459">
        <v>28894</v>
      </c>
      <c r="AD245" s="459"/>
      <c r="AE245" s="459"/>
      <c r="AF245" s="463"/>
      <c r="AG245" s="617"/>
    </row>
    <row r="246" spans="1:33">
      <c r="A246" s="421" t="s">
        <v>271</v>
      </c>
      <c r="B246" s="365" t="s">
        <v>276</v>
      </c>
      <c r="C246" s="533"/>
      <c r="D246" s="534">
        <v>175342</v>
      </c>
      <c r="E246" s="535">
        <v>4</v>
      </c>
      <c r="F246" s="450">
        <f t="shared" si="16"/>
        <v>83038</v>
      </c>
      <c r="G246" s="451">
        <f t="shared" si="17"/>
        <v>75666</v>
      </c>
      <c r="H246" s="463">
        <v>52245</v>
      </c>
      <c r="I246" s="459">
        <v>46646</v>
      </c>
      <c r="J246" s="463">
        <v>2015</v>
      </c>
      <c r="K246" s="459">
        <v>2122</v>
      </c>
      <c r="L246" s="463">
        <v>28778</v>
      </c>
      <c r="M246" s="463"/>
      <c r="N246" s="463"/>
      <c r="O246" s="459">
        <v>26898</v>
      </c>
      <c r="P246" s="459"/>
      <c r="Q246" s="459"/>
      <c r="R246" s="463"/>
      <c r="S246" s="459"/>
      <c r="T246" s="450">
        <f t="shared" si="18"/>
        <v>7702</v>
      </c>
      <c r="U246" s="451">
        <f t="shared" si="19"/>
        <v>8903</v>
      </c>
      <c r="V246" s="463">
        <v>1374</v>
      </c>
      <c r="W246" s="459">
        <v>1860</v>
      </c>
      <c r="X246" s="463">
        <v>95</v>
      </c>
      <c r="Y246" s="459">
        <v>28</v>
      </c>
      <c r="Z246" s="463">
        <v>6233</v>
      </c>
      <c r="AA246" s="463"/>
      <c r="AB246" s="463"/>
      <c r="AC246" s="459">
        <v>6982</v>
      </c>
      <c r="AD246" s="459"/>
      <c r="AE246" s="459">
        <v>33</v>
      </c>
      <c r="AF246" s="463"/>
      <c r="AG246" s="617"/>
    </row>
    <row r="247" spans="1:33">
      <c r="A247" s="421" t="s">
        <v>271</v>
      </c>
      <c r="B247" s="365" t="s">
        <v>277</v>
      </c>
      <c r="C247" s="533"/>
      <c r="D247" s="534">
        <v>175616</v>
      </c>
      <c r="E247" s="535">
        <v>4</v>
      </c>
      <c r="F247" s="450">
        <f t="shared" si="16"/>
        <v>64119</v>
      </c>
      <c r="G247" s="451">
        <f t="shared" si="17"/>
        <v>52789.5</v>
      </c>
      <c r="H247" s="463">
        <v>37105</v>
      </c>
      <c r="I247" s="459">
        <v>27342.5</v>
      </c>
      <c r="J247" s="463">
        <v>4816</v>
      </c>
      <c r="K247" s="459">
        <v>2841</v>
      </c>
      <c r="L247" s="463">
        <v>22192</v>
      </c>
      <c r="M247" s="463"/>
      <c r="N247" s="463">
        <v>6</v>
      </c>
      <c r="O247" s="459">
        <v>22606</v>
      </c>
      <c r="P247" s="459"/>
      <c r="Q247" s="459"/>
      <c r="R247" s="463"/>
      <c r="S247" s="459"/>
      <c r="T247" s="450">
        <f t="shared" si="18"/>
        <v>16781</v>
      </c>
      <c r="U247" s="451">
        <f t="shared" si="19"/>
        <v>16277</v>
      </c>
      <c r="V247" s="463">
        <v>1189</v>
      </c>
      <c r="W247" s="459">
        <v>639</v>
      </c>
      <c r="X247" s="463">
        <v>18</v>
      </c>
      <c r="Y247" s="459">
        <v>6</v>
      </c>
      <c r="Z247" s="463">
        <v>15559</v>
      </c>
      <c r="AA247" s="463"/>
      <c r="AB247" s="463">
        <v>15</v>
      </c>
      <c r="AC247" s="459">
        <v>15632</v>
      </c>
      <c r="AD247" s="459"/>
      <c r="AE247" s="459"/>
      <c r="AF247" s="463"/>
      <c r="AG247" s="617"/>
    </row>
    <row r="248" spans="1:33" s="14" customFormat="1" ht="15" customHeight="1">
      <c r="A248" s="421" t="s">
        <v>271</v>
      </c>
      <c r="B248" s="365" t="s">
        <v>279</v>
      </c>
      <c r="C248" s="533"/>
      <c r="D248" s="534">
        <v>176035</v>
      </c>
      <c r="E248" s="535">
        <v>4</v>
      </c>
      <c r="F248" s="450">
        <f t="shared" si="16"/>
        <v>71875</v>
      </c>
      <c r="G248" s="451">
        <f t="shared" si="17"/>
        <v>64788</v>
      </c>
      <c r="H248" s="463">
        <v>21683</v>
      </c>
      <c r="I248" s="459">
        <v>18216</v>
      </c>
      <c r="J248" s="463"/>
      <c r="K248" s="459"/>
      <c r="L248" s="463">
        <v>50192</v>
      </c>
      <c r="M248" s="463"/>
      <c r="N248" s="463"/>
      <c r="O248" s="459">
        <v>46572</v>
      </c>
      <c r="P248" s="459"/>
      <c r="Q248" s="459"/>
      <c r="R248" s="463"/>
      <c r="S248" s="459"/>
      <c r="T248" s="450">
        <f t="shared" si="18"/>
        <v>5547</v>
      </c>
      <c r="U248" s="451">
        <f t="shared" si="19"/>
        <v>6484</v>
      </c>
      <c r="V248" s="463">
        <v>2043</v>
      </c>
      <c r="W248" s="459">
        <v>2382</v>
      </c>
      <c r="X248" s="463"/>
      <c r="Y248" s="459"/>
      <c r="Z248" s="463">
        <v>3504</v>
      </c>
      <c r="AA248" s="463"/>
      <c r="AB248" s="463"/>
      <c r="AC248" s="459">
        <v>4102</v>
      </c>
      <c r="AD248" s="459"/>
      <c r="AE248" s="459"/>
      <c r="AF248" s="463"/>
      <c r="AG248" s="617"/>
    </row>
    <row r="249" spans="1:33">
      <c r="A249" s="367" t="s">
        <v>271</v>
      </c>
      <c r="B249" s="365" t="s">
        <v>278</v>
      </c>
      <c r="C249" s="533"/>
      <c r="D249" s="534">
        <v>176044</v>
      </c>
      <c r="E249" s="535">
        <v>4</v>
      </c>
      <c r="F249" s="450">
        <f t="shared" si="16"/>
        <v>44044</v>
      </c>
      <c r="G249" s="451">
        <f t="shared" si="17"/>
        <v>39678</v>
      </c>
      <c r="H249" s="463">
        <v>27314</v>
      </c>
      <c r="I249" s="459">
        <v>23476</v>
      </c>
      <c r="J249" s="463">
        <v>168</v>
      </c>
      <c r="K249" s="459"/>
      <c r="L249" s="463">
        <v>16151</v>
      </c>
      <c r="M249" s="463"/>
      <c r="N249" s="463"/>
      <c r="O249" s="459">
        <v>15716</v>
      </c>
      <c r="P249" s="459"/>
      <c r="Q249" s="459"/>
      <c r="R249" s="463">
        <v>411</v>
      </c>
      <c r="S249" s="459">
        <v>486</v>
      </c>
      <c r="T249" s="450">
        <f t="shared" si="18"/>
        <v>5147</v>
      </c>
      <c r="U249" s="451">
        <f t="shared" si="19"/>
        <v>5802</v>
      </c>
      <c r="V249" s="463">
        <v>1692</v>
      </c>
      <c r="W249" s="459">
        <v>1428</v>
      </c>
      <c r="X249" s="463">
        <v>0</v>
      </c>
      <c r="Y249" s="459"/>
      <c r="Z249" s="463">
        <v>3329</v>
      </c>
      <c r="AA249" s="463"/>
      <c r="AB249" s="463"/>
      <c r="AC249" s="459">
        <v>4164</v>
      </c>
      <c r="AD249" s="459"/>
      <c r="AE249" s="459"/>
      <c r="AF249" s="463">
        <v>126</v>
      </c>
      <c r="AG249" s="617">
        <v>210</v>
      </c>
    </row>
    <row r="250" spans="1:33" s="14" customFormat="1" ht="13.9" customHeight="1">
      <c r="A250" s="46" t="s">
        <v>271</v>
      </c>
      <c r="B250" s="42" t="s">
        <v>905</v>
      </c>
      <c r="C250" s="537"/>
      <c r="D250" s="538">
        <v>175786</v>
      </c>
      <c r="E250" s="539">
        <v>8</v>
      </c>
      <c r="F250" s="450">
        <f t="shared" si="16"/>
        <v>257930</v>
      </c>
      <c r="G250" s="451">
        <f t="shared" si="17"/>
        <v>279721</v>
      </c>
      <c r="H250" s="452">
        <v>153531</v>
      </c>
      <c r="I250" s="453">
        <v>157853</v>
      </c>
      <c r="J250" s="452">
        <v>21081</v>
      </c>
      <c r="K250" s="453">
        <v>22737</v>
      </c>
      <c r="L250" s="452">
        <v>83318</v>
      </c>
      <c r="M250" s="452"/>
      <c r="N250" s="452"/>
      <c r="O250" s="453">
        <v>99131</v>
      </c>
      <c r="P250" s="453"/>
      <c r="Q250" s="453"/>
      <c r="R250" s="452"/>
      <c r="S250" s="453"/>
      <c r="T250" s="450">
        <f t="shared" si="18"/>
        <v>0</v>
      </c>
      <c r="U250" s="451">
        <f t="shared" si="19"/>
        <v>0</v>
      </c>
      <c r="V250" s="452"/>
      <c r="W250" s="453"/>
      <c r="X250" s="452"/>
      <c r="Y250" s="453"/>
      <c r="Z250" s="452"/>
      <c r="AA250" s="452"/>
      <c r="AB250" s="452"/>
      <c r="AC250" s="453"/>
      <c r="AD250" s="453"/>
      <c r="AE250" s="453"/>
      <c r="AF250" s="452"/>
      <c r="AG250" s="616"/>
    </row>
    <row r="251" spans="1:33">
      <c r="A251" s="46" t="s">
        <v>271</v>
      </c>
      <c r="B251" s="42" t="s">
        <v>906</v>
      </c>
      <c r="C251" s="540"/>
      <c r="D251" s="538">
        <v>175810</v>
      </c>
      <c r="E251" s="539">
        <v>8</v>
      </c>
      <c r="F251" s="450">
        <f t="shared" si="16"/>
        <v>158082</v>
      </c>
      <c r="G251" s="451">
        <f t="shared" si="17"/>
        <v>148939</v>
      </c>
      <c r="H251" s="452">
        <v>75470</v>
      </c>
      <c r="I251" s="453">
        <v>75570</v>
      </c>
      <c r="J251" s="452">
        <v>3664</v>
      </c>
      <c r="K251" s="453">
        <v>4642</v>
      </c>
      <c r="L251" s="452">
        <v>78948</v>
      </c>
      <c r="M251" s="452"/>
      <c r="N251" s="452"/>
      <c r="O251" s="453">
        <v>68727</v>
      </c>
      <c r="P251" s="453"/>
      <c r="Q251" s="453"/>
      <c r="R251" s="452"/>
      <c r="S251" s="453"/>
      <c r="T251" s="450">
        <f t="shared" si="18"/>
        <v>0</v>
      </c>
      <c r="U251" s="451">
        <f t="shared" si="19"/>
        <v>0</v>
      </c>
      <c r="V251" s="452"/>
      <c r="W251" s="453"/>
      <c r="X251" s="452"/>
      <c r="Y251" s="453"/>
      <c r="Z251" s="452"/>
      <c r="AA251" s="452"/>
      <c r="AB251" s="452"/>
      <c r="AC251" s="453"/>
      <c r="AD251" s="453"/>
      <c r="AE251" s="453"/>
      <c r="AF251" s="452"/>
      <c r="AG251" s="616"/>
    </row>
    <row r="252" spans="1:33">
      <c r="A252" s="46" t="s">
        <v>271</v>
      </c>
      <c r="B252" s="42" t="s">
        <v>907</v>
      </c>
      <c r="C252" s="537"/>
      <c r="D252" s="538">
        <v>176071</v>
      </c>
      <c r="E252" s="539">
        <v>8</v>
      </c>
      <c r="F252" s="450">
        <f t="shared" si="16"/>
        <v>185739</v>
      </c>
      <c r="G252" s="451">
        <f t="shared" si="17"/>
        <v>175419</v>
      </c>
      <c r="H252" s="452">
        <v>71073</v>
      </c>
      <c r="I252" s="453">
        <v>69612</v>
      </c>
      <c r="J252" s="452">
        <v>18932</v>
      </c>
      <c r="K252" s="453">
        <v>19787</v>
      </c>
      <c r="L252" s="452">
        <v>95734</v>
      </c>
      <c r="M252" s="452"/>
      <c r="N252" s="452"/>
      <c r="O252" s="453">
        <v>86020</v>
      </c>
      <c r="P252" s="453"/>
      <c r="Q252" s="453"/>
      <c r="R252" s="452"/>
      <c r="S252" s="453"/>
      <c r="T252" s="450">
        <f t="shared" si="18"/>
        <v>0</v>
      </c>
      <c r="U252" s="451">
        <f t="shared" si="19"/>
        <v>0</v>
      </c>
      <c r="V252" s="452"/>
      <c r="W252" s="453"/>
      <c r="X252" s="452"/>
      <c r="Y252" s="453"/>
      <c r="Z252" s="452"/>
      <c r="AA252" s="452"/>
      <c r="AB252" s="452"/>
      <c r="AC252" s="453"/>
      <c r="AD252" s="453"/>
      <c r="AE252" s="453"/>
      <c r="AF252" s="452"/>
      <c r="AG252" s="616"/>
    </row>
    <row r="253" spans="1:33">
      <c r="A253" s="46" t="s">
        <v>271</v>
      </c>
      <c r="B253" s="42" t="s">
        <v>908</v>
      </c>
      <c r="C253" s="537"/>
      <c r="D253" s="538">
        <v>176178</v>
      </c>
      <c r="E253" s="539">
        <v>8</v>
      </c>
      <c r="F253" s="450">
        <f t="shared" si="16"/>
        <v>182898</v>
      </c>
      <c r="G253" s="451">
        <f t="shared" si="17"/>
        <v>171370</v>
      </c>
      <c r="H253" s="452">
        <v>111929</v>
      </c>
      <c r="I253" s="453">
        <v>109734</v>
      </c>
      <c r="J253" s="452">
        <v>8416</v>
      </c>
      <c r="K253" s="453">
        <v>10255</v>
      </c>
      <c r="L253" s="452">
        <v>62553</v>
      </c>
      <c r="M253" s="452"/>
      <c r="N253" s="452"/>
      <c r="O253" s="453">
        <v>51381</v>
      </c>
      <c r="P253" s="453"/>
      <c r="Q253" s="453"/>
      <c r="R253" s="452"/>
      <c r="S253" s="453"/>
      <c r="T253" s="450">
        <f t="shared" si="18"/>
        <v>0</v>
      </c>
      <c r="U253" s="451">
        <f t="shared" si="19"/>
        <v>0</v>
      </c>
      <c r="V253" s="452"/>
      <c r="W253" s="453"/>
      <c r="X253" s="452"/>
      <c r="Y253" s="453"/>
      <c r="Z253" s="452"/>
      <c r="AA253" s="452"/>
      <c r="AB253" s="452"/>
      <c r="AC253" s="453"/>
      <c r="AD253" s="453"/>
      <c r="AE253" s="453"/>
      <c r="AF253" s="452"/>
      <c r="AG253" s="616"/>
    </row>
    <row r="254" spans="1:33">
      <c r="A254" s="46" t="s">
        <v>271</v>
      </c>
      <c r="B254" s="42" t="s">
        <v>909</v>
      </c>
      <c r="C254" s="537"/>
      <c r="D254" s="538">
        <v>175573</v>
      </c>
      <c r="E254" s="539">
        <v>9</v>
      </c>
      <c r="F254" s="450">
        <f t="shared" si="16"/>
        <v>97644</v>
      </c>
      <c r="G254" s="451">
        <f t="shared" si="17"/>
        <v>117643</v>
      </c>
      <c r="H254" s="452">
        <v>61262</v>
      </c>
      <c r="I254" s="453">
        <v>82967</v>
      </c>
      <c r="J254" s="452">
        <v>3332</v>
      </c>
      <c r="K254" s="453">
        <v>3425</v>
      </c>
      <c r="L254" s="452">
        <v>33050</v>
      </c>
      <c r="M254" s="452"/>
      <c r="N254" s="452"/>
      <c r="O254" s="453">
        <v>31251</v>
      </c>
      <c r="P254" s="453"/>
      <c r="Q254" s="453"/>
      <c r="R254" s="452"/>
      <c r="S254" s="453"/>
      <c r="T254" s="450">
        <f t="shared" si="18"/>
        <v>0</v>
      </c>
      <c r="U254" s="451">
        <f t="shared" si="19"/>
        <v>0</v>
      </c>
      <c r="V254" s="452"/>
      <c r="W254" s="453"/>
      <c r="X254" s="452"/>
      <c r="Y254" s="453"/>
      <c r="Z254" s="452"/>
      <c r="AA254" s="452"/>
      <c r="AB254" s="452"/>
      <c r="AC254" s="453"/>
      <c r="AD254" s="453"/>
      <c r="AE254" s="453"/>
      <c r="AF254" s="452"/>
      <c r="AG254" s="616"/>
    </row>
    <row r="255" spans="1:33">
      <c r="A255" s="46" t="s">
        <v>271</v>
      </c>
      <c r="B255" s="42" t="s">
        <v>910</v>
      </c>
      <c r="C255" s="537"/>
      <c r="D255" s="538">
        <v>175643</v>
      </c>
      <c r="E255" s="539">
        <v>9</v>
      </c>
      <c r="F255" s="450">
        <f t="shared" si="16"/>
        <v>48997</v>
      </c>
      <c r="G255" s="451">
        <f t="shared" si="17"/>
        <v>54010</v>
      </c>
      <c r="H255" s="452">
        <v>21114</v>
      </c>
      <c r="I255" s="453">
        <v>28213</v>
      </c>
      <c r="J255" s="452">
        <v>4207</v>
      </c>
      <c r="K255" s="453">
        <v>4249</v>
      </c>
      <c r="L255" s="452">
        <v>23676</v>
      </c>
      <c r="M255" s="452"/>
      <c r="N255" s="452"/>
      <c r="O255" s="453">
        <v>21548</v>
      </c>
      <c r="P255" s="453"/>
      <c r="Q255" s="453"/>
      <c r="R255" s="452"/>
      <c r="S255" s="453"/>
      <c r="T255" s="450">
        <f t="shared" si="18"/>
        <v>0</v>
      </c>
      <c r="U255" s="451">
        <f t="shared" si="19"/>
        <v>0</v>
      </c>
      <c r="V255" s="452"/>
      <c r="W255" s="453"/>
      <c r="X255" s="452"/>
      <c r="Y255" s="453"/>
      <c r="Z255" s="452"/>
      <c r="AA255" s="452"/>
      <c r="AB255" s="452"/>
      <c r="AC255" s="453"/>
      <c r="AD255" s="453"/>
      <c r="AE255" s="453"/>
      <c r="AF255" s="452"/>
      <c r="AG255" s="616"/>
    </row>
    <row r="256" spans="1:33">
      <c r="A256" s="46" t="s">
        <v>271</v>
      </c>
      <c r="B256" s="42" t="s">
        <v>911</v>
      </c>
      <c r="C256" s="537"/>
      <c r="D256" s="538">
        <v>175652</v>
      </c>
      <c r="E256" s="539">
        <v>9</v>
      </c>
      <c r="F256" s="450">
        <f t="shared" si="16"/>
        <v>61301</v>
      </c>
      <c r="G256" s="451">
        <f t="shared" si="17"/>
        <v>74197</v>
      </c>
      <c r="H256" s="452">
        <v>21426</v>
      </c>
      <c r="I256" s="453">
        <v>22371</v>
      </c>
      <c r="J256" s="452">
        <v>5692</v>
      </c>
      <c r="K256" s="453">
        <v>5612</v>
      </c>
      <c r="L256" s="452">
        <v>34183</v>
      </c>
      <c r="M256" s="452"/>
      <c r="N256" s="452"/>
      <c r="O256" s="453">
        <v>46214</v>
      </c>
      <c r="P256" s="453"/>
      <c r="Q256" s="453"/>
      <c r="R256" s="452"/>
      <c r="S256" s="453"/>
      <c r="T256" s="450">
        <f t="shared" si="18"/>
        <v>0</v>
      </c>
      <c r="U256" s="451">
        <f t="shared" si="19"/>
        <v>0</v>
      </c>
      <c r="V256" s="452"/>
      <c r="W256" s="453"/>
      <c r="X256" s="452"/>
      <c r="Y256" s="453"/>
      <c r="Z256" s="452"/>
      <c r="AA256" s="452"/>
      <c r="AB256" s="452"/>
      <c r="AC256" s="453"/>
      <c r="AD256" s="453"/>
      <c r="AE256" s="453"/>
      <c r="AF256" s="452"/>
      <c r="AG256" s="616"/>
    </row>
    <row r="257" spans="1:33">
      <c r="A257" s="46" t="s">
        <v>271</v>
      </c>
      <c r="B257" s="42" t="s">
        <v>912</v>
      </c>
      <c r="C257" s="540"/>
      <c r="D257" s="539">
        <v>175829</v>
      </c>
      <c r="E257" s="541">
        <v>9</v>
      </c>
      <c r="F257" s="450">
        <f t="shared" si="16"/>
        <v>114010</v>
      </c>
      <c r="G257" s="451">
        <f t="shared" si="17"/>
        <v>106442</v>
      </c>
      <c r="H257" s="452">
        <v>53297</v>
      </c>
      <c r="I257" s="453">
        <v>52295</v>
      </c>
      <c r="J257" s="452">
        <v>4626</v>
      </c>
      <c r="K257" s="453">
        <v>4498</v>
      </c>
      <c r="L257" s="452">
        <v>56087</v>
      </c>
      <c r="M257" s="452"/>
      <c r="N257" s="452"/>
      <c r="O257" s="453">
        <v>49649</v>
      </c>
      <c r="P257" s="453"/>
      <c r="Q257" s="453"/>
      <c r="R257" s="452"/>
      <c r="S257" s="453"/>
      <c r="T257" s="450">
        <f t="shared" si="18"/>
        <v>0</v>
      </c>
      <c r="U257" s="451">
        <f t="shared" si="19"/>
        <v>0</v>
      </c>
      <c r="V257" s="452"/>
      <c r="W257" s="453"/>
      <c r="X257" s="452"/>
      <c r="Y257" s="453"/>
      <c r="Z257" s="452"/>
      <c r="AA257" s="452"/>
      <c r="AB257" s="452"/>
      <c r="AC257" s="453"/>
      <c r="AD257" s="453"/>
      <c r="AE257" s="453"/>
      <c r="AF257" s="452"/>
      <c r="AG257" s="616"/>
    </row>
    <row r="258" spans="1:33">
      <c r="A258" s="46" t="s">
        <v>271</v>
      </c>
      <c r="B258" s="42" t="s">
        <v>913</v>
      </c>
      <c r="C258" s="537"/>
      <c r="D258" s="538">
        <v>175883</v>
      </c>
      <c r="E258" s="539">
        <v>9</v>
      </c>
      <c r="F258" s="450">
        <f t="shared" si="16"/>
        <v>115336</v>
      </c>
      <c r="G258" s="451">
        <f t="shared" si="17"/>
        <v>108560</v>
      </c>
      <c r="H258" s="452">
        <v>85662</v>
      </c>
      <c r="I258" s="453">
        <v>81507</v>
      </c>
      <c r="J258" s="452">
        <v>0</v>
      </c>
      <c r="K258" s="453">
        <v>0</v>
      </c>
      <c r="L258" s="452">
        <v>29674</v>
      </c>
      <c r="M258" s="452"/>
      <c r="N258" s="452"/>
      <c r="O258" s="453">
        <v>27053</v>
      </c>
      <c r="P258" s="453"/>
      <c r="Q258" s="453"/>
      <c r="R258" s="452"/>
      <c r="S258" s="453"/>
      <c r="T258" s="450">
        <f t="shared" si="18"/>
        <v>0</v>
      </c>
      <c r="U258" s="451">
        <f t="shared" si="19"/>
        <v>0</v>
      </c>
      <c r="V258" s="452"/>
      <c r="W258" s="453"/>
      <c r="X258" s="452"/>
      <c r="Y258" s="453"/>
      <c r="Z258" s="452"/>
      <c r="AA258" s="452"/>
      <c r="AB258" s="452"/>
      <c r="AC258" s="453"/>
      <c r="AD258" s="453"/>
      <c r="AE258" s="453"/>
      <c r="AF258" s="452"/>
      <c r="AG258" s="616"/>
    </row>
    <row r="259" spans="1:33">
      <c r="A259" s="46" t="s">
        <v>271</v>
      </c>
      <c r="B259" s="42" t="s">
        <v>914</v>
      </c>
      <c r="C259" s="537"/>
      <c r="D259" s="538">
        <v>175935</v>
      </c>
      <c r="E259" s="539">
        <v>9</v>
      </c>
      <c r="F259" s="450">
        <f t="shared" si="16"/>
        <v>80786.5</v>
      </c>
      <c r="G259" s="451">
        <f t="shared" si="17"/>
        <v>64431.5</v>
      </c>
      <c r="H259" s="452">
        <v>50133.5</v>
      </c>
      <c r="I259" s="453">
        <v>36946.5</v>
      </c>
      <c r="J259" s="452">
        <v>1141</v>
      </c>
      <c r="K259" s="453">
        <v>1212</v>
      </c>
      <c r="L259" s="452">
        <v>29512</v>
      </c>
      <c r="M259" s="452"/>
      <c r="N259" s="452"/>
      <c r="O259" s="453">
        <v>26273</v>
      </c>
      <c r="P259" s="453"/>
      <c r="Q259" s="453"/>
      <c r="R259" s="452"/>
      <c r="S259" s="453"/>
      <c r="T259" s="450">
        <f t="shared" si="18"/>
        <v>0</v>
      </c>
      <c r="U259" s="451">
        <f t="shared" si="19"/>
        <v>0</v>
      </c>
      <c r="V259" s="452"/>
      <c r="W259" s="453"/>
      <c r="X259" s="452"/>
      <c r="Y259" s="453"/>
      <c r="Z259" s="452"/>
      <c r="AA259" s="452"/>
      <c r="AB259" s="452"/>
      <c r="AC259" s="453"/>
      <c r="AD259" s="453"/>
      <c r="AE259" s="453"/>
      <c r="AF259" s="452"/>
      <c r="AG259" s="616"/>
    </row>
    <row r="260" spans="1:33">
      <c r="A260" s="46" t="s">
        <v>271</v>
      </c>
      <c r="B260" s="42" t="s">
        <v>915</v>
      </c>
      <c r="C260" s="537"/>
      <c r="D260" s="538">
        <v>176008</v>
      </c>
      <c r="E260" s="539">
        <v>9</v>
      </c>
      <c r="F260" s="450">
        <f t="shared" si="16"/>
        <v>62243</v>
      </c>
      <c r="G260" s="451">
        <f t="shared" si="17"/>
        <v>59140</v>
      </c>
      <c r="H260" s="452">
        <v>42941</v>
      </c>
      <c r="I260" s="453">
        <v>38301</v>
      </c>
      <c r="J260" s="452">
        <v>3772</v>
      </c>
      <c r="K260" s="453">
        <v>3258</v>
      </c>
      <c r="L260" s="452">
        <v>15530</v>
      </c>
      <c r="M260" s="452"/>
      <c r="N260" s="452"/>
      <c r="O260" s="453">
        <v>17581</v>
      </c>
      <c r="P260" s="453"/>
      <c r="Q260" s="453"/>
      <c r="R260" s="452"/>
      <c r="S260" s="453"/>
      <c r="T260" s="450">
        <f t="shared" si="18"/>
        <v>0</v>
      </c>
      <c r="U260" s="451">
        <f t="shared" si="19"/>
        <v>0</v>
      </c>
      <c r="V260" s="452"/>
      <c r="W260" s="453"/>
      <c r="X260" s="452"/>
      <c r="Y260" s="453"/>
      <c r="Z260" s="452"/>
      <c r="AA260" s="452"/>
      <c r="AB260" s="452"/>
      <c r="AC260" s="453"/>
      <c r="AD260" s="453"/>
      <c r="AE260" s="453"/>
      <c r="AF260" s="452"/>
      <c r="AG260" s="616"/>
    </row>
    <row r="261" spans="1:33">
      <c r="A261" s="46" t="s">
        <v>271</v>
      </c>
      <c r="B261" s="42" t="s">
        <v>916</v>
      </c>
      <c r="C261" s="537"/>
      <c r="D261" s="538">
        <v>176169</v>
      </c>
      <c r="E261" s="539">
        <v>9</v>
      </c>
      <c r="F261" s="450">
        <f t="shared" si="16"/>
        <v>86972</v>
      </c>
      <c r="G261" s="451">
        <f t="shared" si="17"/>
        <v>106893</v>
      </c>
      <c r="H261" s="452">
        <v>57379</v>
      </c>
      <c r="I261" s="453">
        <v>59308</v>
      </c>
      <c r="J261" s="452">
        <v>0</v>
      </c>
      <c r="K261" s="453">
        <v>0</v>
      </c>
      <c r="L261" s="452">
        <v>29593</v>
      </c>
      <c r="M261" s="452"/>
      <c r="N261" s="452"/>
      <c r="O261" s="453">
        <v>47585</v>
      </c>
      <c r="P261" s="453"/>
      <c r="Q261" s="453"/>
      <c r="R261" s="452"/>
      <c r="S261" s="453"/>
      <c r="T261" s="450">
        <f t="shared" si="18"/>
        <v>0</v>
      </c>
      <c r="U261" s="451">
        <f t="shared" si="19"/>
        <v>0</v>
      </c>
      <c r="V261" s="452"/>
      <c r="W261" s="453"/>
      <c r="X261" s="452"/>
      <c r="Y261" s="453"/>
      <c r="Z261" s="452"/>
      <c r="AA261" s="452"/>
      <c r="AB261" s="452"/>
      <c r="AC261" s="453"/>
      <c r="AD261" s="453"/>
      <c r="AE261" s="453"/>
      <c r="AF261" s="452"/>
      <c r="AG261" s="616"/>
    </row>
    <row r="262" spans="1:33">
      <c r="A262" s="46" t="s">
        <v>271</v>
      </c>
      <c r="B262" s="42" t="s">
        <v>917</v>
      </c>
      <c r="C262" s="537"/>
      <c r="D262" s="538">
        <v>176239</v>
      </c>
      <c r="E262" s="539">
        <v>9</v>
      </c>
      <c r="F262" s="450">
        <f t="shared" si="16"/>
        <v>143828</v>
      </c>
      <c r="G262" s="451">
        <f t="shared" si="17"/>
        <v>143418</v>
      </c>
      <c r="H262" s="452">
        <v>90823</v>
      </c>
      <c r="I262" s="453">
        <v>85532</v>
      </c>
      <c r="J262" s="452">
        <v>3240</v>
      </c>
      <c r="K262" s="453">
        <v>3366</v>
      </c>
      <c r="L262" s="452">
        <v>49765</v>
      </c>
      <c r="M262" s="452"/>
      <c r="N262" s="452"/>
      <c r="O262" s="453">
        <v>54520</v>
      </c>
      <c r="P262" s="453"/>
      <c r="Q262" s="453"/>
      <c r="R262" s="452"/>
      <c r="S262" s="453"/>
      <c r="T262" s="450">
        <f t="shared" si="18"/>
        <v>0</v>
      </c>
      <c r="U262" s="451">
        <f t="shared" si="19"/>
        <v>0</v>
      </c>
      <c r="V262" s="452"/>
      <c r="W262" s="453"/>
      <c r="X262" s="452"/>
      <c r="Y262" s="453"/>
      <c r="Z262" s="452"/>
      <c r="AA262" s="452"/>
      <c r="AB262" s="452"/>
      <c r="AC262" s="453"/>
      <c r="AD262" s="453"/>
      <c r="AE262" s="453"/>
      <c r="AF262" s="452"/>
      <c r="AG262" s="616"/>
    </row>
    <row r="263" spans="1:33">
      <c r="A263" s="46" t="s">
        <v>271</v>
      </c>
      <c r="B263" s="42" t="s">
        <v>918</v>
      </c>
      <c r="C263" s="537"/>
      <c r="D263" s="538">
        <v>175519</v>
      </c>
      <c r="E263" s="539">
        <v>10</v>
      </c>
      <c r="F263" s="450">
        <f t="shared" si="16"/>
        <v>46412</v>
      </c>
      <c r="G263" s="451">
        <f t="shared" si="17"/>
        <v>46739</v>
      </c>
      <c r="H263" s="452">
        <v>27162</v>
      </c>
      <c r="I263" s="453">
        <v>22232</v>
      </c>
      <c r="J263" s="452">
        <v>129</v>
      </c>
      <c r="K263" s="453">
        <v>148</v>
      </c>
      <c r="L263" s="452">
        <v>19121</v>
      </c>
      <c r="M263" s="452"/>
      <c r="N263" s="452"/>
      <c r="O263" s="453">
        <v>24359</v>
      </c>
      <c r="P263" s="453"/>
      <c r="Q263" s="453"/>
      <c r="R263" s="452"/>
      <c r="S263" s="453"/>
      <c r="T263" s="450">
        <f t="shared" si="18"/>
        <v>0</v>
      </c>
      <c r="U263" s="451">
        <f t="shared" si="19"/>
        <v>0</v>
      </c>
      <c r="V263" s="452"/>
      <c r="W263" s="453"/>
      <c r="X263" s="452"/>
      <c r="Y263" s="453"/>
      <c r="Z263" s="452"/>
      <c r="AA263" s="452"/>
      <c r="AB263" s="452"/>
      <c r="AC263" s="453"/>
      <c r="AD263" s="453"/>
      <c r="AE263" s="453"/>
      <c r="AF263" s="452"/>
      <c r="AG263" s="616"/>
    </row>
    <row r="264" spans="1:33">
      <c r="A264" s="46" t="s">
        <v>271</v>
      </c>
      <c r="B264" s="42" t="s">
        <v>919</v>
      </c>
      <c r="C264" s="537"/>
      <c r="D264" s="538">
        <v>176354</v>
      </c>
      <c r="E264" s="539">
        <v>10</v>
      </c>
      <c r="F264" s="450">
        <f t="shared" ref="F264:F327" si="20">SUM(H264,J264,L264,M264,N264,R264)</f>
        <v>57297</v>
      </c>
      <c r="G264" s="451">
        <f t="shared" ref="G264:G327" si="21">SUM(I264,K264,O264,P264,Q264,S264)</f>
        <v>53251</v>
      </c>
      <c r="H264" s="452">
        <v>36052</v>
      </c>
      <c r="I264" s="453">
        <v>35357</v>
      </c>
      <c r="J264" s="452">
        <v>0</v>
      </c>
      <c r="K264" s="453">
        <v>0</v>
      </c>
      <c r="L264" s="452">
        <v>21245</v>
      </c>
      <c r="M264" s="452"/>
      <c r="N264" s="452"/>
      <c r="O264" s="453">
        <v>17894</v>
      </c>
      <c r="P264" s="453"/>
      <c r="Q264" s="453"/>
      <c r="R264" s="452"/>
      <c r="S264" s="453"/>
      <c r="T264" s="450">
        <f t="shared" ref="T264:T327" si="22">SUM(V264,X264,Z264,AA264,AB264,AF264)</f>
        <v>0</v>
      </c>
      <c r="U264" s="451">
        <f t="shared" ref="U264:U327" si="23">SUM(W264,Y264,AC264,AD264,AE264,AG264)</f>
        <v>0</v>
      </c>
      <c r="V264" s="452"/>
      <c r="W264" s="453"/>
      <c r="X264" s="452"/>
      <c r="Y264" s="453"/>
      <c r="Z264" s="452"/>
      <c r="AA264" s="452"/>
      <c r="AB264" s="452"/>
      <c r="AC264" s="453"/>
      <c r="AD264" s="453"/>
      <c r="AE264" s="453"/>
      <c r="AF264" s="452"/>
      <c r="AG264" s="616"/>
    </row>
    <row r="265" spans="1:33" s="14" customFormat="1" ht="15.75" customHeight="1">
      <c r="A265" s="423" t="s">
        <v>280</v>
      </c>
      <c r="B265" s="371" t="s">
        <v>281</v>
      </c>
      <c r="C265" s="542"/>
      <c r="D265" s="543">
        <v>199193</v>
      </c>
      <c r="E265" s="544">
        <v>1</v>
      </c>
      <c r="F265" s="450">
        <f t="shared" si="20"/>
        <v>748338</v>
      </c>
      <c r="G265" s="451">
        <f t="shared" si="21"/>
        <v>742183</v>
      </c>
      <c r="H265" s="463">
        <v>376034</v>
      </c>
      <c r="I265" s="459">
        <v>330884</v>
      </c>
      <c r="J265" s="463">
        <v>5684</v>
      </c>
      <c r="K265" s="459">
        <v>5056</v>
      </c>
      <c r="L265" s="463">
        <v>366620</v>
      </c>
      <c r="M265" s="463">
        <v>0</v>
      </c>
      <c r="N265" s="463">
        <v>0</v>
      </c>
      <c r="O265" s="459">
        <v>406243</v>
      </c>
      <c r="P265" s="459">
        <v>0</v>
      </c>
      <c r="Q265" s="459">
        <v>0</v>
      </c>
      <c r="R265" s="463"/>
      <c r="S265" s="459"/>
      <c r="T265" s="450">
        <f t="shared" si="22"/>
        <v>169350</v>
      </c>
      <c r="U265" s="451">
        <f t="shared" si="23"/>
        <v>168725.5</v>
      </c>
      <c r="V265" s="463">
        <v>96770</v>
      </c>
      <c r="W265" s="459">
        <v>92248</v>
      </c>
      <c r="X265" s="463">
        <v>3286</v>
      </c>
      <c r="Y265" s="459">
        <v>2550</v>
      </c>
      <c r="Z265" s="463">
        <v>69294</v>
      </c>
      <c r="AA265" s="463">
        <v>0</v>
      </c>
      <c r="AB265" s="463">
        <v>0</v>
      </c>
      <c r="AC265" s="459">
        <v>73927.5</v>
      </c>
      <c r="AD265" s="459">
        <v>0</v>
      </c>
      <c r="AE265" s="459">
        <v>0</v>
      </c>
      <c r="AF265" s="463"/>
      <c r="AG265" s="617"/>
    </row>
    <row r="266" spans="1:33">
      <c r="A266" s="423" t="s">
        <v>280</v>
      </c>
      <c r="B266" s="371" t="s">
        <v>282</v>
      </c>
      <c r="C266" s="542"/>
      <c r="D266" s="543">
        <v>199120</v>
      </c>
      <c r="E266" s="544">
        <v>1</v>
      </c>
      <c r="F266" s="450">
        <f t="shared" si="20"/>
        <v>564392</v>
      </c>
      <c r="G266" s="451">
        <f t="shared" si="21"/>
        <v>559222.5</v>
      </c>
      <c r="H266" s="463">
        <v>246504</v>
      </c>
      <c r="I266" s="459">
        <v>276928</v>
      </c>
      <c r="J266" s="463">
        <v>1640</v>
      </c>
      <c r="K266" s="459">
        <v>3661</v>
      </c>
      <c r="L266" s="463">
        <v>316248</v>
      </c>
      <c r="M266" s="463">
        <v>0</v>
      </c>
      <c r="N266" s="463">
        <v>0</v>
      </c>
      <c r="O266" s="459">
        <v>278633.5</v>
      </c>
      <c r="P266" s="459">
        <v>0</v>
      </c>
      <c r="Q266" s="459">
        <v>0</v>
      </c>
      <c r="R266" s="463"/>
      <c r="S266" s="459"/>
      <c r="T266" s="450">
        <f t="shared" si="22"/>
        <v>188469</v>
      </c>
      <c r="U266" s="451">
        <f t="shared" si="23"/>
        <v>212897</v>
      </c>
      <c r="V266" s="463">
        <v>100228</v>
      </c>
      <c r="W266" s="459">
        <v>102031.75</v>
      </c>
      <c r="X266" s="463">
        <v>1170</v>
      </c>
      <c r="Y266" s="459">
        <v>803.5</v>
      </c>
      <c r="Z266" s="463">
        <v>87026</v>
      </c>
      <c r="AA266" s="463">
        <v>45</v>
      </c>
      <c r="AB266" s="463">
        <v>0</v>
      </c>
      <c r="AC266" s="459">
        <v>110061.75</v>
      </c>
      <c r="AD266" s="459">
        <v>0</v>
      </c>
      <c r="AE266" s="459">
        <v>0</v>
      </c>
      <c r="AF266" s="463"/>
      <c r="AG266" s="617"/>
    </row>
    <row r="267" spans="1:33">
      <c r="A267" s="423" t="s">
        <v>280</v>
      </c>
      <c r="B267" s="371" t="s">
        <v>283</v>
      </c>
      <c r="C267" s="545"/>
      <c r="D267" s="543">
        <v>199139</v>
      </c>
      <c r="E267" s="544">
        <v>1</v>
      </c>
      <c r="F267" s="450">
        <f t="shared" si="20"/>
        <v>690594</v>
      </c>
      <c r="G267" s="451">
        <f t="shared" si="21"/>
        <v>678521</v>
      </c>
      <c r="H267" s="463">
        <v>337138</v>
      </c>
      <c r="I267" s="459">
        <v>234843</v>
      </c>
      <c r="J267" s="463"/>
      <c r="K267" s="459">
        <v>0</v>
      </c>
      <c r="L267" s="463">
        <v>353388</v>
      </c>
      <c r="M267" s="463">
        <v>68</v>
      </c>
      <c r="N267" s="463">
        <v>0</v>
      </c>
      <c r="O267" s="459">
        <v>443660</v>
      </c>
      <c r="P267" s="459">
        <v>18</v>
      </c>
      <c r="Q267" s="459">
        <v>0</v>
      </c>
      <c r="R267" s="463"/>
      <c r="S267" s="459"/>
      <c r="T267" s="450">
        <f t="shared" si="22"/>
        <v>93922</v>
      </c>
      <c r="U267" s="451">
        <f t="shared" si="23"/>
        <v>100373</v>
      </c>
      <c r="V267" s="463">
        <v>43605</v>
      </c>
      <c r="W267" s="459">
        <v>36037</v>
      </c>
      <c r="X267" s="463">
        <v>0</v>
      </c>
      <c r="Y267" s="459">
        <v>0</v>
      </c>
      <c r="Z267" s="463">
        <v>50299</v>
      </c>
      <c r="AA267" s="463">
        <v>18</v>
      </c>
      <c r="AB267" s="463">
        <v>0</v>
      </c>
      <c r="AC267" s="459">
        <v>64321</v>
      </c>
      <c r="AD267" s="459">
        <v>15</v>
      </c>
      <c r="AE267" s="459">
        <v>0</v>
      </c>
      <c r="AF267" s="463"/>
      <c r="AG267" s="617"/>
    </row>
    <row r="268" spans="1:33">
      <c r="A268" s="423" t="s">
        <v>280</v>
      </c>
      <c r="B268" s="371" t="s">
        <v>284</v>
      </c>
      <c r="C268" s="542"/>
      <c r="D268" s="543">
        <v>199148</v>
      </c>
      <c r="E268" s="544">
        <v>1</v>
      </c>
      <c r="F268" s="450">
        <f t="shared" si="20"/>
        <v>451281</v>
      </c>
      <c r="G268" s="451">
        <f t="shared" si="21"/>
        <v>425217</v>
      </c>
      <c r="H268" s="463">
        <v>219440</v>
      </c>
      <c r="I268" s="459">
        <v>154264</v>
      </c>
      <c r="J268" s="463">
        <v>1265</v>
      </c>
      <c r="K268" s="459">
        <v>995</v>
      </c>
      <c r="L268" s="463">
        <v>230576</v>
      </c>
      <c r="M268" s="463">
        <v>0</v>
      </c>
      <c r="N268" s="463">
        <v>0</v>
      </c>
      <c r="O268" s="459">
        <v>269958</v>
      </c>
      <c r="P268" s="459">
        <v>0</v>
      </c>
      <c r="Q268" s="459">
        <v>0</v>
      </c>
      <c r="R268" s="463"/>
      <c r="S268" s="459"/>
      <c r="T268" s="450">
        <f t="shared" si="22"/>
        <v>61324</v>
      </c>
      <c r="U268" s="451">
        <f t="shared" si="23"/>
        <v>63859</v>
      </c>
      <c r="V268" s="463">
        <v>26409</v>
      </c>
      <c r="W268" s="459">
        <v>24560.5</v>
      </c>
      <c r="X268" s="463">
        <v>3398</v>
      </c>
      <c r="Y268" s="459">
        <v>3337.5</v>
      </c>
      <c r="Z268" s="463">
        <v>31517</v>
      </c>
      <c r="AA268" s="463">
        <v>0</v>
      </c>
      <c r="AB268" s="463">
        <v>0</v>
      </c>
      <c r="AC268" s="459">
        <v>35961</v>
      </c>
      <c r="AD268" s="459">
        <v>0</v>
      </c>
      <c r="AE268" s="459">
        <v>0</v>
      </c>
      <c r="AF268" s="463"/>
      <c r="AG268" s="617"/>
    </row>
    <row r="269" spans="1:33">
      <c r="A269" s="423" t="s">
        <v>280</v>
      </c>
      <c r="B269" s="371" t="s">
        <v>285</v>
      </c>
      <c r="C269" s="545"/>
      <c r="D269" s="543">
        <v>198464</v>
      </c>
      <c r="E269" s="544">
        <v>2</v>
      </c>
      <c r="F269" s="450">
        <f t="shared" si="20"/>
        <v>633192</v>
      </c>
      <c r="G269" s="451">
        <f t="shared" si="21"/>
        <v>613685</v>
      </c>
      <c r="H269" s="463">
        <v>307281</v>
      </c>
      <c r="I269" s="459">
        <v>209845</v>
      </c>
      <c r="J269" s="463">
        <v>2174</v>
      </c>
      <c r="K269" s="459">
        <v>1471</v>
      </c>
      <c r="L269" s="463">
        <v>323262</v>
      </c>
      <c r="M269" s="463">
        <v>475</v>
      </c>
      <c r="N269" s="463">
        <v>0</v>
      </c>
      <c r="O269" s="459">
        <v>402010</v>
      </c>
      <c r="P269" s="459">
        <v>359</v>
      </c>
      <c r="Q269" s="459">
        <v>0</v>
      </c>
      <c r="R269" s="463"/>
      <c r="S269" s="459"/>
      <c r="T269" s="450">
        <f t="shared" si="22"/>
        <v>89463</v>
      </c>
      <c r="U269" s="451">
        <f t="shared" si="23"/>
        <v>90058</v>
      </c>
      <c r="V269" s="463">
        <v>23925</v>
      </c>
      <c r="W269" s="459">
        <v>23252</v>
      </c>
      <c r="X269" s="463">
        <v>684</v>
      </c>
      <c r="Y269" s="459">
        <v>1011</v>
      </c>
      <c r="Z269" s="463">
        <v>64796</v>
      </c>
      <c r="AA269" s="463">
        <v>58</v>
      </c>
      <c r="AB269" s="463">
        <v>0</v>
      </c>
      <c r="AC269" s="459">
        <v>65728</v>
      </c>
      <c r="AD269" s="459">
        <v>67</v>
      </c>
      <c r="AE269" s="459">
        <v>0</v>
      </c>
      <c r="AF269" s="463"/>
      <c r="AG269" s="617"/>
    </row>
    <row r="270" spans="1:33">
      <c r="A270" s="423" t="s">
        <v>280</v>
      </c>
      <c r="B270" s="371" t="s">
        <v>286</v>
      </c>
      <c r="C270" s="542"/>
      <c r="D270" s="543">
        <v>197869</v>
      </c>
      <c r="E270" s="544">
        <v>3</v>
      </c>
      <c r="F270" s="450">
        <f t="shared" si="20"/>
        <v>538447</v>
      </c>
      <c r="G270" s="451">
        <f t="shared" si="21"/>
        <v>544613</v>
      </c>
      <c r="H270" s="463">
        <v>242152</v>
      </c>
      <c r="I270" s="459">
        <v>233009</v>
      </c>
      <c r="J270" s="463">
        <v>2095</v>
      </c>
      <c r="K270" s="459">
        <v>2420</v>
      </c>
      <c r="L270" s="463">
        <v>294200</v>
      </c>
      <c r="M270" s="463">
        <v>0</v>
      </c>
      <c r="N270" s="463">
        <v>0</v>
      </c>
      <c r="O270" s="459">
        <v>309184</v>
      </c>
      <c r="P270" s="459">
        <v>0</v>
      </c>
      <c r="Q270" s="459">
        <v>0</v>
      </c>
      <c r="R270" s="463"/>
      <c r="S270" s="459"/>
      <c r="T270" s="450">
        <f t="shared" si="22"/>
        <v>35903</v>
      </c>
      <c r="U270" s="451">
        <f t="shared" si="23"/>
        <v>38856</v>
      </c>
      <c r="V270" s="463">
        <v>12438</v>
      </c>
      <c r="W270" s="459">
        <v>12490</v>
      </c>
      <c r="X270" s="463">
        <v>602</v>
      </c>
      <c r="Y270" s="459">
        <v>88</v>
      </c>
      <c r="Z270" s="463">
        <v>22863</v>
      </c>
      <c r="AA270" s="463">
        <v>0</v>
      </c>
      <c r="AB270" s="463">
        <v>0</v>
      </c>
      <c r="AC270" s="459">
        <v>26278</v>
      </c>
      <c r="AD270" s="459">
        <v>0</v>
      </c>
      <c r="AE270" s="459">
        <v>0</v>
      </c>
      <c r="AF270" s="463"/>
      <c r="AG270" s="617"/>
    </row>
    <row r="271" spans="1:33">
      <c r="A271" s="423" t="s">
        <v>280</v>
      </c>
      <c r="B271" s="371" t="s">
        <v>287</v>
      </c>
      <c r="C271" s="546" t="s">
        <v>936</v>
      </c>
      <c r="D271" s="547">
        <v>199102</v>
      </c>
      <c r="E271" s="548">
        <v>2</v>
      </c>
      <c r="F271" s="450">
        <f t="shared" si="20"/>
        <v>318801</v>
      </c>
      <c r="G271" s="451">
        <f t="shared" si="21"/>
        <v>330796</v>
      </c>
      <c r="H271" s="463">
        <v>170801</v>
      </c>
      <c r="I271" s="459">
        <v>193396</v>
      </c>
      <c r="J271" s="463">
        <v>106</v>
      </c>
      <c r="K271" s="459">
        <v>56</v>
      </c>
      <c r="L271" s="463">
        <v>147894</v>
      </c>
      <c r="M271" s="463">
        <v>0</v>
      </c>
      <c r="N271" s="463">
        <v>0</v>
      </c>
      <c r="O271" s="459">
        <v>137344</v>
      </c>
      <c r="P271" s="459">
        <v>0</v>
      </c>
      <c r="Q271" s="459">
        <v>0</v>
      </c>
      <c r="R271" s="463"/>
      <c r="S271" s="459"/>
      <c r="T271" s="450">
        <f t="shared" si="22"/>
        <v>26078</v>
      </c>
      <c r="U271" s="451">
        <f t="shared" si="23"/>
        <v>28045</v>
      </c>
      <c r="V271" s="463">
        <v>11425</v>
      </c>
      <c r="W271" s="459">
        <v>13133</v>
      </c>
      <c r="X271" s="463">
        <v>384</v>
      </c>
      <c r="Y271" s="459">
        <v>1844</v>
      </c>
      <c r="Z271" s="463">
        <v>14269</v>
      </c>
      <c r="AA271" s="463">
        <v>0</v>
      </c>
      <c r="AB271" s="463">
        <v>0</v>
      </c>
      <c r="AC271" s="459">
        <v>13068</v>
      </c>
      <c r="AD271" s="459">
        <v>0</v>
      </c>
      <c r="AE271" s="459">
        <v>0</v>
      </c>
      <c r="AF271" s="463"/>
      <c r="AG271" s="617"/>
    </row>
    <row r="272" spans="1:33">
      <c r="A272" s="423" t="s">
        <v>280</v>
      </c>
      <c r="B272" s="371" t="s">
        <v>288</v>
      </c>
      <c r="C272" s="542"/>
      <c r="D272" s="543">
        <v>199157</v>
      </c>
      <c r="E272" s="544">
        <v>3</v>
      </c>
      <c r="F272" s="450">
        <f t="shared" si="20"/>
        <v>167214</v>
      </c>
      <c r="G272" s="451">
        <f t="shared" si="21"/>
        <v>161346</v>
      </c>
      <c r="H272" s="463">
        <v>72208</v>
      </c>
      <c r="I272" s="459">
        <v>66777.5</v>
      </c>
      <c r="J272" s="463">
        <v>41557</v>
      </c>
      <c r="K272" s="459">
        <v>38995.5</v>
      </c>
      <c r="L272" s="463">
        <v>53449</v>
      </c>
      <c r="M272" s="463">
        <v>0</v>
      </c>
      <c r="N272" s="463">
        <v>0</v>
      </c>
      <c r="O272" s="459">
        <v>55573</v>
      </c>
      <c r="P272" s="459">
        <v>0</v>
      </c>
      <c r="Q272" s="459">
        <v>0</v>
      </c>
      <c r="R272" s="463"/>
      <c r="S272" s="459"/>
      <c r="T272" s="450">
        <f t="shared" si="22"/>
        <v>40293</v>
      </c>
      <c r="U272" s="451">
        <f t="shared" si="23"/>
        <v>42450</v>
      </c>
      <c r="V272" s="463">
        <v>13806</v>
      </c>
      <c r="W272" s="459">
        <v>13993.5</v>
      </c>
      <c r="X272" s="463">
        <v>9167</v>
      </c>
      <c r="Y272" s="459">
        <v>12163.5</v>
      </c>
      <c r="Z272" s="463">
        <v>17320</v>
      </c>
      <c r="AA272" s="463">
        <v>0</v>
      </c>
      <c r="AB272" s="463">
        <v>0</v>
      </c>
      <c r="AC272" s="459">
        <v>16293</v>
      </c>
      <c r="AD272" s="459">
        <v>0</v>
      </c>
      <c r="AE272" s="459">
        <v>0</v>
      </c>
      <c r="AF272" s="463"/>
      <c r="AG272" s="617"/>
    </row>
    <row r="273" spans="1:33">
      <c r="A273" s="423" t="s">
        <v>280</v>
      </c>
      <c r="B273" s="371" t="s">
        <v>289</v>
      </c>
      <c r="C273" s="542"/>
      <c r="D273" s="543">
        <v>199218</v>
      </c>
      <c r="E273" s="544">
        <v>3</v>
      </c>
      <c r="F273" s="450">
        <f t="shared" si="20"/>
        <v>420032</v>
      </c>
      <c r="G273" s="451">
        <f t="shared" si="21"/>
        <v>403292.5</v>
      </c>
      <c r="H273" s="463">
        <v>159299</v>
      </c>
      <c r="I273" s="459">
        <v>138266</v>
      </c>
      <c r="J273" s="463">
        <v>4960</v>
      </c>
      <c r="K273" s="459">
        <v>5127.5</v>
      </c>
      <c r="L273" s="463">
        <v>255620</v>
      </c>
      <c r="M273" s="463">
        <v>153</v>
      </c>
      <c r="N273" s="463">
        <v>0</v>
      </c>
      <c r="O273" s="459">
        <v>259368.5</v>
      </c>
      <c r="P273" s="459">
        <v>530.5</v>
      </c>
      <c r="Q273" s="459">
        <v>0</v>
      </c>
      <c r="R273" s="463"/>
      <c r="S273" s="459"/>
      <c r="T273" s="450">
        <f t="shared" si="22"/>
        <v>53183</v>
      </c>
      <c r="U273" s="451">
        <f t="shared" si="23"/>
        <v>61190.5</v>
      </c>
      <c r="V273" s="463">
        <v>9580</v>
      </c>
      <c r="W273" s="459">
        <v>9878</v>
      </c>
      <c r="X273" s="463">
        <v>944</v>
      </c>
      <c r="Y273" s="459">
        <v>1057</v>
      </c>
      <c r="Z273" s="463">
        <v>42659</v>
      </c>
      <c r="AA273" s="463">
        <v>0</v>
      </c>
      <c r="AB273" s="463">
        <v>0</v>
      </c>
      <c r="AC273" s="459">
        <v>49621.5</v>
      </c>
      <c r="AD273" s="459">
        <v>634</v>
      </c>
      <c r="AE273" s="459">
        <v>0</v>
      </c>
      <c r="AF273" s="463"/>
      <c r="AG273" s="617"/>
    </row>
    <row r="274" spans="1:33">
      <c r="A274" s="423" t="s">
        <v>280</v>
      </c>
      <c r="B274" s="371" t="s">
        <v>290</v>
      </c>
      <c r="C274" s="542"/>
      <c r="D274" s="543">
        <v>200004</v>
      </c>
      <c r="E274" s="544">
        <v>3</v>
      </c>
      <c r="F274" s="450">
        <f t="shared" si="20"/>
        <v>289054</v>
      </c>
      <c r="G274" s="451">
        <f t="shared" si="21"/>
        <v>277790</v>
      </c>
      <c r="H274" s="463">
        <v>136957</v>
      </c>
      <c r="I274" s="459">
        <v>153637</v>
      </c>
      <c r="J274" s="463">
        <v>978</v>
      </c>
      <c r="K274" s="459">
        <v>1261</v>
      </c>
      <c r="L274" s="463">
        <v>151113</v>
      </c>
      <c r="M274" s="463">
        <v>6</v>
      </c>
      <c r="N274" s="463">
        <v>0</v>
      </c>
      <c r="O274" s="459">
        <v>122892</v>
      </c>
      <c r="P274" s="459">
        <v>0</v>
      </c>
      <c r="Q274" s="459">
        <v>0</v>
      </c>
      <c r="R274" s="463"/>
      <c r="S274" s="459"/>
      <c r="T274" s="450">
        <f t="shared" si="22"/>
        <v>33839</v>
      </c>
      <c r="U274" s="451">
        <f t="shared" si="23"/>
        <v>35022</v>
      </c>
      <c r="V274" s="463">
        <v>7432</v>
      </c>
      <c r="W274" s="459">
        <v>9895</v>
      </c>
      <c r="X274" s="463">
        <v>4898</v>
      </c>
      <c r="Y274" s="459">
        <v>5770</v>
      </c>
      <c r="Z274" s="463">
        <v>21509</v>
      </c>
      <c r="AA274" s="463">
        <v>0</v>
      </c>
      <c r="AB274" s="463">
        <v>0</v>
      </c>
      <c r="AC274" s="459">
        <v>19357</v>
      </c>
      <c r="AD274" s="459">
        <v>0</v>
      </c>
      <c r="AE274" s="459">
        <v>0</v>
      </c>
      <c r="AF274" s="463"/>
      <c r="AG274" s="617"/>
    </row>
    <row r="275" spans="1:33">
      <c r="A275" s="423" t="s">
        <v>280</v>
      </c>
      <c r="B275" s="371" t="s">
        <v>291</v>
      </c>
      <c r="C275" s="542"/>
      <c r="D275" s="543">
        <v>198543</v>
      </c>
      <c r="E275" s="544">
        <v>4</v>
      </c>
      <c r="F275" s="450">
        <f t="shared" si="20"/>
        <v>150073</v>
      </c>
      <c r="G275" s="451">
        <f t="shared" si="21"/>
        <v>144424</v>
      </c>
      <c r="H275" s="463">
        <v>55535</v>
      </c>
      <c r="I275" s="459">
        <v>32900</v>
      </c>
      <c r="J275" s="463">
        <v>220</v>
      </c>
      <c r="K275" s="459">
        <v>180</v>
      </c>
      <c r="L275" s="463">
        <v>94288</v>
      </c>
      <c r="M275" s="463">
        <v>30</v>
      </c>
      <c r="N275" s="463">
        <v>0</v>
      </c>
      <c r="O275" s="459">
        <v>99871</v>
      </c>
      <c r="P275" s="459">
        <v>11473</v>
      </c>
      <c r="Q275" s="459">
        <v>0</v>
      </c>
      <c r="R275" s="463"/>
      <c r="S275" s="459"/>
      <c r="T275" s="450">
        <f t="shared" si="22"/>
        <v>17585</v>
      </c>
      <c r="U275" s="451">
        <f t="shared" si="23"/>
        <v>19259</v>
      </c>
      <c r="V275" s="463">
        <v>3850</v>
      </c>
      <c r="W275" s="459">
        <v>3857</v>
      </c>
      <c r="X275" s="463">
        <v>0</v>
      </c>
      <c r="Y275" s="459">
        <v>0</v>
      </c>
      <c r="Z275" s="463">
        <v>13732</v>
      </c>
      <c r="AA275" s="463">
        <v>3</v>
      </c>
      <c r="AB275" s="463">
        <v>0</v>
      </c>
      <c r="AC275" s="459">
        <v>14657</v>
      </c>
      <c r="AD275" s="459">
        <v>745</v>
      </c>
      <c r="AE275" s="459">
        <v>0</v>
      </c>
      <c r="AF275" s="463"/>
      <c r="AG275" s="617"/>
    </row>
    <row r="276" spans="1:33">
      <c r="A276" s="423" t="s">
        <v>280</v>
      </c>
      <c r="B276" s="371" t="s">
        <v>292</v>
      </c>
      <c r="C276" s="542"/>
      <c r="D276" s="543">
        <v>199281</v>
      </c>
      <c r="E276" s="544">
        <v>5</v>
      </c>
      <c r="F276" s="450">
        <f t="shared" si="20"/>
        <v>173315</v>
      </c>
      <c r="G276" s="451">
        <f t="shared" si="21"/>
        <v>169562</v>
      </c>
      <c r="H276" s="463">
        <v>80625</v>
      </c>
      <c r="I276" s="459">
        <v>73821</v>
      </c>
      <c r="J276" s="463">
        <v>849</v>
      </c>
      <c r="K276" s="459">
        <v>978</v>
      </c>
      <c r="L276" s="463">
        <v>91819</v>
      </c>
      <c r="M276" s="463">
        <v>22</v>
      </c>
      <c r="N276" s="463">
        <v>0</v>
      </c>
      <c r="O276" s="459">
        <v>94726</v>
      </c>
      <c r="P276" s="459">
        <v>37</v>
      </c>
      <c r="Q276" s="459">
        <v>0</v>
      </c>
      <c r="R276" s="463"/>
      <c r="S276" s="459"/>
      <c r="T276" s="450">
        <f t="shared" si="22"/>
        <v>29760</v>
      </c>
      <c r="U276" s="451">
        <f t="shared" si="23"/>
        <v>36895</v>
      </c>
      <c r="V276" s="463">
        <v>2882</v>
      </c>
      <c r="W276" s="459">
        <v>3833</v>
      </c>
      <c r="X276" s="463">
        <v>504</v>
      </c>
      <c r="Y276" s="459">
        <v>492</v>
      </c>
      <c r="Z276" s="463">
        <v>26371</v>
      </c>
      <c r="AA276" s="463">
        <v>3</v>
      </c>
      <c r="AB276" s="463">
        <v>0</v>
      </c>
      <c r="AC276" s="459">
        <v>32540</v>
      </c>
      <c r="AD276" s="459">
        <v>30</v>
      </c>
      <c r="AE276" s="459">
        <v>0</v>
      </c>
      <c r="AF276" s="463"/>
      <c r="AG276" s="617"/>
    </row>
    <row r="277" spans="1:33">
      <c r="A277" s="423" t="s">
        <v>280</v>
      </c>
      <c r="B277" s="371" t="s">
        <v>293</v>
      </c>
      <c r="C277" s="542"/>
      <c r="D277" s="543">
        <v>199999</v>
      </c>
      <c r="E277" s="544">
        <v>5</v>
      </c>
      <c r="F277" s="450">
        <f t="shared" si="20"/>
        <v>134521</v>
      </c>
      <c r="G277" s="451">
        <f t="shared" si="21"/>
        <v>135148.5</v>
      </c>
      <c r="H277" s="463">
        <v>64587</v>
      </c>
      <c r="I277" s="459">
        <v>25227</v>
      </c>
      <c r="J277" s="463">
        <v>115</v>
      </c>
      <c r="K277" s="459">
        <v>70</v>
      </c>
      <c r="L277" s="463">
        <v>63898</v>
      </c>
      <c r="M277" s="463">
        <v>0</v>
      </c>
      <c r="N277" s="463">
        <v>5921</v>
      </c>
      <c r="O277" s="459">
        <v>106668.5</v>
      </c>
      <c r="P277" s="459">
        <v>0</v>
      </c>
      <c r="Q277" s="459">
        <v>3183</v>
      </c>
      <c r="R277" s="463"/>
      <c r="S277" s="459"/>
      <c r="T277" s="450">
        <f t="shared" si="22"/>
        <v>10880</v>
      </c>
      <c r="U277" s="451">
        <f t="shared" si="23"/>
        <v>11786</v>
      </c>
      <c r="V277" s="463">
        <v>3757</v>
      </c>
      <c r="W277" s="459">
        <v>2191</v>
      </c>
      <c r="X277" s="463">
        <v>168</v>
      </c>
      <c r="Y277" s="459">
        <v>56</v>
      </c>
      <c r="Z277" s="463">
        <v>5907</v>
      </c>
      <c r="AA277" s="463">
        <v>0</v>
      </c>
      <c r="AB277" s="463">
        <v>1048</v>
      </c>
      <c r="AC277" s="459">
        <v>8227</v>
      </c>
      <c r="AD277" s="459">
        <v>0</v>
      </c>
      <c r="AE277" s="459">
        <v>1312</v>
      </c>
      <c r="AF277" s="463"/>
      <c r="AG277" s="617"/>
    </row>
    <row r="278" spans="1:33">
      <c r="A278" s="423" t="s">
        <v>280</v>
      </c>
      <c r="B278" s="371" t="s">
        <v>294</v>
      </c>
      <c r="C278" s="542"/>
      <c r="D278" s="543">
        <v>198507</v>
      </c>
      <c r="E278" s="544">
        <v>6</v>
      </c>
      <c r="F278" s="450">
        <f t="shared" si="20"/>
        <v>50671</v>
      </c>
      <c r="G278" s="451">
        <f t="shared" si="21"/>
        <v>54348</v>
      </c>
      <c r="H278" s="463">
        <v>28209</v>
      </c>
      <c r="I278" s="459">
        <v>27012</v>
      </c>
      <c r="J278" s="463">
        <v>196</v>
      </c>
      <c r="K278" s="459">
        <v>252</v>
      </c>
      <c r="L278" s="463">
        <v>22152</v>
      </c>
      <c r="M278" s="463">
        <v>114</v>
      </c>
      <c r="N278" s="463">
        <v>0</v>
      </c>
      <c r="O278" s="459">
        <v>27039</v>
      </c>
      <c r="P278" s="459">
        <v>45</v>
      </c>
      <c r="Q278" s="459">
        <v>0</v>
      </c>
      <c r="R278" s="463"/>
      <c r="S278" s="459"/>
      <c r="T278" s="450">
        <f t="shared" si="22"/>
        <v>1578</v>
      </c>
      <c r="U278" s="451">
        <f t="shared" si="23"/>
        <v>1654</v>
      </c>
      <c r="V278" s="463">
        <v>470</v>
      </c>
      <c r="W278" s="459">
        <v>356</v>
      </c>
      <c r="X278" s="463">
        <v>0</v>
      </c>
      <c r="Y278" s="459">
        <v>0</v>
      </c>
      <c r="Z278" s="463">
        <v>1108</v>
      </c>
      <c r="AA278" s="463">
        <v>0</v>
      </c>
      <c r="AB278" s="463">
        <v>0</v>
      </c>
      <c r="AC278" s="459">
        <v>1298</v>
      </c>
      <c r="AD278" s="459">
        <v>0</v>
      </c>
      <c r="AE278" s="459">
        <v>0</v>
      </c>
      <c r="AF278" s="463"/>
      <c r="AG278" s="617"/>
    </row>
    <row r="279" spans="1:33">
      <c r="A279" s="423" t="s">
        <v>280</v>
      </c>
      <c r="B279" s="371" t="s">
        <v>295</v>
      </c>
      <c r="C279" s="542"/>
      <c r="D279" s="543">
        <v>199111</v>
      </c>
      <c r="E279" s="544">
        <v>6</v>
      </c>
      <c r="F279" s="450">
        <f t="shared" si="20"/>
        <v>96139</v>
      </c>
      <c r="G279" s="451">
        <f t="shared" si="21"/>
        <v>90962</v>
      </c>
      <c r="H279" s="463">
        <v>66128</v>
      </c>
      <c r="I279" s="459">
        <v>56446</v>
      </c>
      <c r="J279" s="463">
        <v>343</v>
      </c>
      <c r="K279" s="459">
        <v>64</v>
      </c>
      <c r="L279" s="463">
        <v>27613</v>
      </c>
      <c r="M279" s="463">
        <v>2055</v>
      </c>
      <c r="N279" s="463">
        <v>0</v>
      </c>
      <c r="O279" s="459">
        <v>32795</v>
      </c>
      <c r="P279" s="459">
        <v>1657</v>
      </c>
      <c r="Q279" s="459">
        <v>0</v>
      </c>
      <c r="R279" s="463"/>
      <c r="S279" s="459"/>
      <c r="T279" s="450">
        <f t="shared" si="22"/>
        <v>81</v>
      </c>
      <c r="U279" s="451">
        <f t="shared" si="23"/>
        <v>3</v>
      </c>
      <c r="V279" s="463">
        <v>69</v>
      </c>
      <c r="W279" s="459">
        <v>3</v>
      </c>
      <c r="X279" s="463">
        <v>0</v>
      </c>
      <c r="Y279" s="459">
        <v>0</v>
      </c>
      <c r="Z279" s="463">
        <v>12</v>
      </c>
      <c r="AA279" s="463">
        <v>0</v>
      </c>
      <c r="AB279" s="463">
        <v>0</v>
      </c>
      <c r="AC279" s="459">
        <v>0</v>
      </c>
      <c r="AD279" s="459">
        <v>0</v>
      </c>
      <c r="AE279" s="459">
        <v>0</v>
      </c>
      <c r="AF279" s="463"/>
      <c r="AG279" s="617"/>
    </row>
    <row r="280" spans="1:33">
      <c r="A280" s="423" t="s">
        <v>280</v>
      </c>
      <c r="B280" s="371" t="s">
        <v>714</v>
      </c>
      <c r="C280" s="542"/>
      <c r="D280" s="543">
        <v>199184</v>
      </c>
      <c r="E280" s="544">
        <v>15</v>
      </c>
      <c r="F280" s="450">
        <f t="shared" si="20"/>
        <v>26718</v>
      </c>
      <c r="G280" s="451">
        <f t="shared" si="21"/>
        <v>26646</v>
      </c>
      <c r="H280" s="463">
        <v>21601</v>
      </c>
      <c r="I280" s="459">
        <v>21516</v>
      </c>
      <c r="J280" s="463"/>
      <c r="K280" s="459">
        <v>0</v>
      </c>
      <c r="L280" s="463">
        <v>5117</v>
      </c>
      <c r="M280" s="463">
        <v>0</v>
      </c>
      <c r="N280" s="463">
        <v>0</v>
      </c>
      <c r="O280" s="459">
        <v>5130</v>
      </c>
      <c r="P280" s="459">
        <v>0</v>
      </c>
      <c r="Q280" s="459">
        <v>0</v>
      </c>
      <c r="R280" s="463"/>
      <c r="S280" s="459"/>
      <c r="T280" s="450">
        <f t="shared" si="22"/>
        <v>3672</v>
      </c>
      <c r="U280" s="451">
        <f t="shared" si="23"/>
        <v>4020</v>
      </c>
      <c r="V280" s="463">
        <v>3222</v>
      </c>
      <c r="W280" s="459">
        <v>3549</v>
      </c>
      <c r="X280" s="463">
        <v>0</v>
      </c>
      <c r="Y280" s="459">
        <v>0</v>
      </c>
      <c r="Z280" s="463">
        <v>450</v>
      </c>
      <c r="AA280" s="463">
        <v>0</v>
      </c>
      <c r="AB280" s="463">
        <v>0</v>
      </c>
      <c r="AC280" s="459">
        <v>471</v>
      </c>
      <c r="AD280" s="459">
        <v>0</v>
      </c>
      <c r="AE280" s="459">
        <v>0</v>
      </c>
      <c r="AF280" s="463"/>
      <c r="AG280" s="617"/>
    </row>
    <row r="281" spans="1:33" s="14" customFormat="1" ht="16.5" customHeight="1">
      <c r="A281" s="410" t="s">
        <v>280</v>
      </c>
      <c r="B281" s="347" t="s">
        <v>297</v>
      </c>
      <c r="C281" s="443" t="s">
        <v>937</v>
      </c>
      <c r="D281" s="549">
        <v>197887</v>
      </c>
      <c r="E281" s="517">
        <v>8</v>
      </c>
      <c r="F281" s="450">
        <f t="shared" si="20"/>
        <v>125776</v>
      </c>
      <c r="G281" s="451">
        <f t="shared" si="21"/>
        <v>115929</v>
      </c>
      <c r="H281" s="477">
        <v>60878</v>
      </c>
      <c r="I281" s="478">
        <v>34281</v>
      </c>
      <c r="J281" s="477">
        <v>8244</v>
      </c>
      <c r="K281" s="478">
        <v>8406</v>
      </c>
      <c r="L281" s="477">
        <v>56654</v>
      </c>
      <c r="M281" s="477">
        <v>0</v>
      </c>
      <c r="N281" s="477">
        <v>0</v>
      </c>
      <c r="O281" s="478">
        <v>73242</v>
      </c>
      <c r="P281" s="479"/>
      <c r="Q281" s="479"/>
      <c r="R281" s="477"/>
      <c r="S281" s="479"/>
      <c r="T281" s="450">
        <f t="shared" si="22"/>
        <v>0</v>
      </c>
      <c r="U281" s="451">
        <f t="shared" si="23"/>
        <v>0</v>
      </c>
      <c r="V281" s="477"/>
      <c r="W281" s="479"/>
      <c r="X281" s="477"/>
      <c r="Y281" s="479"/>
      <c r="Z281" s="477"/>
      <c r="AA281" s="477"/>
      <c r="AB281" s="477"/>
      <c r="AC281" s="479"/>
      <c r="AD281" s="479"/>
      <c r="AE281" s="479"/>
      <c r="AF281" s="477"/>
      <c r="AG281" s="619"/>
    </row>
    <row r="282" spans="1:33" s="14" customFormat="1" ht="15.75" customHeight="1">
      <c r="A282" s="410" t="s">
        <v>280</v>
      </c>
      <c r="B282" s="347" t="s">
        <v>303</v>
      </c>
      <c r="C282" s="443"/>
      <c r="D282" s="549">
        <v>198154</v>
      </c>
      <c r="E282" s="517">
        <v>8</v>
      </c>
      <c r="F282" s="450">
        <f t="shared" si="20"/>
        <v>189160.5</v>
      </c>
      <c r="G282" s="451">
        <f t="shared" si="21"/>
        <v>186686.5</v>
      </c>
      <c r="H282" s="477">
        <v>76476.5</v>
      </c>
      <c r="I282" s="478">
        <v>65194.5</v>
      </c>
      <c r="J282" s="477">
        <v>2735</v>
      </c>
      <c r="K282" s="478">
        <v>296</v>
      </c>
      <c r="L282" s="477">
        <v>109949</v>
      </c>
      <c r="M282" s="477">
        <v>0</v>
      </c>
      <c r="N282" s="477">
        <v>0</v>
      </c>
      <c r="O282" s="478">
        <v>121196</v>
      </c>
      <c r="P282" s="479"/>
      <c r="Q282" s="479"/>
      <c r="R282" s="477"/>
      <c r="S282" s="479"/>
      <c r="T282" s="450">
        <f t="shared" si="22"/>
        <v>0</v>
      </c>
      <c r="U282" s="451">
        <f t="shared" si="23"/>
        <v>0</v>
      </c>
      <c r="V282" s="477"/>
      <c r="W282" s="479"/>
      <c r="X282" s="477"/>
      <c r="Y282" s="479"/>
      <c r="Z282" s="477"/>
      <c r="AA282" s="477"/>
      <c r="AB282" s="477"/>
      <c r="AC282" s="479"/>
      <c r="AD282" s="479"/>
      <c r="AE282" s="479"/>
      <c r="AF282" s="477"/>
      <c r="AG282" s="619"/>
    </row>
    <row r="283" spans="1:33" s="14" customFormat="1" ht="15.75" customHeight="1">
      <c r="A283" s="410" t="s">
        <v>280</v>
      </c>
      <c r="B283" s="347" t="s">
        <v>307</v>
      </c>
      <c r="C283" s="443"/>
      <c r="D283" s="549">
        <v>198260</v>
      </c>
      <c r="E283" s="517">
        <v>8</v>
      </c>
      <c r="F283" s="450">
        <f t="shared" si="20"/>
        <v>383116.5</v>
      </c>
      <c r="G283" s="451">
        <f t="shared" si="21"/>
        <v>368097.5</v>
      </c>
      <c r="H283" s="477">
        <v>122853.5</v>
      </c>
      <c r="I283" s="478">
        <v>49126</v>
      </c>
      <c r="J283" s="477">
        <v>3393</v>
      </c>
      <c r="K283" s="478">
        <v>5676.5</v>
      </c>
      <c r="L283" s="477">
        <v>256870</v>
      </c>
      <c r="M283" s="477">
        <v>0</v>
      </c>
      <c r="N283" s="477">
        <v>0</v>
      </c>
      <c r="O283" s="478">
        <v>313295</v>
      </c>
      <c r="P283" s="479"/>
      <c r="Q283" s="479"/>
      <c r="R283" s="477"/>
      <c r="S283" s="479"/>
      <c r="T283" s="450">
        <f t="shared" si="22"/>
        <v>0</v>
      </c>
      <c r="U283" s="451">
        <f t="shared" si="23"/>
        <v>0</v>
      </c>
      <c r="V283" s="477"/>
      <c r="W283" s="479"/>
      <c r="X283" s="477"/>
      <c r="Y283" s="479"/>
      <c r="Z283" s="477"/>
      <c r="AA283" s="477"/>
      <c r="AB283" s="477"/>
      <c r="AC283" s="479"/>
      <c r="AD283" s="479"/>
      <c r="AE283" s="479"/>
      <c r="AF283" s="477"/>
      <c r="AG283" s="619"/>
    </row>
    <row r="284" spans="1:33" s="14" customFormat="1" ht="15.75" customHeight="1">
      <c r="A284" s="410" t="s">
        <v>280</v>
      </c>
      <c r="B284" s="347" t="s">
        <v>313</v>
      </c>
      <c r="C284" s="443"/>
      <c r="D284" s="549">
        <v>198534</v>
      </c>
      <c r="E284" s="517">
        <v>8</v>
      </c>
      <c r="F284" s="450">
        <f t="shared" si="20"/>
        <v>239260</v>
      </c>
      <c r="G284" s="451">
        <f t="shared" si="21"/>
        <v>213334</v>
      </c>
      <c r="H284" s="477">
        <v>69327</v>
      </c>
      <c r="I284" s="478">
        <v>50501</v>
      </c>
      <c r="J284" s="477">
        <v>0</v>
      </c>
      <c r="K284" s="478">
        <v>1603</v>
      </c>
      <c r="L284" s="477">
        <v>169933</v>
      </c>
      <c r="M284" s="477">
        <v>0</v>
      </c>
      <c r="N284" s="477">
        <v>0</v>
      </c>
      <c r="O284" s="478">
        <v>161230</v>
      </c>
      <c r="P284" s="479"/>
      <c r="Q284" s="479"/>
      <c r="R284" s="477"/>
      <c r="S284" s="479"/>
      <c r="T284" s="450">
        <f t="shared" si="22"/>
        <v>0</v>
      </c>
      <c r="U284" s="451">
        <f t="shared" si="23"/>
        <v>0</v>
      </c>
      <c r="V284" s="477"/>
      <c r="W284" s="479"/>
      <c r="X284" s="477"/>
      <c r="Y284" s="479"/>
      <c r="Z284" s="477"/>
      <c r="AA284" s="477"/>
      <c r="AB284" s="477"/>
      <c r="AC284" s="479"/>
      <c r="AD284" s="479"/>
      <c r="AE284" s="479"/>
      <c r="AF284" s="477"/>
      <c r="AG284" s="619"/>
    </row>
    <row r="285" spans="1:33" s="14" customFormat="1" ht="15.75" customHeight="1">
      <c r="A285" s="410" t="s">
        <v>280</v>
      </c>
      <c r="B285" s="347" t="s">
        <v>314</v>
      </c>
      <c r="C285" s="443"/>
      <c r="D285" s="549">
        <v>198552</v>
      </c>
      <c r="E285" s="517">
        <v>8</v>
      </c>
      <c r="F285" s="450">
        <f t="shared" si="20"/>
        <v>163349</v>
      </c>
      <c r="G285" s="451">
        <f t="shared" si="21"/>
        <v>155762</v>
      </c>
      <c r="H285" s="477">
        <v>59150</v>
      </c>
      <c r="I285" s="478">
        <v>37564</v>
      </c>
      <c r="J285" s="477">
        <v>4307</v>
      </c>
      <c r="K285" s="478">
        <v>6011</v>
      </c>
      <c r="L285" s="477">
        <v>99892</v>
      </c>
      <c r="M285" s="477">
        <v>0</v>
      </c>
      <c r="N285" s="477">
        <v>0</v>
      </c>
      <c r="O285" s="478">
        <v>112187</v>
      </c>
      <c r="P285" s="479"/>
      <c r="Q285" s="479"/>
      <c r="R285" s="477"/>
      <c r="S285" s="479"/>
      <c r="T285" s="450">
        <f t="shared" si="22"/>
        <v>0</v>
      </c>
      <c r="U285" s="451">
        <f t="shared" si="23"/>
        <v>0</v>
      </c>
      <c r="V285" s="477"/>
      <c r="W285" s="479"/>
      <c r="X285" s="477"/>
      <c r="Y285" s="479"/>
      <c r="Z285" s="477"/>
      <c r="AA285" s="477"/>
      <c r="AB285" s="477"/>
      <c r="AC285" s="479"/>
      <c r="AD285" s="479"/>
      <c r="AE285" s="479"/>
      <c r="AF285" s="477"/>
      <c r="AG285" s="619"/>
    </row>
    <row r="286" spans="1:33" s="14" customFormat="1" ht="15.75" customHeight="1">
      <c r="A286" s="410" t="s">
        <v>280</v>
      </c>
      <c r="B286" s="347" t="s">
        <v>316</v>
      </c>
      <c r="C286" s="443"/>
      <c r="D286" s="549">
        <v>198622</v>
      </c>
      <c r="E286" s="517">
        <v>8</v>
      </c>
      <c r="F286" s="450">
        <f t="shared" si="20"/>
        <v>227481.5</v>
      </c>
      <c r="G286" s="451">
        <f t="shared" si="21"/>
        <v>206540.5</v>
      </c>
      <c r="H286" s="477">
        <v>88450.5</v>
      </c>
      <c r="I286" s="478">
        <v>81244.399999999994</v>
      </c>
      <c r="J286" s="477">
        <v>2988</v>
      </c>
      <c r="K286" s="478">
        <v>3464.1</v>
      </c>
      <c r="L286" s="477">
        <v>136043</v>
      </c>
      <c r="M286" s="477">
        <v>0</v>
      </c>
      <c r="N286" s="477">
        <v>0</v>
      </c>
      <c r="O286" s="478">
        <v>121832</v>
      </c>
      <c r="P286" s="479"/>
      <c r="Q286" s="479"/>
      <c r="R286" s="477"/>
      <c r="S286" s="479"/>
      <c r="T286" s="450">
        <f t="shared" si="22"/>
        <v>0</v>
      </c>
      <c r="U286" s="451">
        <f t="shared" si="23"/>
        <v>0</v>
      </c>
      <c r="V286" s="477"/>
      <c r="W286" s="479"/>
      <c r="X286" s="477"/>
      <c r="Y286" s="479"/>
      <c r="Z286" s="477"/>
      <c r="AA286" s="477"/>
      <c r="AB286" s="477"/>
      <c r="AC286" s="479"/>
      <c r="AD286" s="479"/>
      <c r="AE286" s="479"/>
      <c r="AF286" s="477"/>
      <c r="AG286" s="619"/>
    </row>
    <row r="287" spans="1:33" s="14" customFormat="1" ht="15.75" customHeight="1">
      <c r="A287" s="410" t="s">
        <v>280</v>
      </c>
      <c r="B287" s="347" t="s">
        <v>331</v>
      </c>
      <c r="C287" s="443"/>
      <c r="D287" s="549">
        <v>199333</v>
      </c>
      <c r="E287" s="517">
        <v>8</v>
      </c>
      <c r="F287" s="450">
        <f t="shared" si="20"/>
        <v>171383</v>
      </c>
      <c r="G287" s="451">
        <f t="shared" si="21"/>
        <v>150564</v>
      </c>
      <c r="H287" s="477">
        <v>48719</v>
      </c>
      <c r="I287" s="478">
        <v>22817</v>
      </c>
      <c r="J287" s="477">
        <v>7560</v>
      </c>
      <c r="K287" s="478">
        <v>9039</v>
      </c>
      <c r="L287" s="477">
        <v>115104</v>
      </c>
      <c r="M287" s="477">
        <v>0</v>
      </c>
      <c r="N287" s="477">
        <v>0</v>
      </c>
      <c r="O287" s="478">
        <v>118708</v>
      </c>
      <c r="P287" s="479"/>
      <c r="Q287" s="479"/>
      <c r="R287" s="477"/>
      <c r="S287" s="479"/>
      <c r="T287" s="450">
        <f t="shared" si="22"/>
        <v>0</v>
      </c>
      <c r="U287" s="451">
        <f t="shared" si="23"/>
        <v>0</v>
      </c>
      <c r="V287" s="477"/>
      <c r="W287" s="479"/>
      <c r="X287" s="477"/>
      <c r="Y287" s="479"/>
      <c r="Z287" s="477"/>
      <c r="AA287" s="477"/>
      <c r="AB287" s="477"/>
      <c r="AC287" s="479"/>
      <c r="AD287" s="479"/>
      <c r="AE287" s="479"/>
      <c r="AF287" s="477"/>
      <c r="AG287" s="619"/>
    </row>
    <row r="288" spans="1:33" s="14" customFormat="1" ht="15.75" customHeight="1">
      <c r="A288" s="410" t="s">
        <v>280</v>
      </c>
      <c r="B288" s="347" t="s">
        <v>337</v>
      </c>
      <c r="C288" s="443" t="s">
        <v>937</v>
      </c>
      <c r="D288" s="549">
        <v>199494</v>
      </c>
      <c r="E288" s="517">
        <v>8</v>
      </c>
      <c r="F288" s="450">
        <f t="shared" si="20"/>
        <v>130203</v>
      </c>
      <c r="G288" s="451">
        <f t="shared" si="21"/>
        <v>122169</v>
      </c>
      <c r="H288" s="477">
        <v>44917</v>
      </c>
      <c r="I288" s="478">
        <v>13540</v>
      </c>
      <c r="J288" s="477">
        <v>9881</v>
      </c>
      <c r="K288" s="478">
        <v>6592</v>
      </c>
      <c r="L288" s="477">
        <v>75405</v>
      </c>
      <c r="M288" s="477">
        <v>0</v>
      </c>
      <c r="N288" s="477">
        <v>0</v>
      </c>
      <c r="O288" s="478">
        <v>102037</v>
      </c>
      <c r="P288" s="479"/>
      <c r="Q288" s="479"/>
      <c r="R288" s="477"/>
      <c r="S288" s="479"/>
      <c r="T288" s="450">
        <f t="shared" si="22"/>
        <v>0</v>
      </c>
      <c r="U288" s="451">
        <f t="shared" si="23"/>
        <v>0</v>
      </c>
      <c r="V288" s="477"/>
      <c r="W288" s="479"/>
      <c r="X288" s="477"/>
      <c r="Y288" s="479"/>
      <c r="Z288" s="477"/>
      <c r="AA288" s="477"/>
      <c r="AB288" s="477"/>
      <c r="AC288" s="479"/>
      <c r="AD288" s="479"/>
      <c r="AE288" s="479"/>
      <c r="AF288" s="477"/>
      <c r="AG288" s="619"/>
    </row>
    <row r="289" spans="1:33" s="14" customFormat="1" ht="15.75" customHeight="1">
      <c r="A289" s="410" t="s">
        <v>280</v>
      </c>
      <c r="B289" s="347" t="s">
        <v>347</v>
      </c>
      <c r="C289" s="443"/>
      <c r="D289" s="549">
        <v>199856</v>
      </c>
      <c r="E289" s="517">
        <v>8</v>
      </c>
      <c r="F289" s="450">
        <f t="shared" si="20"/>
        <v>460892</v>
      </c>
      <c r="G289" s="451">
        <f t="shared" si="21"/>
        <v>444725</v>
      </c>
      <c r="H289" s="477">
        <v>124907</v>
      </c>
      <c r="I289" s="478">
        <v>74452</v>
      </c>
      <c r="J289" s="477">
        <v>3735</v>
      </c>
      <c r="K289" s="478">
        <v>5185</v>
      </c>
      <c r="L289" s="477">
        <v>332250</v>
      </c>
      <c r="M289" s="477">
        <v>0</v>
      </c>
      <c r="N289" s="477">
        <v>0</v>
      </c>
      <c r="O289" s="478">
        <v>365088</v>
      </c>
      <c r="P289" s="479"/>
      <c r="Q289" s="479"/>
      <c r="R289" s="477"/>
      <c r="S289" s="479"/>
      <c r="T289" s="450">
        <f t="shared" si="22"/>
        <v>0</v>
      </c>
      <c r="U289" s="451">
        <f t="shared" si="23"/>
        <v>0</v>
      </c>
      <c r="V289" s="477"/>
      <c r="W289" s="479"/>
      <c r="X289" s="477"/>
      <c r="Y289" s="479"/>
      <c r="Z289" s="477"/>
      <c r="AA289" s="477"/>
      <c r="AB289" s="477"/>
      <c r="AC289" s="479"/>
      <c r="AD289" s="479"/>
      <c r="AE289" s="479"/>
      <c r="AF289" s="477"/>
      <c r="AG289" s="619"/>
    </row>
    <row r="290" spans="1:33" s="14" customFormat="1" ht="15.75" customHeight="1">
      <c r="A290" s="410" t="s">
        <v>280</v>
      </c>
      <c r="B290" s="347" t="s">
        <v>296</v>
      </c>
      <c r="C290" s="443"/>
      <c r="D290" s="549">
        <v>199786</v>
      </c>
      <c r="E290" s="517">
        <v>9</v>
      </c>
      <c r="F290" s="450">
        <f t="shared" si="20"/>
        <v>86423.5</v>
      </c>
      <c r="G290" s="451">
        <f t="shared" si="21"/>
        <v>80618</v>
      </c>
      <c r="H290" s="477">
        <v>23367.5</v>
      </c>
      <c r="I290" s="478">
        <v>8893</v>
      </c>
      <c r="J290" s="477">
        <v>2919</v>
      </c>
      <c r="K290" s="478">
        <v>2031</v>
      </c>
      <c r="L290" s="477">
        <v>60137</v>
      </c>
      <c r="M290" s="477">
        <v>0</v>
      </c>
      <c r="N290" s="477">
        <v>0</v>
      </c>
      <c r="O290" s="478">
        <v>69694</v>
      </c>
      <c r="P290" s="479"/>
      <c r="Q290" s="479"/>
      <c r="R290" s="477"/>
      <c r="S290" s="479"/>
      <c r="T290" s="450">
        <f t="shared" si="22"/>
        <v>0</v>
      </c>
      <c r="U290" s="451">
        <f t="shared" si="23"/>
        <v>0</v>
      </c>
      <c r="V290" s="477"/>
      <c r="W290" s="479"/>
      <c r="X290" s="477"/>
      <c r="Y290" s="479"/>
      <c r="Z290" s="477"/>
      <c r="AA290" s="477"/>
      <c r="AB290" s="477"/>
      <c r="AC290" s="479"/>
      <c r="AD290" s="479"/>
      <c r="AE290" s="479"/>
      <c r="AF290" s="477"/>
      <c r="AG290" s="619"/>
    </row>
    <row r="291" spans="1:33" s="14" customFormat="1" ht="15.75" customHeight="1">
      <c r="A291" s="410" t="s">
        <v>280</v>
      </c>
      <c r="B291" s="347" t="s">
        <v>302</v>
      </c>
      <c r="C291" s="443"/>
      <c r="D291" s="549">
        <v>198118</v>
      </c>
      <c r="E291" s="517">
        <v>9</v>
      </c>
      <c r="F291" s="450">
        <f t="shared" si="20"/>
        <v>77344</v>
      </c>
      <c r="G291" s="451">
        <f t="shared" si="21"/>
        <v>71999</v>
      </c>
      <c r="H291" s="477">
        <v>20152</v>
      </c>
      <c r="I291" s="478">
        <v>18216</v>
      </c>
      <c r="J291" s="477">
        <v>3829</v>
      </c>
      <c r="K291" s="478">
        <v>3650</v>
      </c>
      <c r="L291" s="477">
        <v>53363</v>
      </c>
      <c r="M291" s="477">
        <v>0</v>
      </c>
      <c r="N291" s="477">
        <v>0</v>
      </c>
      <c r="O291" s="478">
        <v>50133</v>
      </c>
      <c r="P291" s="479"/>
      <c r="Q291" s="479"/>
      <c r="R291" s="477"/>
      <c r="S291" s="479"/>
      <c r="T291" s="450">
        <f t="shared" si="22"/>
        <v>0</v>
      </c>
      <c r="U291" s="451">
        <f t="shared" si="23"/>
        <v>0</v>
      </c>
      <c r="V291" s="477"/>
      <c r="W291" s="479"/>
      <c r="X291" s="477"/>
      <c r="Y291" s="479"/>
      <c r="Z291" s="477"/>
      <c r="AA291" s="477"/>
      <c r="AB291" s="477"/>
      <c r="AC291" s="479"/>
      <c r="AD291" s="479"/>
      <c r="AE291" s="479"/>
      <c r="AF291" s="477"/>
      <c r="AG291" s="619"/>
    </row>
    <row r="292" spans="1:33" s="14" customFormat="1" ht="15.75" customHeight="1">
      <c r="A292" s="410" t="s">
        <v>280</v>
      </c>
      <c r="B292" s="347" t="s">
        <v>305</v>
      </c>
      <c r="C292" s="443"/>
      <c r="D292" s="549">
        <v>198233</v>
      </c>
      <c r="E292" s="517">
        <v>9</v>
      </c>
      <c r="F292" s="450">
        <f t="shared" si="20"/>
        <v>94630</v>
      </c>
      <c r="G292" s="451">
        <f t="shared" si="21"/>
        <v>88148</v>
      </c>
      <c r="H292" s="477">
        <v>27914</v>
      </c>
      <c r="I292" s="478">
        <v>25223</v>
      </c>
      <c r="J292" s="477">
        <v>12580</v>
      </c>
      <c r="K292" s="478">
        <v>5475</v>
      </c>
      <c r="L292" s="477">
        <v>54136</v>
      </c>
      <c r="M292" s="477">
        <v>0</v>
      </c>
      <c r="N292" s="477">
        <v>0</v>
      </c>
      <c r="O292" s="478">
        <v>57450</v>
      </c>
      <c r="P292" s="479"/>
      <c r="Q292" s="479"/>
      <c r="R292" s="477"/>
      <c r="S292" s="479"/>
      <c r="T292" s="450">
        <f t="shared" si="22"/>
        <v>0</v>
      </c>
      <c r="U292" s="451">
        <f t="shared" si="23"/>
        <v>0</v>
      </c>
      <c r="V292" s="477"/>
      <c r="W292" s="479"/>
      <c r="X292" s="477"/>
      <c r="Y292" s="479"/>
      <c r="Z292" s="477"/>
      <c r="AA292" s="477"/>
      <c r="AB292" s="477"/>
      <c r="AC292" s="479"/>
      <c r="AD292" s="479"/>
      <c r="AE292" s="479"/>
      <c r="AF292" s="477"/>
      <c r="AG292" s="619"/>
    </row>
    <row r="293" spans="1:33" s="14" customFormat="1" ht="15.75" customHeight="1">
      <c r="A293" s="410" t="s">
        <v>280</v>
      </c>
      <c r="B293" s="347" t="s">
        <v>306</v>
      </c>
      <c r="C293" s="443"/>
      <c r="D293" s="549">
        <v>198251</v>
      </c>
      <c r="E293" s="517">
        <v>9</v>
      </c>
      <c r="F293" s="450">
        <f t="shared" si="20"/>
        <v>109789</v>
      </c>
      <c r="G293" s="451">
        <f t="shared" si="21"/>
        <v>99413</v>
      </c>
      <c r="H293" s="477">
        <v>27689</v>
      </c>
      <c r="I293" s="478">
        <v>22556</v>
      </c>
      <c r="J293" s="477">
        <v>9838</v>
      </c>
      <c r="K293" s="478">
        <v>4306</v>
      </c>
      <c r="L293" s="477">
        <v>72262</v>
      </c>
      <c r="M293" s="477">
        <v>0</v>
      </c>
      <c r="N293" s="477">
        <v>0</v>
      </c>
      <c r="O293" s="478">
        <v>72551</v>
      </c>
      <c r="P293" s="479"/>
      <c r="Q293" s="479"/>
      <c r="R293" s="477"/>
      <c r="S293" s="479"/>
      <c r="T293" s="450">
        <f t="shared" si="22"/>
        <v>0</v>
      </c>
      <c r="U293" s="451">
        <f t="shared" si="23"/>
        <v>0</v>
      </c>
      <c r="V293" s="477"/>
      <c r="W293" s="479"/>
      <c r="X293" s="477"/>
      <c r="Y293" s="479"/>
      <c r="Z293" s="477"/>
      <c r="AA293" s="477"/>
      <c r="AB293" s="477"/>
      <c r="AC293" s="479"/>
      <c r="AD293" s="479"/>
      <c r="AE293" s="479"/>
      <c r="AF293" s="477"/>
      <c r="AG293" s="619"/>
    </row>
    <row r="294" spans="1:33" s="14" customFormat="1" ht="15.75" customHeight="1">
      <c r="A294" s="410" t="s">
        <v>280</v>
      </c>
      <c r="B294" s="347" t="s">
        <v>308</v>
      </c>
      <c r="C294" s="443"/>
      <c r="D294" s="549">
        <v>198321</v>
      </c>
      <c r="E294" s="517">
        <v>9</v>
      </c>
      <c r="F294" s="450">
        <f t="shared" si="20"/>
        <v>53586</v>
      </c>
      <c r="G294" s="451">
        <f t="shared" si="21"/>
        <v>51497</v>
      </c>
      <c r="H294" s="477">
        <v>17098</v>
      </c>
      <c r="I294" s="478">
        <v>14349</v>
      </c>
      <c r="J294" s="477">
        <v>6795</v>
      </c>
      <c r="K294" s="478">
        <v>6797</v>
      </c>
      <c r="L294" s="477">
        <v>29693</v>
      </c>
      <c r="M294" s="477">
        <v>0</v>
      </c>
      <c r="N294" s="477">
        <v>0</v>
      </c>
      <c r="O294" s="478">
        <v>30351</v>
      </c>
      <c r="P294" s="479"/>
      <c r="Q294" s="479"/>
      <c r="R294" s="477"/>
      <c r="S294" s="479"/>
      <c r="T294" s="450">
        <f t="shared" si="22"/>
        <v>0</v>
      </c>
      <c r="U294" s="451">
        <f t="shared" si="23"/>
        <v>0</v>
      </c>
      <c r="V294" s="477"/>
      <c r="W294" s="479"/>
      <c r="X294" s="477"/>
      <c r="Y294" s="479"/>
      <c r="Z294" s="477"/>
      <c r="AA294" s="477"/>
      <c r="AB294" s="477"/>
      <c r="AC294" s="479"/>
      <c r="AD294" s="479"/>
      <c r="AE294" s="479"/>
      <c r="AF294" s="477"/>
      <c r="AG294" s="619"/>
    </row>
    <row r="295" spans="1:33" s="14" customFormat="1" ht="15.75" customHeight="1">
      <c r="A295" s="410" t="s">
        <v>280</v>
      </c>
      <c r="B295" s="347" t="s">
        <v>309</v>
      </c>
      <c r="C295" s="550"/>
      <c r="D295" s="549">
        <v>198330</v>
      </c>
      <c r="E295" s="517">
        <v>9</v>
      </c>
      <c r="F295" s="450">
        <f t="shared" si="20"/>
        <v>87823</v>
      </c>
      <c r="G295" s="451">
        <f t="shared" si="21"/>
        <v>83642</v>
      </c>
      <c r="H295" s="477">
        <v>39011</v>
      </c>
      <c r="I295" s="478">
        <v>26806</v>
      </c>
      <c r="J295" s="477">
        <v>4424</v>
      </c>
      <c r="K295" s="478">
        <v>4471</v>
      </c>
      <c r="L295" s="477">
        <v>44388</v>
      </c>
      <c r="M295" s="477">
        <v>0</v>
      </c>
      <c r="N295" s="477">
        <v>0</v>
      </c>
      <c r="O295" s="478">
        <v>52365</v>
      </c>
      <c r="P295" s="479"/>
      <c r="Q295" s="479"/>
      <c r="R295" s="477"/>
      <c r="S295" s="479"/>
      <c r="T295" s="450">
        <f t="shared" si="22"/>
        <v>0</v>
      </c>
      <c r="U295" s="451">
        <f t="shared" si="23"/>
        <v>0</v>
      </c>
      <c r="V295" s="477"/>
      <c r="W295" s="479"/>
      <c r="X295" s="477"/>
      <c r="Y295" s="479"/>
      <c r="Z295" s="477"/>
      <c r="AA295" s="477"/>
      <c r="AB295" s="477"/>
      <c r="AC295" s="479"/>
      <c r="AD295" s="479"/>
      <c r="AE295" s="479"/>
      <c r="AF295" s="477"/>
      <c r="AG295" s="619"/>
    </row>
    <row r="296" spans="1:33" s="14" customFormat="1" ht="15.75" customHeight="1">
      <c r="A296" s="410" t="s">
        <v>280</v>
      </c>
      <c r="B296" s="347" t="s">
        <v>310</v>
      </c>
      <c r="C296" s="443"/>
      <c r="D296" s="549">
        <v>198367</v>
      </c>
      <c r="E296" s="517">
        <v>9</v>
      </c>
      <c r="F296" s="450">
        <f t="shared" si="20"/>
        <v>58358</v>
      </c>
      <c r="G296" s="451">
        <f t="shared" si="21"/>
        <v>53435</v>
      </c>
      <c r="H296" s="477">
        <v>12130</v>
      </c>
      <c r="I296" s="478">
        <v>20910</v>
      </c>
      <c r="J296" s="477">
        <v>12873</v>
      </c>
      <c r="K296" s="478">
        <v>996</v>
      </c>
      <c r="L296" s="477">
        <v>33355</v>
      </c>
      <c r="M296" s="477">
        <v>0</v>
      </c>
      <c r="N296" s="477">
        <v>0</v>
      </c>
      <c r="O296" s="478">
        <v>31529</v>
      </c>
      <c r="P296" s="479"/>
      <c r="Q296" s="479"/>
      <c r="R296" s="477"/>
      <c r="S296" s="479"/>
      <c r="T296" s="450">
        <f t="shared" si="22"/>
        <v>0</v>
      </c>
      <c r="U296" s="451">
        <f t="shared" si="23"/>
        <v>0</v>
      </c>
      <c r="V296" s="477"/>
      <c r="W296" s="479"/>
      <c r="X296" s="477"/>
      <c r="Y296" s="479"/>
      <c r="Z296" s="477"/>
      <c r="AA296" s="477"/>
      <c r="AB296" s="477"/>
      <c r="AC296" s="479"/>
      <c r="AD296" s="479"/>
      <c r="AE296" s="479"/>
      <c r="AF296" s="477"/>
      <c r="AG296" s="619"/>
    </row>
    <row r="297" spans="1:33" s="14" customFormat="1" ht="15.75" customHeight="1">
      <c r="A297" s="410" t="s">
        <v>280</v>
      </c>
      <c r="B297" s="347" t="s">
        <v>749</v>
      </c>
      <c r="C297" s="443" t="s">
        <v>938</v>
      </c>
      <c r="D297" s="549">
        <v>198376</v>
      </c>
      <c r="E297" s="517">
        <v>9</v>
      </c>
      <c r="F297" s="450">
        <f t="shared" si="20"/>
        <v>76752</v>
      </c>
      <c r="G297" s="451">
        <f t="shared" si="21"/>
        <v>74927</v>
      </c>
      <c r="H297" s="477">
        <v>33609</v>
      </c>
      <c r="I297" s="478">
        <v>32556</v>
      </c>
      <c r="J297" s="477">
        <v>2996</v>
      </c>
      <c r="K297" s="478">
        <v>2614</v>
      </c>
      <c r="L297" s="477">
        <v>40147</v>
      </c>
      <c r="M297" s="477">
        <v>0</v>
      </c>
      <c r="N297" s="477">
        <v>0</v>
      </c>
      <c r="O297" s="478">
        <v>39757</v>
      </c>
      <c r="P297" s="479"/>
      <c r="Q297" s="479"/>
      <c r="R297" s="477"/>
      <c r="S297" s="479"/>
      <c r="T297" s="450">
        <f t="shared" si="22"/>
        <v>0</v>
      </c>
      <c r="U297" s="451">
        <f t="shared" si="23"/>
        <v>0</v>
      </c>
      <c r="V297" s="477"/>
      <c r="W297" s="479"/>
      <c r="X297" s="477"/>
      <c r="Y297" s="479"/>
      <c r="Z297" s="477"/>
      <c r="AA297" s="477"/>
      <c r="AB297" s="477"/>
      <c r="AC297" s="479"/>
      <c r="AD297" s="479"/>
      <c r="AE297" s="479"/>
      <c r="AF297" s="477"/>
      <c r="AG297" s="619"/>
    </row>
    <row r="298" spans="1:33" s="14" customFormat="1" ht="15.75" customHeight="1">
      <c r="A298" s="410" t="s">
        <v>280</v>
      </c>
      <c r="B298" s="347" t="s">
        <v>311</v>
      </c>
      <c r="C298" s="443"/>
      <c r="D298" s="549">
        <v>198455</v>
      </c>
      <c r="E298" s="517">
        <v>9</v>
      </c>
      <c r="F298" s="450">
        <f t="shared" si="20"/>
        <v>106093</v>
      </c>
      <c r="G298" s="451">
        <f t="shared" si="21"/>
        <v>96195</v>
      </c>
      <c r="H298" s="477">
        <v>30662</v>
      </c>
      <c r="I298" s="478">
        <v>12681</v>
      </c>
      <c r="J298" s="477">
        <v>5173</v>
      </c>
      <c r="K298" s="478">
        <v>6550</v>
      </c>
      <c r="L298" s="477">
        <v>70258</v>
      </c>
      <c r="M298" s="477">
        <v>0</v>
      </c>
      <c r="N298" s="477">
        <v>0</v>
      </c>
      <c r="O298" s="478">
        <v>76964</v>
      </c>
      <c r="P298" s="479"/>
      <c r="Q298" s="479"/>
      <c r="R298" s="477"/>
      <c r="S298" s="479"/>
      <c r="T298" s="450">
        <f t="shared" si="22"/>
        <v>0</v>
      </c>
      <c r="U298" s="451">
        <f t="shared" si="23"/>
        <v>0</v>
      </c>
      <c r="V298" s="477"/>
      <c r="W298" s="479"/>
      <c r="X298" s="477"/>
      <c r="Y298" s="479"/>
      <c r="Z298" s="477"/>
      <c r="AA298" s="477"/>
      <c r="AB298" s="477"/>
      <c r="AC298" s="479"/>
      <c r="AD298" s="479"/>
      <c r="AE298" s="479"/>
      <c r="AF298" s="477"/>
      <c r="AG298" s="619"/>
    </row>
    <row r="299" spans="1:33" s="14" customFormat="1" ht="15.75" customHeight="1">
      <c r="A299" s="410" t="s">
        <v>280</v>
      </c>
      <c r="B299" s="347" t="s">
        <v>315</v>
      </c>
      <c r="C299" s="443"/>
      <c r="D299" s="549">
        <v>198570</v>
      </c>
      <c r="E299" s="517">
        <v>9</v>
      </c>
      <c r="F299" s="450">
        <f t="shared" si="20"/>
        <v>106598</v>
      </c>
      <c r="G299" s="451">
        <f t="shared" si="21"/>
        <v>100664</v>
      </c>
      <c r="H299" s="477">
        <v>29828</v>
      </c>
      <c r="I299" s="478">
        <v>24090</v>
      </c>
      <c r="J299" s="477">
        <v>804</v>
      </c>
      <c r="K299" s="478">
        <v>1481</v>
      </c>
      <c r="L299" s="477">
        <v>75966</v>
      </c>
      <c r="M299" s="477">
        <v>0</v>
      </c>
      <c r="N299" s="477">
        <v>0</v>
      </c>
      <c r="O299" s="478">
        <v>75093</v>
      </c>
      <c r="P299" s="479"/>
      <c r="Q299" s="479"/>
      <c r="R299" s="477"/>
      <c r="S299" s="479"/>
      <c r="T299" s="450">
        <f t="shared" si="22"/>
        <v>0</v>
      </c>
      <c r="U299" s="451">
        <f t="shared" si="23"/>
        <v>0</v>
      </c>
      <c r="V299" s="477"/>
      <c r="W299" s="479"/>
      <c r="X299" s="477"/>
      <c r="Y299" s="479"/>
      <c r="Z299" s="477"/>
      <c r="AA299" s="477"/>
      <c r="AB299" s="477"/>
      <c r="AC299" s="479"/>
      <c r="AD299" s="479"/>
      <c r="AE299" s="479"/>
      <c r="AF299" s="477"/>
      <c r="AG299" s="619"/>
    </row>
    <row r="300" spans="1:33" s="14" customFormat="1" ht="15.75" customHeight="1">
      <c r="A300" s="410" t="s">
        <v>280</v>
      </c>
      <c r="B300" s="347" t="s">
        <v>321</v>
      </c>
      <c r="C300" s="443"/>
      <c r="D300" s="549">
        <v>198774</v>
      </c>
      <c r="E300" s="517">
        <v>9</v>
      </c>
      <c r="F300" s="450">
        <f t="shared" si="20"/>
        <v>86085</v>
      </c>
      <c r="G300" s="451">
        <f t="shared" si="21"/>
        <v>80717</v>
      </c>
      <c r="H300" s="477">
        <v>27100</v>
      </c>
      <c r="I300" s="478">
        <v>17821</v>
      </c>
      <c r="J300" s="477">
        <v>3763</v>
      </c>
      <c r="K300" s="478">
        <v>7173</v>
      </c>
      <c r="L300" s="477">
        <v>55222</v>
      </c>
      <c r="M300" s="477">
        <v>0</v>
      </c>
      <c r="N300" s="477">
        <v>0</v>
      </c>
      <c r="O300" s="478">
        <v>55723</v>
      </c>
      <c r="P300" s="479"/>
      <c r="Q300" s="479"/>
      <c r="R300" s="477"/>
      <c r="S300" s="479"/>
      <c r="T300" s="450">
        <f t="shared" si="22"/>
        <v>0</v>
      </c>
      <c r="U300" s="451">
        <f t="shared" si="23"/>
        <v>0</v>
      </c>
      <c r="V300" s="477"/>
      <c r="W300" s="479"/>
      <c r="X300" s="477"/>
      <c r="Y300" s="479"/>
      <c r="Z300" s="477"/>
      <c r="AA300" s="477"/>
      <c r="AB300" s="477"/>
      <c r="AC300" s="479"/>
      <c r="AD300" s="479"/>
      <c r="AE300" s="479"/>
      <c r="AF300" s="477"/>
      <c r="AG300" s="619"/>
    </row>
    <row r="301" spans="1:33" s="14" customFormat="1" ht="15.75" customHeight="1">
      <c r="A301" s="410" t="s">
        <v>280</v>
      </c>
      <c r="B301" s="347" t="s">
        <v>322</v>
      </c>
      <c r="C301" s="443"/>
      <c r="D301" s="549">
        <v>198817</v>
      </c>
      <c r="E301" s="517">
        <v>9</v>
      </c>
      <c r="F301" s="450">
        <f t="shared" si="20"/>
        <v>51279</v>
      </c>
      <c r="G301" s="451">
        <f t="shared" si="21"/>
        <v>48602</v>
      </c>
      <c r="H301" s="477">
        <v>14718</v>
      </c>
      <c r="I301" s="478">
        <v>12291</v>
      </c>
      <c r="J301" s="477">
        <v>1873</v>
      </c>
      <c r="K301" s="478">
        <v>2080</v>
      </c>
      <c r="L301" s="477">
        <v>34688</v>
      </c>
      <c r="M301" s="477">
        <v>0</v>
      </c>
      <c r="N301" s="477">
        <v>0</v>
      </c>
      <c r="O301" s="478">
        <v>34231</v>
      </c>
      <c r="P301" s="479"/>
      <c r="Q301" s="479"/>
      <c r="R301" s="477"/>
      <c r="S301" s="479"/>
      <c r="T301" s="450">
        <f t="shared" si="22"/>
        <v>0</v>
      </c>
      <c r="U301" s="451">
        <f t="shared" si="23"/>
        <v>0</v>
      </c>
      <c r="V301" s="477"/>
      <c r="W301" s="479"/>
      <c r="X301" s="477"/>
      <c r="Y301" s="479"/>
      <c r="Z301" s="477"/>
      <c r="AA301" s="477"/>
      <c r="AB301" s="477"/>
      <c r="AC301" s="479"/>
      <c r="AD301" s="479"/>
      <c r="AE301" s="479"/>
      <c r="AF301" s="477"/>
      <c r="AG301" s="619"/>
    </row>
    <row r="302" spans="1:33" s="14" customFormat="1" ht="15.75" customHeight="1">
      <c r="A302" s="410" t="s">
        <v>280</v>
      </c>
      <c r="B302" s="347" t="s">
        <v>326</v>
      </c>
      <c r="C302" s="443"/>
      <c r="D302" s="549">
        <v>198987</v>
      </c>
      <c r="E302" s="517">
        <v>9</v>
      </c>
      <c r="F302" s="450">
        <f t="shared" si="20"/>
        <v>60192.800000000003</v>
      </c>
      <c r="G302" s="451">
        <f t="shared" si="21"/>
        <v>57734.200000000019</v>
      </c>
      <c r="H302" s="477">
        <v>23654.799999999999</v>
      </c>
      <c r="I302" s="478">
        <v>9940.2000000000207</v>
      </c>
      <c r="J302" s="477">
        <v>5303</v>
      </c>
      <c r="K302" s="478">
        <v>2947</v>
      </c>
      <c r="L302" s="477">
        <v>31235</v>
      </c>
      <c r="M302" s="477">
        <v>0</v>
      </c>
      <c r="N302" s="477">
        <v>0</v>
      </c>
      <c r="O302" s="478">
        <v>44847</v>
      </c>
      <c r="P302" s="479"/>
      <c r="Q302" s="479"/>
      <c r="R302" s="477"/>
      <c r="S302" s="479"/>
      <c r="T302" s="450">
        <f t="shared" si="22"/>
        <v>0</v>
      </c>
      <c r="U302" s="451">
        <f t="shared" si="23"/>
        <v>0</v>
      </c>
      <c r="V302" s="477"/>
      <c r="W302" s="479"/>
      <c r="X302" s="477"/>
      <c r="Y302" s="479"/>
      <c r="Z302" s="477"/>
      <c r="AA302" s="477"/>
      <c r="AB302" s="477"/>
      <c r="AC302" s="479"/>
      <c r="AD302" s="479"/>
      <c r="AE302" s="479"/>
      <c r="AF302" s="477"/>
      <c r="AG302" s="619"/>
    </row>
    <row r="303" spans="1:33" s="14" customFormat="1" ht="15.75" customHeight="1">
      <c r="A303" s="410" t="s">
        <v>280</v>
      </c>
      <c r="B303" s="347" t="s">
        <v>328</v>
      </c>
      <c r="C303" s="443"/>
      <c r="D303" s="549">
        <v>199087</v>
      </c>
      <c r="E303" s="517">
        <v>9</v>
      </c>
      <c r="F303" s="450">
        <f t="shared" si="20"/>
        <v>56033</v>
      </c>
      <c r="G303" s="451">
        <f t="shared" si="21"/>
        <v>52196</v>
      </c>
      <c r="H303" s="477">
        <v>17542</v>
      </c>
      <c r="I303" s="478">
        <v>11622</v>
      </c>
      <c r="J303" s="477">
        <v>2116</v>
      </c>
      <c r="K303" s="478">
        <v>2109</v>
      </c>
      <c r="L303" s="477">
        <v>36375</v>
      </c>
      <c r="M303" s="477">
        <v>0</v>
      </c>
      <c r="N303" s="477">
        <v>0</v>
      </c>
      <c r="O303" s="478">
        <v>38465</v>
      </c>
      <c r="P303" s="479"/>
      <c r="Q303" s="479"/>
      <c r="R303" s="477"/>
      <c r="S303" s="479"/>
      <c r="T303" s="450">
        <f t="shared" si="22"/>
        <v>0</v>
      </c>
      <c r="U303" s="451">
        <f t="shared" si="23"/>
        <v>0</v>
      </c>
      <c r="V303" s="477"/>
      <c r="W303" s="479"/>
      <c r="X303" s="477"/>
      <c r="Y303" s="479"/>
      <c r="Z303" s="477"/>
      <c r="AA303" s="477"/>
      <c r="AB303" s="477"/>
      <c r="AC303" s="479"/>
      <c r="AD303" s="479"/>
      <c r="AE303" s="479"/>
      <c r="AF303" s="477"/>
      <c r="AG303" s="619"/>
    </row>
    <row r="304" spans="1:33" s="14" customFormat="1" ht="15.75" customHeight="1">
      <c r="A304" s="410" t="s">
        <v>280</v>
      </c>
      <c r="B304" s="347" t="s">
        <v>332</v>
      </c>
      <c r="C304" s="443" t="s">
        <v>939</v>
      </c>
      <c r="D304" s="549">
        <v>199421</v>
      </c>
      <c r="E304" s="517">
        <v>9</v>
      </c>
      <c r="F304" s="450">
        <f t="shared" si="20"/>
        <v>53143</v>
      </c>
      <c r="G304" s="451">
        <f t="shared" si="21"/>
        <v>47734.7</v>
      </c>
      <c r="H304" s="477">
        <v>16754</v>
      </c>
      <c r="I304" s="478">
        <v>10993.7</v>
      </c>
      <c r="J304" s="477">
        <v>850</v>
      </c>
      <c r="K304" s="478">
        <v>1500</v>
      </c>
      <c r="L304" s="477">
        <v>35539</v>
      </c>
      <c r="M304" s="477">
        <v>0</v>
      </c>
      <c r="N304" s="477">
        <v>0</v>
      </c>
      <c r="O304" s="478">
        <v>35241</v>
      </c>
      <c r="P304" s="479"/>
      <c r="Q304" s="479"/>
      <c r="R304" s="477"/>
      <c r="S304" s="479"/>
      <c r="T304" s="450">
        <f t="shared" si="22"/>
        <v>0</v>
      </c>
      <c r="U304" s="451">
        <f t="shared" si="23"/>
        <v>0</v>
      </c>
      <c r="V304" s="477"/>
      <c r="W304" s="479"/>
      <c r="X304" s="477"/>
      <c r="Y304" s="479"/>
      <c r="Z304" s="477"/>
      <c r="AA304" s="477"/>
      <c r="AB304" s="477"/>
      <c r="AC304" s="479"/>
      <c r="AD304" s="479"/>
      <c r="AE304" s="479"/>
      <c r="AF304" s="477"/>
      <c r="AG304" s="619"/>
    </row>
    <row r="305" spans="1:35" s="14" customFormat="1" ht="15.75" customHeight="1">
      <c r="A305" s="410" t="s">
        <v>280</v>
      </c>
      <c r="B305" s="347" t="s">
        <v>333</v>
      </c>
      <c r="C305" s="443" t="s">
        <v>939</v>
      </c>
      <c r="D305" s="549">
        <v>199449</v>
      </c>
      <c r="E305" s="517">
        <v>9</v>
      </c>
      <c r="F305" s="450">
        <f t="shared" si="20"/>
        <v>47998.5</v>
      </c>
      <c r="G305" s="451">
        <f t="shared" si="21"/>
        <v>45459</v>
      </c>
      <c r="H305" s="477">
        <v>23998.5</v>
      </c>
      <c r="I305" s="478">
        <v>21425</v>
      </c>
      <c r="J305" s="477">
        <v>231</v>
      </c>
      <c r="K305" s="478">
        <v>433</v>
      </c>
      <c r="L305" s="477">
        <v>23769</v>
      </c>
      <c r="M305" s="477">
        <v>0</v>
      </c>
      <c r="N305" s="477">
        <v>0</v>
      </c>
      <c r="O305" s="478">
        <v>23601</v>
      </c>
      <c r="P305" s="479"/>
      <c r="Q305" s="479"/>
      <c r="R305" s="477"/>
      <c r="S305" s="479"/>
      <c r="T305" s="450">
        <f t="shared" si="22"/>
        <v>0</v>
      </c>
      <c r="U305" s="451">
        <f t="shared" si="23"/>
        <v>0</v>
      </c>
      <c r="V305" s="477"/>
      <c r="W305" s="479"/>
      <c r="X305" s="477"/>
      <c r="Y305" s="479"/>
      <c r="Z305" s="477"/>
      <c r="AA305" s="477"/>
      <c r="AB305" s="477"/>
      <c r="AC305" s="479"/>
      <c r="AD305" s="479"/>
      <c r="AE305" s="479"/>
      <c r="AF305" s="477"/>
      <c r="AG305" s="619"/>
    </row>
    <row r="306" spans="1:35" s="14" customFormat="1" ht="15.75" customHeight="1">
      <c r="A306" s="410" t="s">
        <v>280</v>
      </c>
      <c r="B306" s="347" t="s">
        <v>339</v>
      </c>
      <c r="C306" s="443"/>
      <c r="D306" s="549">
        <v>199634</v>
      </c>
      <c r="E306" s="517">
        <v>9</v>
      </c>
      <c r="F306" s="450">
        <f t="shared" si="20"/>
        <v>83225</v>
      </c>
      <c r="G306" s="451">
        <f t="shared" si="21"/>
        <v>77983</v>
      </c>
      <c r="H306" s="477">
        <v>25506</v>
      </c>
      <c r="I306" s="478">
        <v>15567</v>
      </c>
      <c r="J306" s="477">
        <v>2380</v>
      </c>
      <c r="K306" s="478">
        <v>510</v>
      </c>
      <c r="L306" s="477">
        <v>55339</v>
      </c>
      <c r="M306" s="477">
        <v>0</v>
      </c>
      <c r="N306" s="477">
        <v>0</v>
      </c>
      <c r="O306" s="478">
        <v>61906</v>
      </c>
      <c r="P306" s="479"/>
      <c r="Q306" s="479"/>
      <c r="R306" s="477"/>
      <c r="S306" s="479"/>
      <c r="T306" s="450">
        <f t="shared" si="22"/>
        <v>0</v>
      </c>
      <c r="U306" s="451">
        <f t="shared" si="23"/>
        <v>0</v>
      </c>
      <c r="V306" s="477"/>
      <c r="W306" s="479"/>
      <c r="X306" s="477"/>
      <c r="Y306" s="479"/>
      <c r="Z306" s="477"/>
      <c r="AA306" s="477"/>
      <c r="AB306" s="477"/>
      <c r="AC306" s="479"/>
      <c r="AD306" s="479"/>
      <c r="AE306" s="479"/>
      <c r="AF306" s="477"/>
      <c r="AG306" s="619"/>
    </row>
    <row r="307" spans="1:35" s="14" customFormat="1" ht="15.75" customHeight="1">
      <c r="A307" s="410" t="s">
        <v>280</v>
      </c>
      <c r="B307" s="347" t="s">
        <v>340</v>
      </c>
      <c r="C307" s="443"/>
      <c r="D307" s="549">
        <v>197850</v>
      </c>
      <c r="E307" s="517">
        <v>9</v>
      </c>
      <c r="F307" s="450">
        <f t="shared" si="20"/>
        <v>51606</v>
      </c>
      <c r="G307" s="451">
        <f t="shared" si="21"/>
        <v>51609</v>
      </c>
      <c r="H307" s="477">
        <v>16680</v>
      </c>
      <c r="I307" s="478">
        <v>17019</v>
      </c>
      <c r="J307" s="477">
        <v>1480</v>
      </c>
      <c r="K307" s="478">
        <v>1551</v>
      </c>
      <c r="L307" s="477">
        <v>33446</v>
      </c>
      <c r="M307" s="477">
        <v>0</v>
      </c>
      <c r="N307" s="477">
        <v>0</v>
      </c>
      <c r="O307" s="478">
        <v>33039</v>
      </c>
      <c r="P307" s="479"/>
      <c r="Q307" s="479"/>
      <c r="R307" s="477"/>
      <c r="S307" s="479"/>
      <c r="T307" s="450">
        <f t="shared" si="22"/>
        <v>0</v>
      </c>
      <c r="U307" s="451">
        <f t="shared" si="23"/>
        <v>0</v>
      </c>
      <c r="V307" s="477"/>
      <c r="W307" s="479"/>
      <c r="X307" s="477"/>
      <c r="Y307" s="479"/>
      <c r="Z307" s="477"/>
      <c r="AA307" s="477"/>
      <c r="AB307" s="477"/>
      <c r="AC307" s="479"/>
      <c r="AD307" s="479"/>
      <c r="AE307" s="479"/>
      <c r="AF307" s="477"/>
      <c r="AG307" s="619"/>
    </row>
    <row r="308" spans="1:35" s="14" customFormat="1" ht="15.75" customHeight="1">
      <c r="A308" s="410" t="s">
        <v>280</v>
      </c>
      <c r="B308" s="347" t="s">
        <v>343</v>
      </c>
      <c r="C308" s="443" t="s">
        <v>939</v>
      </c>
      <c r="D308" s="549">
        <v>199740</v>
      </c>
      <c r="E308" s="517">
        <v>9</v>
      </c>
      <c r="F308" s="450">
        <f t="shared" si="20"/>
        <v>48314</v>
      </c>
      <c r="G308" s="451">
        <f t="shared" si="21"/>
        <v>44940</v>
      </c>
      <c r="H308" s="477">
        <v>7936</v>
      </c>
      <c r="I308" s="478">
        <v>7137</v>
      </c>
      <c r="J308" s="477">
        <v>1369</v>
      </c>
      <c r="K308" s="478">
        <v>844</v>
      </c>
      <c r="L308" s="477">
        <v>39009</v>
      </c>
      <c r="M308" s="477">
        <v>0</v>
      </c>
      <c r="N308" s="477">
        <v>0</v>
      </c>
      <c r="O308" s="478">
        <v>36959</v>
      </c>
      <c r="P308" s="479"/>
      <c r="Q308" s="479"/>
      <c r="R308" s="477"/>
      <c r="S308" s="479"/>
      <c r="T308" s="450">
        <f t="shared" si="22"/>
        <v>0</v>
      </c>
      <c r="U308" s="451">
        <f t="shared" si="23"/>
        <v>0</v>
      </c>
      <c r="V308" s="477"/>
      <c r="W308" s="479"/>
      <c r="X308" s="477"/>
      <c r="Y308" s="479"/>
      <c r="Z308" s="477"/>
      <c r="AA308" s="477"/>
      <c r="AB308" s="477"/>
      <c r="AC308" s="479"/>
      <c r="AD308" s="479"/>
      <c r="AE308" s="479"/>
      <c r="AF308" s="477"/>
      <c r="AG308" s="619"/>
    </row>
    <row r="309" spans="1:35" s="14" customFormat="1" ht="15.75" customHeight="1">
      <c r="A309" s="410" t="s">
        <v>280</v>
      </c>
      <c r="B309" s="347" t="s">
        <v>344</v>
      </c>
      <c r="C309" s="443"/>
      <c r="D309" s="549">
        <v>199768</v>
      </c>
      <c r="E309" s="517">
        <v>9</v>
      </c>
      <c r="F309" s="450">
        <f t="shared" si="20"/>
        <v>63807</v>
      </c>
      <c r="G309" s="451">
        <f t="shared" si="21"/>
        <v>57452</v>
      </c>
      <c r="H309" s="477">
        <v>29468</v>
      </c>
      <c r="I309" s="478">
        <v>25764</v>
      </c>
      <c r="J309" s="477">
        <v>1320</v>
      </c>
      <c r="K309" s="478">
        <v>1429</v>
      </c>
      <c r="L309" s="477">
        <v>33019</v>
      </c>
      <c r="M309" s="477">
        <v>0</v>
      </c>
      <c r="N309" s="477">
        <v>0</v>
      </c>
      <c r="O309" s="478">
        <v>30259</v>
      </c>
      <c r="P309" s="479"/>
      <c r="Q309" s="479"/>
      <c r="R309" s="477"/>
      <c r="S309" s="479"/>
      <c r="T309" s="450">
        <f t="shared" si="22"/>
        <v>0</v>
      </c>
      <c r="U309" s="451">
        <f t="shared" si="23"/>
        <v>0</v>
      </c>
      <c r="V309" s="477"/>
      <c r="W309" s="479"/>
      <c r="X309" s="477"/>
      <c r="Y309" s="479"/>
      <c r="Z309" s="477"/>
      <c r="AA309" s="477"/>
      <c r="AB309" s="477"/>
      <c r="AC309" s="479"/>
      <c r="AD309" s="479"/>
      <c r="AE309" s="479"/>
      <c r="AF309" s="477"/>
      <c r="AG309" s="619"/>
    </row>
    <row r="310" spans="1:35" s="14" customFormat="1" ht="15.75" customHeight="1">
      <c r="A310" s="410" t="s">
        <v>280</v>
      </c>
      <c r="B310" s="347" t="s">
        <v>346</v>
      </c>
      <c r="C310" s="443"/>
      <c r="D310" s="549">
        <v>199838</v>
      </c>
      <c r="E310" s="517">
        <v>9</v>
      </c>
      <c r="F310" s="450">
        <f t="shared" si="20"/>
        <v>57594</v>
      </c>
      <c r="G310" s="451">
        <f t="shared" si="21"/>
        <v>52540</v>
      </c>
      <c r="H310" s="477">
        <v>11515</v>
      </c>
      <c r="I310" s="478">
        <v>5170</v>
      </c>
      <c r="J310" s="477">
        <v>857</v>
      </c>
      <c r="K310" s="478">
        <v>628</v>
      </c>
      <c r="L310" s="477">
        <v>45222</v>
      </c>
      <c r="M310" s="477">
        <v>0</v>
      </c>
      <c r="N310" s="477">
        <v>0</v>
      </c>
      <c r="O310" s="478">
        <v>46742</v>
      </c>
      <c r="P310" s="479"/>
      <c r="Q310" s="479"/>
      <c r="R310" s="477"/>
      <c r="S310" s="479"/>
      <c r="T310" s="450">
        <f t="shared" si="22"/>
        <v>0</v>
      </c>
      <c r="U310" s="451">
        <f t="shared" si="23"/>
        <v>0</v>
      </c>
      <c r="V310" s="477"/>
      <c r="W310" s="479"/>
      <c r="X310" s="477"/>
      <c r="Y310" s="479"/>
      <c r="Z310" s="477"/>
      <c r="AA310" s="477"/>
      <c r="AB310" s="477"/>
      <c r="AC310" s="479"/>
      <c r="AD310" s="479"/>
      <c r="AE310" s="479"/>
      <c r="AF310" s="477"/>
      <c r="AG310" s="619"/>
    </row>
    <row r="311" spans="1:35" s="14" customFormat="1" ht="15.75" customHeight="1">
      <c r="A311" s="410" t="s">
        <v>280</v>
      </c>
      <c r="B311" s="347" t="s">
        <v>348</v>
      </c>
      <c r="C311" s="443"/>
      <c r="D311" s="549">
        <v>199892</v>
      </c>
      <c r="E311" s="517">
        <v>9</v>
      </c>
      <c r="F311" s="450">
        <f t="shared" si="20"/>
        <v>69015</v>
      </c>
      <c r="G311" s="451">
        <f t="shared" si="21"/>
        <v>63418</v>
      </c>
      <c r="H311" s="477">
        <v>16384</v>
      </c>
      <c r="I311" s="478">
        <v>6144</v>
      </c>
      <c r="J311" s="477">
        <v>147</v>
      </c>
      <c r="K311" s="478">
        <v>1250</v>
      </c>
      <c r="L311" s="477">
        <v>52484</v>
      </c>
      <c r="M311" s="477">
        <v>0</v>
      </c>
      <c r="N311" s="477">
        <v>0</v>
      </c>
      <c r="O311" s="478">
        <v>56024</v>
      </c>
      <c r="P311" s="479"/>
      <c r="Q311" s="479"/>
      <c r="R311" s="477"/>
      <c r="S311" s="479"/>
      <c r="T311" s="450">
        <f t="shared" si="22"/>
        <v>0</v>
      </c>
      <c r="U311" s="451">
        <f t="shared" si="23"/>
        <v>0</v>
      </c>
      <c r="V311" s="477"/>
      <c r="W311" s="479"/>
      <c r="X311" s="477"/>
      <c r="Y311" s="479"/>
      <c r="Z311" s="477"/>
      <c r="AA311" s="477"/>
      <c r="AB311" s="477"/>
      <c r="AC311" s="479"/>
      <c r="AD311" s="479"/>
      <c r="AE311" s="479"/>
      <c r="AF311" s="477"/>
      <c r="AG311" s="619"/>
    </row>
    <row r="312" spans="1:35" s="14" customFormat="1" ht="15.75" customHeight="1">
      <c r="A312" s="410" t="s">
        <v>280</v>
      </c>
      <c r="B312" s="347" t="s">
        <v>350</v>
      </c>
      <c r="C312" s="443"/>
      <c r="D312" s="549">
        <v>199926</v>
      </c>
      <c r="E312" s="517">
        <v>9</v>
      </c>
      <c r="F312" s="450">
        <f t="shared" si="20"/>
        <v>53312</v>
      </c>
      <c r="G312" s="451">
        <f t="shared" si="21"/>
        <v>47858</v>
      </c>
      <c r="H312" s="477">
        <v>15595</v>
      </c>
      <c r="I312" s="478">
        <v>10482</v>
      </c>
      <c r="J312" s="477">
        <v>7043</v>
      </c>
      <c r="K312" s="478">
        <v>6523</v>
      </c>
      <c r="L312" s="477">
        <v>30674</v>
      </c>
      <c r="M312" s="477">
        <v>0</v>
      </c>
      <c r="N312" s="477">
        <v>0</v>
      </c>
      <c r="O312" s="478">
        <v>30853</v>
      </c>
      <c r="P312" s="479"/>
      <c r="Q312" s="479"/>
      <c r="R312" s="477"/>
      <c r="S312" s="479"/>
      <c r="T312" s="450">
        <f t="shared" si="22"/>
        <v>0</v>
      </c>
      <c r="U312" s="451">
        <f t="shared" si="23"/>
        <v>0</v>
      </c>
      <c r="V312" s="477"/>
      <c r="W312" s="479"/>
      <c r="X312" s="477"/>
      <c r="Y312" s="479"/>
      <c r="Z312" s="477"/>
      <c r="AA312" s="477"/>
      <c r="AB312" s="477"/>
      <c r="AC312" s="479"/>
      <c r="AD312" s="479"/>
      <c r="AE312" s="479"/>
      <c r="AF312" s="477"/>
      <c r="AG312" s="619"/>
    </row>
    <row r="313" spans="1:35" s="14" customFormat="1" ht="15.75" customHeight="1">
      <c r="A313" s="410" t="s">
        <v>280</v>
      </c>
      <c r="B313" s="347" t="s">
        <v>298</v>
      </c>
      <c r="C313" s="443"/>
      <c r="D313" s="549">
        <v>197966</v>
      </c>
      <c r="E313" s="517">
        <v>10</v>
      </c>
      <c r="F313" s="450">
        <f t="shared" si="20"/>
        <v>30327</v>
      </c>
      <c r="G313" s="451">
        <f t="shared" si="21"/>
        <v>32015</v>
      </c>
      <c r="H313" s="477">
        <v>8565</v>
      </c>
      <c r="I313" s="478">
        <v>10584</v>
      </c>
      <c r="J313" s="477">
        <v>1325</v>
      </c>
      <c r="K313" s="478">
        <v>2314</v>
      </c>
      <c r="L313" s="477">
        <v>20437</v>
      </c>
      <c r="M313" s="477">
        <v>0</v>
      </c>
      <c r="N313" s="477">
        <v>0</v>
      </c>
      <c r="O313" s="478">
        <v>19117</v>
      </c>
      <c r="P313" s="479"/>
      <c r="Q313" s="479"/>
      <c r="R313" s="477"/>
      <c r="S313" s="479"/>
      <c r="T313" s="450">
        <f t="shared" si="22"/>
        <v>0</v>
      </c>
      <c r="U313" s="451">
        <f t="shared" si="23"/>
        <v>0</v>
      </c>
      <c r="V313" s="477"/>
      <c r="W313" s="479"/>
      <c r="X313" s="477"/>
      <c r="Y313" s="479"/>
      <c r="Z313" s="477"/>
      <c r="AA313" s="477"/>
      <c r="AB313" s="477"/>
      <c r="AC313" s="479"/>
      <c r="AD313" s="479"/>
      <c r="AE313" s="479"/>
      <c r="AF313" s="477"/>
      <c r="AG313" s="619"/>
    </row>
    <row r="314" spans="1:35" s="14" customFormat="1" ht="15.75" customHeight="1">
      <c r="A314" s="410" t="s">
        <v>280</v>
      </c>
      <c r="B314" s="347" t="s">
        <v>299</v>
      </c>
      <c r="C314" s="443"/>
      <c r="D314" s="549">
        <v>198011</v>
      </c>
      <c r="E314" s="517">
        <v>10</v>
      </c>
      <c r="F314" s="450">
        <f t="shared" si="20"/>
        <v>25178</v>
      </c>
      <c r="G314" s="451">
        <f t="shared" si="21"/>
        <v>24198</v>
      </c>
      <c r="H314" s="477">
        <v>6371</v>
      </c>
      <c r="I314" s="478">
        <v>8380</v>
      </c>
      <c r="J314" s="477">
        <v>176</v>
      </c>
      <c r="K314" s="478">
        <v>437</v>
      </c>
      <c r="L314" s="477">
        <v>18631</v>
      </c>
      <c r="M314" s="477">
        <v>0</v>
      </c>
      <c r="N314" s="477">
        <v>0</v>
      </c>
      <c r="O314" s="478">
        <v>15381</v>
      </c>
      <c r="P314" s="479"/>
      <c r="Q314" s="479"/>
      <c r="R314" s="477"/>
      <c r="S314" s="479"/>
      <c r="T314" s="450">
        <f t="shared" si="22"/>
        <v>0</v>
      </c>
      <c r="U314" s="451">
        <f t="shared" si="23"/>
        <v>0</v>
      </c>
      <c r="V314" s="477"/>
      <c r="W314" s="479"/>
      <c r="X314" s="477"/>
      <c r="Y314" s="479"/>
      <c r="Z314" s="477"/>
      <c r="AA314" s="477"/>
      <c r="AB314" s="477"/>
      <c r="AC314" s="479"/>
      <c r="AD314" s="479"/>
      <c r="AE314" s="479"/>
      <c r="AF314" s="477"/>
      <c r="AG314" s="619"/>
    </row>
    <row r="315" spans="1:35" s="14" customFormat="1" ht="15.75" customHeight="1">
      <c r="A315" s="410" t="s">
        <v>280</v>
      </c>
      <c r="B315" s="347" t="s">
        <v>300</v>
      </c>
      <c r="C315" s="443"/>
      <c r="D315" s="549">
        <v>198039</v>
      </c>
      <c r="E315" s="517">
        <v>10</v>
      </c>
      <c r="F315" s="450">
        <f t="shared" si="20"/>
        <v>45937</v>
      </c>
      <c r="G315" s="451">
        <f t="shared" si="21"/>
        <v>47713</v>
      </c>
      <c r="H315" s="477">
        <v>17447</v>
      </c>
      <c r="I315" s="478">
        <v>11984</v>
      </c>
      <c r="J315" s="477">
        <v>2820</v>
      </c>
      <c r="K315" s="478">
        <v>2341</v>
      </c>
      <c r="L315" s="477">
        <v>25670</v>
      </c>
      <c r="M315" s="477">
        <v>0</v>
      </c>
      <c r="N315" s="477">
        <v>0</v>
      </c>
      <c r="O315" s="478">
        <v>33388</v>
      </c>
      <c r="P315" s="479"/>
      <c r="Q315" s="479"/>
      <c r="R315" s="477"/>
      <c r="S315" s="479"/>
      <c r="T315" s="450">
        <f t="shared" si="22"/>
        <v>0</v>
      </c>
      <c r="U315" s="451">
        <f t="shared" si="23"/>
        <v>0</v>
      </c>
      <c r="V315" s="477"/>
      <c r="W315" s="479"/>
      <c r="X315" s="477"/>
      <c r="Y315" s="479"/>
      <c r="Z315" s="477"/>
      <c r="AA315" s="477"/>
      <c r="AB315" s="477"/>
      <c r="AC315" s="479"/>
      <c r="AD315" s="479"/>
      <c r="AE315" s="479"/>
      <c r="AF315" s="477"/>
      <c r="AG315" s="619"/>
    </row>
    <row r="316" spans="1:35" s="14" customFormat="1" ht="14.45" customHeight="1">
      <c r="A316" s="410" t="s">
        <v>280</v>
      </c>
      <c r="B316" s="347" t="s">
        <v>301</v>
      </c>
      <c r="C316" s="443"/>
      <c r="D316" s="549">
        <v>198084</v>
      </c>
      <c r="E316" s="517">
        <v>10</v>
      </c>
      <c r="F316" s="450">
        <f t="shared" si="20"/>
        <v>33214</v>
      </c>
      <c r="G316" s="451">
        <f t="shared" si="21"/>
        <v>34627</v>
      </c>
      <c r="H316" s="477">
        <v>8095</v>
      </c>
      <c r="I316" s="478">
        <v>6207</v>
      </c>
      <c r="J316" s="477">
        <v>820</v>
      </c>
      <c r="K316" s="478">
        <v>238</v>
      </c>
      <c r="L316" s="477">
        <v>24299</v>
      </c>
      <c r="M316" s="477">
        <v>0</v>
      </c>
      <c r="N316" s="477">
        <v>0</v>
      </c>
      <c r="O316" s="478">
        <v>28182</v>
      </c>
      <c r="P316" s="479"/>
      <c r="Q316" s="479"/>
      <c r="R316" s="477"/>
      <c r="S316" s="479"/>
      <c r="T316" s="450">
        <f t="shared" si="22"/>
        <v>0</v>
      </c>
      <c r="U316" s="451">
        <f t="shared" si="23"/>
        <v>0</v>
      </c>
      <c r="V316" s="477"/>
      <c r="W316" s="479"/>
      <c r="X316" s="477"/>
      <c r="Y316" s="479"/>
      <c r="Z316" s="477"/>
      <c r="AA316" s="477"/>
      <c r="AB316" s="477"/>
      <c r="AC316" s="479"/>
      <c r="AD316" s="479"/>
      <c r="AE316" s="479"/>
      <c r="AF316" s="477"/>
      <c r="AG316" s="619"/>
      <c r="AH316"/>
      <c r="AI316"/>
    </row>
    <row r="317" spans="1:35" s="14" customFormat="1" ht="14.45" customHeight="1">
      <c r="A317" s="410" t="s">
        <v>280</v>
      </c>
      <c r="B317" s="347" t="s">
        <v>304</v>
      </c>
      <c r="C317" s="443"/>
      <c r="D317" s="549">
        <v>198206</v>
      </c>
      <c r="E317" s="517">
        <v>10</v>
      </c>
      <c r="F317" s="450">
        <f t="shared" si="20"/>
        <v>29328.5</v>
      </c>
      <c r="G317" s="451">
        <f t="shared" si="21"/>
        <v>31080</v>
      </c>
      <c r="H317" s="477">
        <v>12878.5</v>
      </c>
      <c r="I317" s="478">
        <v>12321</v>
      </c>
      <c r="J317" s="477">
        <v>1127</v>
      </c>
      <c r="K317" s="478">
        <v>0</v>
      </c>
      <c r="L317" s="477">
        <v>15323</v>
      </c>
      <c r="M317" s="477">
        <v>0</v>
      </c>
      <c r="N317" s="477">
        <v>0</v>
      </c>
      <c r="O317" s="478">
        <v>18759</v>
      </c>
      <c r="P317" s="479"/>
      <c r="Q317" s="479"/>
      <c r="R317" s="477"/>
      <c r="S317" s="479"/>
      <c r="T317" s="450">
        <f t="shared" si="22"/>
        <v>0</v>
      </c>
      <c r="U317" s="451">
        <f t="shared" si="23"/>
        <v>0</v>
      </c>
      <c r="V317" s="477"/>
      <c r="W317" s="479"/>
      <c r="X317" s="477"/>
      <c r="Y317" s="479"/>
      <c r="Z317" s="477"/>
      <c r="AA317" s="477"/>
      <c r="AB317" s="477"/>
      <c r="AC317" s="479"/>
      <c r="AD317" s="479"/>
      <c r="AE317" s="479"/>
      <c r="AF317" s="477"/>
      <c r="AG317" s="619"/>
      <c r="AH317"/>
      <c r="AI317"/>
    </row>
    <row r="318" spans="1:35" s="14" customFormat="1" ht="14.45" customHeight="1">
      <c r="A318" s="410" t="s">
        <v>280</v>
      </c>
      <c r="B318" s="347" t="s">
        <v>750</v>
      </c>
      <c r="C318" s="443"/>
      <c r="D318" s="549">
        <v>197814</v>
      </c>
      <c r="E318" s="517">
        <v>10</v>
      </c>
      <c r="F318" s="450">
        <f t="shared" si="20"/>
        <v>52580</v>
      </c>
      <c r="G318" s="451">
        <f t="shared" si="21"/>
        <v>50259</v>
      </c>
      <c r="H318" s="477">
        <v>11439</v>
      </c>
      <c r="I318" s="478">
        <v>4157</v>
      </c>
      <c r="J318" s="477">
        <v>3480</v>
      </c>
      <c r="K318" s="478">
        <v>5241</v>
      </c>
      <c r="L318" s="477">
        <v>37661</v>
      </c>
      <c r="M318" s="477">
        <v>0</v>
      </c>
      <c r="N318" s="477">
        <v>0</v>
      </c>
      <c r="O318" s="478">
        <v>40861</v>
      </c>
      <c r="P318" s="479"/>
      <c r="Q318" s="479"/>
      <c r="R318" s="477"/>
      <c r="S318" s="479"/>
      <c r="T318" s="450">
        <f t="shared" si="22"/>
        <v>0</v>
      </c>
      <c r="U318" s="451">
        <f t="shared" si="23"/>
        <v>0</v>
      </c>
      <c r="V318" s="477"/>
      <c r="W318" s="479"/>
      <c r="X318" s="477"/>
      <c r="Y318" s="479"/>
      <c r="Z318" s="477"/>
      <c r="AA318" s="477"/>
      <c r="AB318" s="477"/>
      <c r="AC318" s="479"/>
      <c r="AD318" s="479"/>
      <c r="AE318" s="479"/>
      <c r="AF318" s="477"/>
      <c r="AG318" s="619"/>
      <c r="AH318"/>
      <c r="AI318"/>
    </row>
    <row r="319" spans="1:35" s="14" customFormat="1" ht="14.45" customHeight="1">
      <c r="A319" s="410" t="s">
        <v>280</v>
      </c>
      <c r="B319" s="347" t="s">
        <v>312</v>
      </c>
      <c r="C319" s="443"/>
      <c r="D319" s="549">
        <v>198491</v>
      </c>
      <c r="E319" s="517">
        <v>10</v>
      </c>
      <c r="F319" s="450">
        <f t="shared" si="20"/>
        <v>34505</v>
      </c>
      <c r="G319" s="451">
        <f t="shared" si="21"/>
        <v>31049</v>
      </c>
      <c r="H319" s="477">
        <v>11159</v>
      </c>
      <c r="I319" s="478">
        <v>9290</v>
      </c>
      <c r="J319" s="477">
        <v>1750</v>
      </c>
      <c r="K319" s="478">
        <v>1634</v>
      </c>
      <c r="L319" s="477">
        <v>21596</v>
      </c>
      <c r="M319" s="477">
        <v>0</v>
      </c>
      <c r="N319" s="477">
        <v>0</v>
      </c>
      <c r="O319" s="478">
        <v>20125</v>
      </c>
      <c r="P319" s="479"/>
      <c r="Q319" s="479"/>
      <c r="R319" s="477"/>
      <c r="S319" s="479"/>
      <c r="T319" s="450">
        <f t="shared" si="22"/>
        <v>0</v>
      </c>
      <c r="U319" s="451">
        <f t="shared" si="23"/>
        <v>0</v>
      </c>
      <c r="V319" s="477"/>
      <c r="W319" s="479"/>
      <c r="X319" s="477"/>
      <c r="Y319" s="479"/>
      <c r="Z319" s="477"/>
      <c r="AA319" s="477"/>
      <c r="AB319" s="477"/>
      <c r="AC319" s="479"/>
      <c r="AD319" s="479"/>
      <c r="AE319" s="479"/>
      <c r="AF319" s="477"/>
      <c r="AG319" s="619"/>
      <c r="AH319"/>
      <c r="AI319"/>
    </row>
    <row r="320" spans="1:35" s="14" customFormat="1" ht="14.45" customHeight="1">
      <c r="A320" s="410" t="s">
        <v>280</v>
      </c>
      <c r="B320" s="347" t="s">
        <v>317</v>
      </c>
      <c r="C320" s="443"/>
      <c r="D320" s="549">
        <v>198640</v>
      </c>
      <c r="E320" s="517">
        <v>10</v>
      </c>
      <c r="F320" s="450">
        <f t="shared" si="20"/>
        <v>19451</v>
      </c>
      <c r="G320" s="451">
        <f t="shared" si="21"/>
        <v>18026</v>
      </c>
      <c r="H320" s="477">
        <v>7452</v>
      </c>
      <c r="I320" s="478">
        <v>6376</v>
      </c>
      <c r="J320" s="477">
        <v>1287</v>
      </c>
      <c r="K320" s="478">
        <v>967</v>
      </c>
      <c r="L320" s="477">
        <v>10712</v>
      </c>
      <c r="M320" s="477">
        <v>0</v>
      </c>
      <c r="N320" s="477">
        <v>0</v>
      </c>
      <c r="O320" s="478">
        <v>10683</v>
      </c>
      <c r="P320" s="479"/>
      <c r="Q320" s="479"/>
      <c r="R320" s="477"/>
      <c r="S320" s="479"/>
      <c r="T320" s="450">
        <f t="shared" si="22"/>
        <v>0</v>
      </c>
      <c r="U320" s="451">
        <f t="shared" si="23"/>
        <v>0</v>
      </c>
      <c r="V320" s="477"/>
      <c r="W320" s="479"/>
      <c r="X320" s="477"/>
      <c r="Y320" s="479"/>
      <c r="Z320" s="477"/>
      <c r="AA320" s="477"/>
      <c r="AB320" s="477"/>
      <c r="AC320" s="479"/>
      <c r="AD320" s="479"/>
      <c r="AE320" s="479"/>
      <c r="AF320" s="477"/>
      <c r="AG320" s="619"/>
      <c r="AH320"/>
      <c r="AI320"/>
    </row>
    <row r="321" spans="1:35" s="14" customFormat="1" ht="14.45" customHeight="1">
      <c r="A321" s="410" t="s">
        <v>280</v>
      </c>
      <c r="B321" s="347" t="s">
        <v>318</v>
      </c>
      <c r="C321" s="443"/>
      <c r="D321" s="549">
        <v>198668</v>
      </c>
      <c r="E321" s="517">
        <v>10</v>
      </c>
      <c r="F321" s="450">
        <f t="shared" si="20"/>
        <v>30774</v>
      </c>
      <c r="G321" s="451">
        <f t="shared" si="21"/>
        <v>27386</v>
      </c>
      <c r="H321" s="477">
        <v>8723</v>
      </c>
      <c r="I321" s="478">
        <v>7452</v>
      </c>
      <c r="J321" s="477">
        <v>2431</v>
      </c>
      <c r="K321" s="478">
        <v>1566</v>
      </c>
      <c r="L321" s="477">
        <v>19620</v>
      </c>
      <c r="M321" s="477">
        <v>0</v>
      </c>
      <c r="N321" s="477">
        <v>0</v>
      </c>
      <c r="O321" s="478">
        <v>18368</v>
      </c>
      <c r="P321" s="479"/>
      <c r="Q321" s="479"/>
      <c r="R321" s="477"/>
      <c r="S321" s="479"/>
      <c r="T321" s="450">
        <f t="shared" si="22"/>
        <v>0</v>
      </c>
      <c r="U321" s="451">
        <f t="shared" si="23"/>
        <v>0</v>
      </c>
      <c r="V321" s="477"/>
      <c r="W321" s="479"/>
      <c r="X321" s="477"/>
      <c r="Y321" s="479"/>
      <c r="Z321" s="477"/>
      <c r="AA321" s="477"/>
      <c r="AB321" s="477"/>
      <c r="AC321" s="479"/>
      <c r="AD321" s="479"/>
      <c r="AE321" s="479"/>
      <c r="AF321" s="477"/>
      <c r="AG321" s="619"/>
      <c r="AH321"/>
      <c r="AI321"/>
    </row>
    <row r="322" spans="1:35" s="14" customFormat="1" ht="14.45" customHeight="1">
      <c r="A322" s="410" t="s">
        <v>280</v>
      </c>
      <c r="B322" s="347" t="s">
        <v>319</v>
      </c>
      <c r="C322" s="443"/>
      <c r="D322" s="549">
        <v>198710</v>
      </c>
      <c r="E322" s="517">
        <v>10</v>
      </c>
      <c r="F322" s="450">
        <f t="shared" si="20"/>
        <v>45703</v>
      </c>
      <c r="G322" s="451">
        <f t="shared" si="21"/>
        <v>42089</v>
      </c>
      <c r="H322" s="477">
        <v>11684</v>
      </c>
      <c r="I322" s="478">
        <v>8575</v>
      </c>
      <c r="J322" s="477">
        <v>3153</v>
      </c>
      <c r="K322" s="478">
        <v>3597</v>
      </c>
      <c r="L322" s="477">
        <v>30866</v>
      </c>
      <c r="M322" s="477">
        <v>0</v>
      </c>
      <c r="N322" s="477">
        <v>0</v>
      </c>
      <c r="O322" s="478">
        <v>29917</v>
      </c>
      <c r="P322" s="479"/>
      <c r="Q322" s="479"/>
      <c r="R322" s="477"/>
      <c r="S322" s="479"/>
      <c r="T322" s="450">
        <f t="shared" si="22"/>
        <v>0</v>
      </c>
      <c r="U322" s="451">
        <f t="shared" si="23"/>
        <v>0</v>
      </c>
      <c r="V322" s="477"/>
      <c r="W322" s="479"/>
      <c r="X322" s="477"/>
      <c r="Y322" s="479"/>
      <c r="Z322" s="477"/>
      <c r="AA322" s="477"/>
      <c r="AB322" s="477"/>
      <c r="AC322" s="479"/>
      <c r="AD322" s="479"/>
      <c r="AE322" s="479"/>
      <c r="AF322" s="477"/>
      <c r="AG322" s="619"/>
      <c r="AH322"/>
      <c r="AI322"/>
    </row>
    <row r="323" spans="1:35" s="14" customFormat="1" ht="14.45" customHeight="1">
      <c r="A323" s="410" t="s">
        <v>280</v>
      </c>
      <c r="B323" s="347" t="s">
        <v>320</v>
      </c>
      <c r="C323" s="443"/>
      <c r="D323" s="549">
        <v>198729</v>
      </c>
      <c r="E323" s="517">
        <v>10</v>
      </c>
      <c r="F323" s="450">
        <f t="shared" si="20"/>
        <v>25678</v>
      </c>
      <c r="G323" s="451">
        <f t="shared" si="21"/>
        <v>26029</v>
      </c>
      <c r="H323" s="477">
        <v>5636</v>
      </c>
      <c r="I323" s="478">
        <v>4675</v>
      </c>
      <c r="J323" s="477">
        <v>439</v>
      </c>
      <c r="K323" s="478">
        <v>99</v>
      </c>
      <c r="L323" s="477">
        <v>19603</v>
      </c>
      <c r="M323" s="477">
        <v>0</v>
      </c>
      <c r="N323" s="477">
        <v>0</v>
      </c>
      <c r="O323" s="478">
        <v>21255</v>
      </c>
      <c r="P323" s="479"/>
      <c r="Q323" s="479"/>
      <c r="R323" s="477"/>
      <c r="S323" s="479"/>
      <c r="T323" s="450">
        <f t="shared" si="22"/>
        <v>0</v>
      </c>
      <c r="U323" s="451">
        <f t="shared" si="23"/>
        <v>0</v>
      </c>
      <c r="V323" s="477"/>
      <c r="W323" s="479"/>
      <c r="X323" s="477"/>
      <c r="Y323" s="479"/>
      <c r="Z323" s="477"/>
      <c r="AA323" s="477"/>
      <c r="AB323" s="477"/>
      <c r="AC323" s="479"/>
      <c r="AD323" s="479"/>
      <c r="AE323" s="479"/>
      <c r="AF323" s="477"/>
      <c r="AG323" s="619"/>
      <c r="AH323"/>
      <c r="AI323"/>
    </row>
    <row r="324" spans="1:35" s="14" customFormat="1" ht="14.45" customHeight="1">
      <c r="A324" s="410" t="s">
        <v>280</v>
      </c>
      <c r="B324" s="347" t="s">
        <v>323</v>
      </c>
      <c r="C324" s="443"/>
      <c r="D324" s="549">
        <v>198905</v>
      </c>
      <c r="E324" s="517">
        <v>10</v>
      </c>
      <c r="F324" s="450">
        <f t="shared" si="20"/>
        <v>17669</v>
      </c>
      <c r="G324" s="451">
        <f t="shared" si="21"/>
        <v>15093</v>
      </c>
      <c r="H324" s="477">
        <v>4926</v>
      </c>
      <c r="I324" s="478">
        <v>3778</v>
      </c>
      <c r="J324" s="477">
        <v>200</v>
      </c>
      <c r="K324" s="478">
        <v>263</v>
      </c>
      <c r="L324" s="477">
        <v>12543</v>
      </c>
      <c r="M324" s="477">
        <v>0</v>
      </c>
      <c r="N324" s="477">
        <v>0</v>
      </c>
      <c r="O324" s="478">
        <v>11052</v>
      </c>
      <c r="P324" s="479"/>
      <c r="Q324" s="479"/>
      <c r="R324" s="477"/>
      <c r="S324" s="479"/>
      <c r="T324" s="450">
        <f t="shared" si="22"/>
        <v>0</v>
      </c>
      <c r="U324" s="451">
        <f t="shared" si="23"/>
        <v>0</v>
      </c>
      <c r="V324" s="477"/>
      <c r="W324" s="479"/>
      <c r="X324" s="477"/>
      <c r="Y324" s="479"/>
      <c r="Z324" s="477"/>
      <c r="AA324" s="477"/>
      <c r="AB324" s="477"/>
      <c r="AC324" s="479"/>
      <c r="AD324" s="479"/>
      <c r="AE324" s="479"/>
      <c r="AF324" s="477"/>
      <c r="AG324" s="619"/>
      <c r="AH324"/>
      <c r="AI324"/>
    </row>
    <row r="325" spans="1:35" s="14" customFormat="1" ht="14.45" customHeight="1">
      <c r="A325" s="410" t="s">
        <v>280</v>
      </c>
      <c r="B325" s="347" t="s">
        <v>324</v>
      </c>
      <c r="C325" s="443"/>
      <c r="D325" s="549">
        <v>198914</v>
      </c>
      <c r="E325" s="517">
        <v>10</v>
      </c>
      <c r="F325" s="450">
        <f t="shared" si="20"/>
        <v>17904</v>
      </c>
      <c r="G325" s="451">
        <f t="shared" si="21"/>
        <v>16336</v>
      </c>
      <c r="H325" s="477">
        <v>5755</v>
      </c>
      <c r="I325" s="478">
        <v>4201</v>
      </c>
      <c r="J325" s="477">
        <v>1595</v>
      </c>
      <c r="K325" s="478">
        <v>1296</v>
      </c>
      <c r="L325" s="477">
        <v>10554</v>
      </c>
      <c r="M325" s="477">
        <v>0</v>
      </c>
      <c r="N325" s="477">
        <v>0</v>
      </c>
      <c r="O325" s="478">
        <v>10839</v>
      </c>
      <c r="P325" s="479"/>
      <c r="Q325" s="479"/>
      <c r="R325" s="477"/>
      <c r="S325" s="479"/>
      <c r="T325" s="450">
        <f t="shared" si="22"/>
        <v>0</v>
      </c>
      <c r="U325" s="451">
        <f t="shared" si="23"/>
        <v>0</v>
      </c>
      <c r="V325" s="477"/>
      <c r="W325" s="479"/>
      <c r="X325" s="477"/>
      <c r="Y325" s="479"/>
      <c r="Z325" s="477"/>
      <c r="AA325" s="477"/>
      <c r="AB325" s="477"/>
      <c r="AC325" s="479"/>
      <c r="AD325" s="479"/>
      <c r="AE325" s="479"/>
      <c r="AF325" s="477"/>
      <c r="AG325" s="619"/>
      <c r="AH325"/>
      <c r="AI325"/>
    </row>
    <row r="326" spans="1:35" s="14" customFormat="1" ht="14.45" customHeight="1">
      <c r="A326" s="410" t="s">
        <v>280</v>
      </c>
      <c r="B326" s="347" t="s">
        <v>325</v>
      </c>
      <c r="C326" s="443"/>
      <c r="D326" s="549">
        <v>198923</v>
      </c>
      <c r="E326" s="517">
        <v>10</v>
      </c>
      <c r="F326" s="450">
        <f t="shared" si="20"/>
        <v>20665</v>
      </c>
      <c r="G326" s="451">
        <f t="shared" si="21"/>
        <v>20418</v>
      </c>
      <c r="H326" s="477">
        <v>8747</v>
      </c>
      <c r="I326" s="478">
        <v>8974</v>
      </c>
      <c r="J326" s="477">
        <v>42</v>
      </c>
      <c r="K326" s="478">
        <v>0</v>
      </c>
      <c r="L326" s="477">
        <v>11876</v>
      </c>
      <c r="M326" s="477">
        <v>0</v>
      </c>
      <c r="N326" s="477">
        <v>0</v>
      </c>
      <c r="O326" s="478">
        <v>11444</v>
      </c>
      <c r="P326" s="479"/>
      <c r="Q326" s="479"/>
      <c r="R326" s="477"/>
      <c r="S326" s="479"/>
      <c r="T326" s="450">
        <f t="shared" si="22"/>
        <v>0</v>
      </c>
      <c r="U326" s="451">
        <f t="shared" si="23"/>
        <v>0</v>
      </c>
      <c r="V326" s="477"/>
      <c r="W326" s="479"/>
      <c r="X326" s="477"/>
      <c r="Y326" s="479"/>
      <c r="Z326" s="477"/>
      <c r="AA326" s="477"/>
      <c r="AB326" s="477"/>
      <c r="AC326" s="479"/>
      <c r="AD326" s="479"/>
      <c r="AE326" s="479"/>
      <c r="AF326" s="477"/>
      <c r="AG326" s="619"/>
      <c r="AH326"/>
      <c r="AI326"/>
    </row>
    <row r="327" spans="1:35" s="14" customFormat="1" ht="14.45" customHeight="1">
      <c r="A327" s="410" t="s">
        <v>280</v>
      </c>
      <c r="B327" s="347" t="s">
        <v>327</v>
      </c>
      <c r="C327" s="443"/>
      <c r="D327" s="549">
        <v>199023</v>
      </c>
      <c r="E327" s="517">
        <v>10</v>
      </c>
      <c r="F327" s="450">
        <f t="shared" si="20"/>
        <v>17392</v>
      </c>
      <c r="G327" s="451">
        <f t="shared" si="21"/>
        <v>15420</v>
      </c>
      <c r="H327" s="477">
        <v>9421</v>
      </c>
      <c r="I327" s="478">
        <v>9279</v>
      </c>
      <c r="J327" s="477">
        <v>667</v>
      </c>
      <c r="K327" s="478">
        <v>263</v>
      </c>
      <c r="L327" s="477">
        <v>7304</v>
      </c>
      <c r="M327" s="477">
        <v>0</v>
      </c>
      <c r="N327" s="477">
        <v>0</v>
      </c>
      <c r="O327" s="478">
        <v>5878</v>
      </c>
      <c r="P327" s="479"/>
      <c r="Q327" s="479"/>
      <c r="R327" s="477"/>
      <c r="S327" s="479"/>
      <c r="T327" s="450">
        <f t="shared" si="22"/>
        <v>0</v>
      </c>
      <c r="U327" s="451">
        <f t="shared" si="23"/>
        <v>0</v>
      </c>
      <c r="V327" s="477"/>
      <c r="W327" s="479"/>
      <c r="X327" s="477"/>
      <c r="Y327" s="479"/>
      <c r="Z327" s="477"/>
      <c r="AA327" s="477"/>
      <c r="AB327" s="477"/>
      <c r="AC327" s="479"/>
      <c r="AD327" s="479"/>
      <c r="AE327" s="479"/>
      <c r="AF327" s="477"/>
      <c r="AG327" s="619"/>
      <c r="AH327"/>
      <c r="AI327"/>
    </row>
    <row r="328" spans="1:35" s="14" customFormat="1" ht="14.45" customHeight="1">
      <c r="A328" s="410" t="s">
        <v>280</v>
      </c>
      <c r="B328" s="347" t="s">
        <v>329</v>
      </c>
      <c r="C328" s="443"/>
      <c r="D328" s="549">
        <v>199263</v>
      </c>
      <c r="E328" s="517">
        <v>10</v>
      </c>
      <c r="F328" s="450">
        <f t="shared" ref="F328:F391" si="24">SUM(H328,J328,L328,M328,N328,R328)</f>
        <v>11055</v>
      </c>
      <c r="G328" s="451">
        <f t="shared" ref="G328:G391" si="25">SUM(I328,K328,O328,P328,Q328,S328)</f>
        <v>6671</v>
      </c>
      <c r="H328" s="477">
        <v>968</v>
      </c>
      <c r="I328" s="478">
        <v>900</v>
      </c>
      <c r="J328" s="477">
        <v>4233</v>
      </c>
      <c r="K328" s="478">
        <v>950</v>
      </c>
      <c r="L328" s="477">
        <v>5854</v>
      </c>
      <c r="M328" s="477">
        <v>0</v>
      </c>
      <c r="N328" s="477">
        <v>0</v>
      </c>
      <c r="O328" s="478">
        <v>4821</v>
      </c>
      <c r="P328" s="479"/>
      <c r="Q328" s="479"/>
      <c r="R328" s="477"/>
      <c r="S328" s="479"/>
      <c r="T328" s="450">
        <f t="shared" ref="T328:T391" si="26">SUM(V328,X328,Z328,AA328,AB328,AF328)</f>
        <v>0</v>
      </c>
      <c r="U328" s="451">
        <f t="shared" ref="U328:U391" si="27">SUM(W328,Y328,AC328,AD328,AE328,AG328)</f>
        <v>0</v>
      </c>
      <c r="V328" s="477"/>
      <c r="W328" s="479"/>
      <c r="X328" s="477"/>
      <c r="Y328" s="479"/>
      <c r="Z328" s="477"/>
      <c r="AA328" s="477"/>
      <c r="AB328" s="477"/>
      <c r="AC328" s="479"/>
      <c r="AD328" s="479"/>
      <c r="AE328" s="479"/>
      <c r="AF328" s="477"/>
      <c r="AG328" s="619"/>
      <c r="AH328"/>
      <c r="AI328"/>
    </row>
    <row r="329" spans="1:35" s="14" customFormat="1" ht="14.45" customHeight="1">
      <c r="A329" s="410" t="s">
        <v>280</v>
      </c>
      <c r="B329" s="347" t="s">
        <v>330</v>
      </c>
      <c r="C329" s="443"/>
      <c r="D329" s="549">
        <v>199324</v>
      </c>
      <c r="E329" s="517">
        <v>10</v>
      </c>
      <c r="F329" s="450">
        <f t="shared" si="24"/>
        <v>24460.5</v>
      </c>
      <c r="G329" s="451">
        <f t="shared" si="25"/>
        <v>22661</v>
      </c>
      <c r="H329" s="477">
        <v>10449.5</v>
      </c>
      <c r="I329" s="478">
        <v>7955</v>
      </c>
      <c r="J329" s="477">
        <v>106</v>
      </c>
      <c r="K329" s="478">
        <v>82</v>
      </c>
      <c r="L329" s="477">
        <v>13905</v>
      </c>
      <c r="M329" s="477">
        <v>0</v>
      </c>
      <c r="N329" s="477">
        <v>0</v>
      </c>
      <c r="O329" s="478">
        <v>14624</v>
      </c>
      <c r="P329" s="479"/>
      <c r="Q329" s="479"/>
      <c r="R329" s="477"/>
      <c r="S329" s="479"/>
      <c r="T329" s="450">
        <f t="shared" si="26"/>
        <v>0</v>
      </c>
      <c r="U329" s="451">
        <f t="shared" si="27"/>
        <v>0</v>
      </c>
      <c r="V329" s="477"/>
      <c r="W329" s="479"/>
      <c r="X329" s="477"/>
      <c r="Y329" s="479"/>
      <c r="Z329" s="477"/>
      <c r="AA329" s="477"/>
      <c r="AB329" s="477"/>
      <c r="AC329" s="479"/>
      <c r="AD329" s="479"/>
      <c r="AE329" s="479"/>
      <c r="AF329" s="477"/>
      <c r="AG329" s="619"/>
      <c r="AH329"/>
      <c r="AI329"/>
    </row>
    <row r="330" spans="1:35" s="14" customFormat="1" ht="14.45" customHeight="1">
      <c r="A330" s="410" t="s">
        <v>280</v>
      </c>
      <c r="B330" s="347" t="s">
        <v>334</v>
      </c>
      <c r="C330" s="443"/>
      <c r="D330" s="549">
        <v>199467</v>
      </c>
      <c r="E330" s="517">
        <v>10</v>
      </c>
      <c r="F330" s="450">
        <f t="shared" si="24"/>
        <v>10352</v>
      </c>
      <c r="G330" s="451">
        <f t="shared" si="25"/>
        <v>10849</v>
      </c>
      <c r="H330" s="477">
        <v>3063</v>
      </c>
      <c r="I330" s="478">
        <v>3270</v>
      </c>
      <c r="J330" s="477">
        <v>11</v>
      </c>
      <c r="K330" s="478">
        <v>59</v>
      </c>
      <c r="L330" s="477">
        <v>7278</v>
      </c>
      <c r="M330" s="477">
        <v>0</v>
      </c>
      <c r="N330" s="477">
        <v>0</v>
      </c>
      <c r="O330" s="478">
        <v>7520</v>
      </c>
      <c r="P330" s="479"/>
      <c r="Q330" s="479"/>
      <c r="R330" s="477"/>
      <c r="S330" s="479"/>
      <c r="T330" s="450">
        <f t="shared" si="26"/>
        <v>0</v>
      </c>
      <c r="U330" s="451">
        <f t="shared" si="27"/>
        <v>0</v>
      </c>
      <c r="V330" s="477"/>
      <c r="W330" s="479"/>
      <c r="X330" s="477"/>
      <c r="Y330" s="479"/>
      <c r="Z330" s="477"/>
      <c r="AA330" s="477"/>
      <c r="AB330" s="477"/>
      <c r="AC330" s="479"/>
      <c r="AD330" s="479"/>
      <c r="AE330" s="479"/>
      <c r="AF330" s="477"/>
      <c r="AG330" s="619"/>
      <c r="AH330"/>
      <c r="AI330"/>
    </row>
    <row r="331" spans="1:35" s="14" customFormat="1" ht="14.45" customHeight="1">
      <c r="A331" s="410" t="s">
        <v>280</v>
      </c>
      <c r="B331" s="347" t="s">
        <v>335</v>
      </c>
      <c r="C331" s="443" t="s">
        <v>928</v>
      </c>
      <c r="D331" s="549">
        <v>199476</v>
      </c>
      <c r="E331" s="517">
        <v>10</v>
      </c>
      <c r="F331" s="450">
        <f t="shared" si="24"/>
        <v>41285</v>
      </c>
      <c r="G331" s="451">
        <f t="shared" si="25"/>
        <v>39906</v>
      </c>
      <c r="H331" s="477">
        <v>15757</v>
      </c>
      <c r="I331" s="478">
        <v>13902</v>
      </c>
      <c r="J331" s="477">
        <v>541</v>
      </c>
      <c r="K331" s="478">
        <v>522</v>
      </c>
      <c r="L331" s="477">
        <v>24987</v>
      </c>
      <c r="M331" s="477">
        <v>0</v>
      </c>
      <c r="N331" s="477">
        <v>0</v>
      </c>
      <c r="O331" s="478">
        <v>25482</v>
      </c>
      <c r="P331" s="479"/>
      <c r="Q331" s="479"/>
      <c r="R331" s="477"/>
      <c r="S331" s="479"/>
      <c r="T331" s="450">
        <f t="shared" si="26"/>
        <v>0</v>
      </c>
      <c r="U331" s="451">
        <f t="shared" si="27"/>
        <v>0</v>
      </c>
      <c r="V331" s="477"/>
      <c r="W331" s="479"/>
      <c r="X331" s="477"/>
      <c r="Y331" s="479"/>
      <c r="Z331" s="477"/>
      <c r="AA331" s="477"/>
      <c r="AB331" s="477"/>
      <c r="AC331" s="479"/>
      <c r="AD331" s="479"/>
      <c r="AE331" s="479"/>
      <c r="AF331" s="477"/>
      <c r="AG331" s="619"/>
      <c r="AH331"/>
      <c r="AI331"/>
    </row>
    <row r="332" spans="1:35" s="14" customFormat="1" ht="14.45" customHeight="1">
      <c r="A332" s="410" t="s">
        <v>280</v>
      </c>
      <c r="B332" s="347" t="s">
        <v>336</v>
      </c>
      <c r="C332" s="551"/>
      <c r="D332" s="549">
        <v>199485</v>
      </c>
      <c r="E332" s="517">
        <v>10</v>
      </c>
      <c r="F332" s="450">
        <f t="shared" si="24"/>
        <v>36900</v>
      </c>
      <c r="G332" s="451">
        <f t="shared" si="25"/>
        <v>32833</v>
      </c>
      <c r="H332" s="477">
        <v>15132</v>
      </c>
      <c r="I332" s="478">
        <v>11677</v>
      </c>
      <c r="J332" s="477">
        <v>737</v>
      </c>
      <c r="K332" s="478">
        <v>617</v>
      </c>
      <c r="L332" s="477">
        <v>21031</v>
      </c>
      <c r="M332" s="477">
        <v>0</v>
      </c>
      <c r="N332" s="477">
        <v>0</v>
      </c>
      <c r="O332" s="478">
        <v>20539</v>
      </c>
      <c r="P332" s="479"/>
      <c r="Q332" s="479"/>
      <c r="R332" s="477"/>
      <c r="S332" s="479"/>
      <c r="T332" s="450">
        <f t="shared" si="26"/>
        <v>0</v>
      </c>
      <c r="U332" s="451">
        <f t="shared" si="27"/>
        <v>0</v>
      </c>
      <c r="V332" s="477"/>
      <c r="W332" s="479"/>
      <c r="X332" s="477"/>
      <c r="Y332" s="479"/>
      <c r="Z332" s="477"/>
      <c r="AA332" s="477"/>
      <c r="AB332" s="477"/>
      <c r="AC332" s="479"/>
      <c r="AD332" s="479"/>
      <c r="AE332" s="479"/>
      <c r="AF332" s="477"/>
      <c r="AG332" s="619"/>
      <c r="AH332"/>
      <c r="AI332"/>
    </row>
    <row r="333" spans="1:35" s="14" customFormat="1" ht="14.45" customHeight="1">
      <c r="A333" s="410" t="s">
        <v>280</v>
      </c>
      <c r="B333" s="347" t="s">
        <v>338</v>
      </c>
      <c r="C333" s="551"/>
      <c r="D333" s="549">
        <v>199625</v>
      </c>
      <c r="E333" s="517">
        <v>10</v>
      </c>
      <c r="F333" s="450">
        <f t="shared" si="24"/>
        <v>37544</v>
      </c>
      <c r="G333" s="451">
        <f t="shared" si="25"/>
        <v>36898</v>
      </c>
      <c r="H333" s="477">
        <v>8295</v>
      </c>
      <c r="I333" s="478">
        <v>4853</v>
      </c>
      <c r="J333" s="477">
        <v>43</v>
      </c>
      <c r="K333" s="478">
        <v>75</v>
      </c>
      <c r="L333" s="477">
        <v>29206</v>
      </c>
      <c r="M333" s="477">
        <v>0</v>
      </c>
      <c r="N333" s="477">
        <v>0</v>
      </c>
      <c r="O333" s="478">
        <v>31970</v>
      </c>
      <c r="P333" s="479"/>
      <c r="Q333" s="479"/>
      <c r="R333" s="477"/>
      <c r="S333" s="479"/>
      <c r="T333" s="450">
        <f t="shared" si="26"/>
        <v>0</v>
      </c>
      <c r="U333" s="451">
        <f t="shared" si="27"/>
        <v>0</v>
      </c>
      <c r="V333" s="477"/>
      <c r="W333" s="479"/>
      <c r="X333" s="477"/>
      <c r="Y333" s="479"/>
      <c r="Z333" s="477"/>
      <c r="AA333" s="477"/>
      <c r="AB333" s="477"/>
      <c r="AC333" s="479"/>
      <c r="AD333" s="479"/>
      <c r="AE333" s="479"/>
      <c r="AF333" s="477"/>
      <c r="AG333" s="619"/>
      <c r="AH333"/>
      <c r="AI333"/>
    </row>
    <row r="334" spans="1:35" s="14" customFormat="1" ht="14.45" customHeight="1">
      <c r="A334" s="410" t="s">
        <v>280</v>
      </c>
      <c r="B334" s="347" t="s">
        <v>341</v>
      </c>
      <c r="C334" s="551"/>
      <c r="D334" s="549">
        <v>199722</v>
      </c>
      <c r="E334" s="517">
        <v>10</v>
      </c>
      <c r="F334" s="450">
        <f t="shared" si="24"/>
        <v>29888</v>
      </c>
      <c r="G334" s="451">
        <f t="shared" si="25"/>
        <v>26234</v>
      </c>
      <c r="H334" s="477">
        <v>9777</v>
      </c>
      <c r="I334" s="478">
        <v>7468</v>
      </c>
      <c r="J334" s="477">
        <v>712</v>
      </c>
      <c r="K334" s="478">
        <v>405</v>
      </c>
      <c r="L334" s="477">
        <v>19399</v>
      </c>
      <c r="M334" s="477">
        <v>0</v>
      </c>
      <c r="N334" s="477">
        <v>0</v>
      </c>
      <c r="O334" s="478">
        <v>18361</v>
      </c>
      <c r="P334" s="479"/>
      <c r="Q334" s="479"/>
      <c r="R334" s="477"/>
      <c r="S334" s="479"/>
      <c r="T334" s="450">
        <f t="shared" si="26"/>
        <v>0</v>
      </c>
      <c r="U334" s="451">
        <f t="shared" si="27"/>
        <v>0</v>
      </c>
      <c r="V334" s="477"/>
      <c r="W334" s="479"/>
      <c r="X334" s="477"/>
      <c r="Y334" s="479"/>
      <c r="Z334" s="477"/>
      <c r="AA334" s="477"/>
      <c r="AB334" s="477"/>
      <c r="AC334" s="479"/>
      <c r="AD334" s="479"/>
      <c r="AE334" s="479"/>
      <c r="AF334" s="477"/>
      <c r="AG334" s="619"/>
      <c r="AH334"/>
      <c r="AI334"/>
    </row>
    <row r="335" spans="1:35" s="14" customFormat="1" ht="14.45" customHeight="1">
      <c r="A335" s="410" t="s">
        <v>280</v>
      </c>
      <c r="B335" s="347" t="s">
        <v>342</v>
      </c>
      <c r="C335" s="551"/>
      <c r="D335" s="549">
        <v>199731</v>
      </c>
      <c r="E335" s="517">
        <v>10</v>
      </c>
      <c r="F335" s="450">
        <f t="shared" si="24"/>
        <v>44668</v>
      </c>
      <c r="G335" s="451">
        <f t="shared" si="25"/>
        <v>43322</v>
      </c>
      <c r="H335" s="477">
        <v>17649</v>
      </c>
      <c r="I335" s="478">
        <v>14791</v>
      </c>
      <c r="J335" s="477">
        <v>1451</v>
      </c>
      <c r="K335" s="478">
        <v>1112</v>
      </c>
      <c r="L335" s="477">
        <v>25568</v>
      </c>
      <c r="M335" s="477">
        <v>0</v>
      </c>
      <c r="N335" s="477">
        <v>0</v>
      </c>
      <c r="O335" s="478">
        <v>27419</v>
      </c>
      <c r="P335" s="479"/>
      <c r="Q335" s="479"/>
      <c r="R335" s="477"/>
      <c r="S335" s="479"/>
      <c r="T335" s="450">
        <f t="shared" si="26"/>
        <v>0</v>
      </c>
      <c r="U335" s="451">
        <f t="shared" si="27"/>
        <v>0</v>
      </c>
      <c r="V335" s="477"/>
      <c r="W335" s="479"/>
      <c r="X335" s="477"/>
      <c r="Y335" s="479"/>
      <c r="Z335" s="477"/>
      <c r="AA335" s="477"/>
      <c r="AB335" s="477"/>
      <c r="AC335" s="479"/>
      <c r="AD335" s="479"/>
      <c r="AE335" s="479"/>
      <c r="AF335" s="477"/>
      <c r="AG335" s="619"/>
      <c r="AH335"/>
      <c r="AI335"/>
    </row>
    <row r="336" spans="1:35" s="14" customFormat="1" ht="14.45" customHeight="1">
      <c r="A336" s="410" t="s">
        <v>280</v>
      </c>
      <c r="B336" s="347" t="s">
        <v>345</v>
      </c>
      <c r="C336" s="551"/>
      <c r="D336" s="549">
        <v>199795</v>
      </c>
      <c r="E336" s="517">
        <v>10</v>
      </c>
      <c r="F336" s="450">
        <f t="shared" si="24"/>
        <v>23541</v>
      </c>
      <c r="G336" s="451">
        <f t="shared" si="25"/>
        <v>22599</v>
      </c>
      <c r="H336" s="477">
        <v>5733</v>
      </c>
      <c r="I336" s="478">
        <v>4611</v>
      </c>
      <c r="J336" s="477">
        <v>1541</v>
      </c>
      <c r="K336" s="478">
        <v>2460</v>
      </c>
      <c r="L336" s="477">
        <v>16267</v>
      </c>
      <c r="M336" s="477">
        <v>0</v>
      </c>
      <c r="N336" s="477">
        <v>0</v>
      </c>
      <c r="O336" s="478">
        <v>15528</v>
      </c>
      <c r="P336" s="479"/>
      <c r="Q336" s="479"/>
      <c r="R336" s="477"/>
      <c r="S336" s="479"/>
      <c r="T336" s="450">
        <f t="shared" si="26"/>
        <v>0</v>
      </c>
      <c r="U336" s="451">
        <f t="shared" si="27"/>
        <v>0</v>
      </c>
      <c r="V336" s="477"/>
      <c r="W336" s="479"/>
      <c r="X336" s="477"/>
      <c r="Y336" s="479"/>
      <c r="Z336" s="477"/>
      <c r="AA336" s="477"/>
      <c r="AB336" s="477"/>
      <c r="AC336" s="479"/>
      <c r="AD336" s="479"/>
      <c r="AE336" s="479"/>
      <c r="AF336" s="477"/>
      <c r="AG336" s="619"/>
      <c r="AH336"/>
      <c r="AI336"/>
    </row>
    <row r="337" spans="1:53" s="14" customFormat="1" ht="14.45" customHeight="1">
      <c r="A337" s="410" t="s">
        <v>280</v>
      </c>
      <c r="B337" s="347" t="s">
        <v>349</v>
      </c>
      <c r="C337" s="552"/>
      <c r="D337" s="549">
        <v>199908</v>
      </c>
      <c r="E337" s="517">
        <v>10</v>
      </c>
      <c r="F337" s="450">
        <f t="shared" si="24"/>
        <v>40876</v>
      </c>
      <c r="G337" s="451">
        <f t="shared" si="25"/>
        <v>37033</v>
      </c>
      <c r="H337" s="477">
        <v>7514</v>
      </c>
      <c r="I337" s="478">
        <v>10654</v>
      </c>
      <c r="J337" s="477">
        <v>7486</v>
      </c>
      <c r="K337" s="478">
        <v>1178</v>
      </c>
      <c r="L337" s="477">
        <v>25876</v>
      </c>
      <c r="M337" s="477">
        <v>0</v>
      </c>
      <c r="N337" s="477">
        <v>0</v>
      </c>
      <c r="O337" s="478">
        <v>25201</v>
      </c>
      <c r="P337" s="479"/>
      <c r="Q337" s="479"/>
      <c r="R337" s="477"/>
      <c r="S337" s="479"/>
      <c r="T337" s="450">
        <f t="shared" si="26"/>
        <v>0</v>
      </c>
      <c r="U337" s="451">
        <f t="shared" si="27"/>
        <v>0</v>
      </c>
      <c r="V337" s="477"/>
      <c r="W337" s="479"/>
      <c r="X337" s="477"/>
      <c r="Y337" s="479"/>
      <c r="Z337" s="477"/>
      <c r="AA337" s="477"/>
      <c r="AB337" s="477"/>
      <c r="AC337" s="479"/>
      <c r="AD337" s="479"/>
      <c r="AE337" s="479"/>
      <c r="AF337" s="477"/>
      <c r="AG337" s="619"/>
      <c r="AH337"/>
      <c r="AI337"/>
    </row>
    <row r="338" spans="1:53" s="14" customFormat="1" ht="13.5" customHeight="1">
      <c r="A338" s="410" t="s">
        <v>280</v>
      </c>
      <c r="B338" s="347" t="s">
        <v>351</v>
      </c>
      <c r="C338" s="551"/>
      <c r="D338" s="549">
        <v>199953</v>
      </c>
      <c r="E338" s="517">
        <v>10</v>
      </c>
      <c r="F338" s="450">
        <f t="shared" si="24"/>
        <v>35979.5</v>
      </c>
      <c r="G338" s="451">
        <f t="shared" si="25"/>
        <v>33874.5</v>
      </c>
      <c r="H338" s="477">
        <v>7898.5</v>
      </c>
      <c r="I338" s="478">
        <v>5916.5</v>
      </c>
      <c r="J338" s="477">
        <v>1412</v>
      </c>
      <c r="K338" s="478">
        <v>809</v>
      </c>
      <c r="L338" s="477">
        <v>26669</v>
      </c>
      <c r="M338" s="477">
        <v>0</v>
      </c>
      <c r="N338" s="477">
        <v>0</v>
      </c>
      <c r="O338" s="478">
        <v>27149</v>
      </c>
      <c r="P338" s="479"/>
      <c r="Q338" s="479"/>
      <c r="R338" s="477"/>
      <c r="S338" s="479"/>
      <c r="T338" s="450">
        <f t="shared" si="26"/>
        <v>0</v>
      </c>
      <c r="U338" s="451">
        <f t="shared" si="27"/>
        <v>0</v>
      </c>
      <c r="V338" s="477"/>
      <c r="W338" s="479"/>
      <c r="X338" s="477"/>
      <c r="Y338" s="479"/>
      <c r="Z338" s="477"/>
      <c r="AA338" s="477"/>
      <c r="AB338" s="477"/>
      <c r="AC338" s="479"/>
      <c r="AD338" s="479"/>
      <c r="AE338" s="479"/>
      <c r="AF338" s="477"/>
      <c r="AG338" s="619"/>
      <c r="AH338"/>
      <c r="AI338"/>
    </row>
    <row r="339" spans="1:53">
      <c r="A339" s="45" t="s">
        <v>352</v>
      </c>
      <c r="B339" s="44"/>
      <c r="C339" s="1"/>
      <c r="D339" s="33"/>
      <c r="E339" s="33"/>
      <c r="F339" s="450">
        <f t="shared" si="24"/>
        <v>0</v>
      </c>
      <c r="G339" s="451">
        <f t="shared" si="25"/>
        <v>0</v>
      </c>
      <c r="H339" s="467"/>
      <c r="I339" s="468"/>
      <c r="J339" s="467"/>
      <c r="K339" s="468"/>
      <c r="L339" s="467"/>
      <c r="M339" s="467"/>
      <c r="N339" s="467"/>
      <c r="O339" s="468"/>
      <c r="P339" s="468"/>
      <c r="Q339" s="468"/>
      <c r="R339" s="467"/>
      <c r="S339" s="468"/>
      <c r="T339" s="450">
        <f t="shared" si="26"/>
        <v>0</v>
      </c>
      <c r="U339" s="451">
        <f t="shared" si="27"/>
        <v>0</v>
      </c>
      <c r="V339" s="467"/>
      <c r="W339" s="468"/>
      <c r="X339" s="467"/>
      <c r="Y339" s="468"/>
      <c r="Z339" s="467"/>
      <c r="AA339" s="467"/>
      <c r="AB339" s="467"/>
      <c r="AC339" s="468"/>
      <c r="AD339" s="468"/>
      <c r="AE339" s="468"/>
      <c r="AF339" s="467"/>
      <c r="AG339" s="618"/>
    </row>
    <row r="340" spans="1:53" s="458" customFormat="1">
      <c r="A340" s="454" t="s">
        <v>352</v>
      </c>
      <c r="B340" s="455"/>
      <c r="C340" s="456"/>
      <c r="D340" s="457"/>
      <c r="E340" s="457"/>
      <c r="F340" s="450">
        <f t="shared" si="24"/>
        <v>0</v>
      </c>
      <c r="G340" s="451">
        <f t="shared" si="25"/>
        <v>0</v>
      </c>
      <c r="H340" s="467"/>
      <c r="I340" s="468"/>
      <c r="J340" s="467"/>
      <c r="K340" s="468"/>
      <c r="L340" s="467"/>
      <c r="M340" s="467"/>
      <c r="N340" s="467"/>
      <c r="O340" s="468"/>
      <c r="P340" s="468"/>
      <c r="Q340" s="468"/>
      <c r="R340" s="467"/>
      <c r="S340" s="468"/>
      <c r="T340" s="450">
        <f t="shared" si="26"/>
        <v>0</v>
      </c>
      <c r="U340" s="451">
        <f t="shared" si="27"/>
        <v>0</v>
      </c>
      <c r="V340" s="467"/>
      <c r="W340" s="468"/>
      <c r="X340" s="467"/>
      <c r="Y340" s="468"/>
      <c r="Z340" s="467"/>
      <c r="AA340" s="467"/>
      <c r="AB340" s="467"/>
      <c r="AC340" s="468"/>
      <c r="AD340" s="468"/>
      <c r="AE340" s="468"/>
      <c r="AF340" s="467"/>
      <c r="AG340" s="618"/>
      <c r="AH340" s="15"/>
      <c r="AI340" s="15"/>
      <c r="AJ340" s="15"/>
      <c r="AK340" s="15"/>
      <c r="AL340" s="15"/>
      <c r="AM340" s="15"/>
      <c r="AN340" s="15"/>
      <c r="AO340" s="15"/>
      <c r="AP340" s="15"/>
      <c r="AQ340" s="15"/>
      <c r="AR340" s="15"/>
      <c r="AS340" s="15"/>
      <c r="AT340" s="15"/>
      <c r="AU340" s="15"/>
      <c r="AV340" s="15"/>
      <c r="AW340" s="15"/>
      <c r="AX340" s="15"/>
      <c r="AY340" s="15"/>
      <c r="AZ340" s="15"/>
      <c r="BA340" s="15"/>
    </row>
    <row r="341" spans="1:53" s="14" customFormat="1" ht="14.45" customHeight="1">
      <c r="A341" s="360" t="s">
        <v>353</v>
      </c>
      <c r="B341" s="358" t="s">
        <v>354</v>
      </c>
      <c r="C341" s="526"/>
      <c r="D341" s="527">
        <v>217882</v>
      </c>
      <c r="E341" s="528">
        <v>1</v>
      </c>
      <c r="F341" s="450">
        <f t="shared" si="24"/>
        <v>635293</v>
      </c>
      <c r="G341" s="451">
        <f t="shared" si="25"/>
        <v>656889</v>
      </c>
      <c r="H341" s="463">
        <v>442126</v>
      </c>
      <c r="I341" s="459">
        <v>388437</v>
      </c>
      <c r="J341" s="463">
        <v>8621</v>
      </c>
      <c r="K341" s="459">
        <v>10716</v>
      </c>
      <c r="L341" s="463">
        <v>184546</v>
      </c>
      <c r="M341" s="463"/>
      <c r="N341" s="463"/>
      <c r="O341" s="459">
        <v>257736</v>
      </c>
      <c r="P341" s="459"/>
      <c r="Q341" s="459"/>
      <c r="R341" s="463"/>
      <c r="S341" s="459"/>
      <c r="T341" s="450">
        <f t="shared" si="26"/>
        <v>96995</v>
      </c>
      <c r="U341" s="451">
        <f t="shared" si="27"/>
        <v>97108</v>
      </c>
      <c r="V341" s="463">
        <v>36682</v>
      </c>
      <c r="W341" s="459">
        <v>36431</v>
      </c>
      <c r="X341" s="463">
        <v>16683</v>
      </c>
      <c r="Y341" s="459">
        <v>19212</v>
      </c>
      <c r="Z341" s="463">
        <v>43630</v>
      </c>
      <c r="AA341" s="463"/>
      <c r="AB341" s="463"/>
      <c r="AC341" s="459">
        <v>41465</v>
      </c>
      <c r="AD341" s="459"/>
      <c r="AE341" s="459"/>
      <c r="AF341" s="463"/>
      <c r="AG341" s="617"/>
      <c r="AH341"/>
      <c r="AI341"/>
    </row>
    <row r="342" spans="1:53" s="14" customFormat="1" ht="15" customHeight="1">
      <c r="A342" s="360" t="s">
        <v>353</v>
      </c>
      <c r="B342" s="358" t="s">
        <v>355</v>
      </c>
      <c r="C342" s="526"/>
      <c r="D342" s="527">
        <v>218663</v>
      </c>
      <c r="E342" s="528">
        <v>1</v>
      </c>
      <c r="F342" s="450">
        <f t="shared" si="24"/>
        <v>846368</v>
      </c>
      <c r="G342" s="451">
        <f t="shared" si="25"/>
        <v>826984</v>
      </c>
      <c r="H342" s="463">
        <v>387849</v>
      </c>
      <c r="I342" s="459">
        <v>378154</v>
      </c>
      <c r="J342" s="463">
        <v>10170</v>
      </c>
      <c r="K342" s="459">
        <v>4697</v>
      </c>
      <c r="L342" s="463">
        <v>448323</v>
      </c>
      <c r="M342" s="463">
        <v>26</v>
      </c>
      <c r="N342" s="463"/>
      <c r="O342" s="459">
        <v>443725</v>
      </c>
      <c r="P342" s="459">
        <v>30</v>
      </c>
      <c r="Q342" s="459">
        <v>378</v>
      </c>
      <c r="R342" s="463"/>
      <c r="S342" s="459"/>
      <c r="T342" s="450">
        <f t="shared" si="26"/>
        <v>170036</v>
      </c>
      <c r="U342" s="451">
        <f t="shared" si="27"/>
        <v>178621</v>
      </c>
      <c r="V342" s="463">
        <v>91422</v>
      </c>
      <c r="W342" s="459">
        <v>103962</v>
      </c>
      <c r="X342" s="463">
        <v>3282</v>
      </c>
      <c r="Y342" s="459">
        <v>1326</v>
      </c>
      <c r="Z342" s="463">
        <v>68757</v>
      </c>
      <c r="AA342" s="463">
        <v>6575</v>
      </c>
      <c r="AB342" s="463"/>
      <c r="AC342" s="459">
        <v>66857</v>
      </c>
      <c r="AD342" s="459">
        <v>6462</v>
      </c>
      <c r="AE342" s="459">
        <v>14</v>
      </c>
      <c r="AF342" s="463"/>
      <c r="AG342" s="617"/>
    </row>
    <row r="343" spans="1:53">
      <c r="A343" s="360" t="s">
        <v>353</v>
      </c>
      <c r="B343" s="358" t="s">
        <v>356</v>
      </c>
      <c r="C343" s="526"/>
      <c r="D343" s="527">
        <v>217819</v>
      </c>
      <c r="E343" s="528">
        <v>3</v>
      </c>
      <c r="F343" s="450">
        <f t="shared" si="24"/>
        <v>280124</v>
      </c>
      <c r="G343" s="451">
        <f t="shared" si="25"/>
        <v>283771</v>
      </c>
      <c r="H343" s="463">
        <v>186173</v>
      </c>
      <c r="I343" s="459">
        <v>161579</v>
      </c>
      <c r="J343" s="463">
        <v>4389</v>
      </c>
      <c r="K343" s="459">
        <v>4446</v>
      </c>
      <c r="L343" s="463">
        <v>89562</v>
      </c>
      <c r="M343" s="463"/>
      <c r="N343" s="463"/>
      <c r="O343" s="459">
        <v>117746</v>
      </c>
      <c r="P343" s="459"/>
      <c r="Q343" s="459"/>
      <c r="R343" s="463"/>
      <c r="S343" s="459"/>
      <c r="T343" s="450">
        <f t="shared" si="26"/>
        <v>16449</v>
      </c>
      <c r="U343" s="451">
        <f t="shared" si="27"/>
        <v>15943</v>
      </c>
      <c r="V343" s="463">
        <v>4889</v>
      </c>
      <c r="W343" s="459">
        <v>5159</v>
      </c>
      <c r="X343" s="463">
        <v>843</v>
      </c>
      <c r="Y343" s="459">
        <v>564</v>
      </c>
      <c r="Z343" s="463">
        <v>10717</v>
      </c>
      <c r="AA343" s="463"/>
      <c r="AB343" s="463"/>
      <c r="AC343" s="459">
        <v>10220</v>
      </c>
      <c r="AD343" s="459"/>
      <c r="AE343" s="459"/>
      <c r="AF343" s="463"/>
      <c r="AG343" s="617"/>
    </row>
    <row r="344" spans="1:53" s="14" customFormat="1" ht="15" customHeight="1">
      <c r="A344" s="360" t="s">
        <v>353</v>
      </c>
      <c r="B344" s="358" t="s">
        <v>357</v>
      </c>
      <c r="C344" s="529"/>
      <c r="D344" s="527">
        <v>217864</v>
      </c>
      <c r="E344" s="528">
        <v>3</v>
      </c>
      <c r="F344" s="450">
        <f t="shared" si="24"/>
        <v>98265</v>
      </c>
      <c r="G344" s="451">
        <f t="shared" si="25"/>
        <v>94963</v>
      </c>
      <c r="H344" s="463">
        <v>90532</v>
      </c>
      <c r="I344" s="459">
        <v>81875</v>
      </c>
      <c r="J344" s="463">
        <v>158</v>
      </c>
      <c r="K344" s="459">
        <v>111</v>
      </c>
      <c r="L344" s="463">
        <v>7575</v>
      </c>
      <c r="M344" s="463"/>
      <c r="N344" s="463"/>
      <c r="O344" s="459">
        <v>12977</v>
      </c>
      <c r="P344" s="459"/>
      <c r="Q344" s="459"/>
      <c r="R344" s="463"/>
      <c r="S344" s="459"/>
      <c r="T344" s="450">
        <f t="shared" si="26"/>
        <v>14825</v>
      </c>
      <c r="U344" s="451">
        <f t="shared" si="27"/>
        <v>17135</v>
      </c>
      <c r="V344" s="463">
        <v>5755</v>
      </c>
      <c r="W344" s="459">
        <v>5633</v>
      </c>
      <c r="X344" s="463">
        <v>381</v>
      </c>
      <c r="Y344" s="459">
        <v>585</v>
      </c>
      <c r="Z344" s="463">
        <v>8689</v>
      </c>
      <c r="AA344" s="463"/>
      <c r="AB344" s="463"/>
      <c r="AC344" s="459">
        <v>10917</v>
      </c>
      <c r="AD344" s="459"/>
      <c r="AE344" s="459"/>
      <c r="AF344" s="463"/>
      <c r="AG344" s="617"/>
    </row>
    <row r="345" spans="1:53">
      <c r="A345" s="360" t="s">
        <v>353</v>
      </c>
      <c r="B345" s="358" t="s">
        <v>358</v>
      </c>
      <c r="C345" s="526"/>
      <c r="D345" s="527">
        <v>218964</v>
      </c>
      <c r="E345" s="528">
        <v>3</v>
      </c>
      <c r="F345" s="450">
        <f t="shared" si="24"/>
        <v>134935</v>
      </c>
      <c r="G345" s="451">
        <f t="shared" si="25"/>
        <v>122650</v>
      </c>
      <c r="H345" s="463">
        <v>78192</v>
      </c>
      <c r="I345" s="459">
        <v>68423</v>
      </c>
      <c r="J345" s="463">
        <v>1379</v>
      </c>
      <c r="K345" s="459">
        <v>1166</v>
      </c>
      <c r="L345" s="463">
        <v>55364</v>
      </c>
      <c r="M345" s="463"/>
      <c r="N345" s="463"/>
      <c r="O345" s="459">
        <v>53061</v>
      </c>
      <c r="P345" s="459"/>
      <c r="Q345" s="459"/>
      <c r="R345" s="463"/>
      <c r="S345" s="459"/>
      <c r="T345" s="450">
        <f t="shared" si="26"/>
        <v>16735</v>
      </c>
      <c r="U345" s="451">
        <f t="shared" si="27"/>
        <v>18205</v>
      </c>
      <c r="V345" s="463">
        <v>4440</v>
      </c>
      <c r="W345" s="459">
        <v>4915</v>
      </c>
      <c r="X345" s="463">
        <v>440</v>
      </c>
      <c r="Y345" s="459">
        <v>326</v>
      </c>
      <c r="Z345" s="463">
        <v>11855</v>
      </c>
      <c r="AA345" s="463"/>
      <c r="AB345" s="463"/>
      <c r="AC345" s="459">
        <v>12964</v>
      </c>
      <c r="AD345" s="459"/>
      <c r="AE345" s="459"/>
      <c r="AF345" s="463"/>
      <c r="AG345" s="617"/>
    </row>
    <row r="346" spans="1:53" s="14" customFormat="1" ht="15.75" customHeight="1">
      <c r="A346" s="360" t="s">
        <v>353</v>
      </c>
      <c r="B346" s="358" t="s">
        <v>359</v>
      </c>
      <c r="C346" s="553"/>
      <c r="D346" s="527">
        <v>218724</v>
      </c>
      <c r="E346" s="528">
        <v>4</v>
      </c>
      <c r="F346" s="450">
        <f t="shared" si="24"/>
        <v>283480</v>
      </c>
      <c r="G346" s="451">
        <f t="shared" si="25"/>
        <v>282684</v>
      </c>
      <c r="H346" s="463">
        <v>214772</v>
      </c>
      <c r="I346" s="459">
        <v>178813</v>
      </c>
      <c r="J346" s="463">
        <v>1373</v>
      </c>
      <c r="K346" s="459">
        <v>742</v>
      </c>
      <c r="L346" s="463">
        <v>67335</v>
      </c>
      <c r="M346" s="463"/>
      <c r="N346" s="463"/>
      <c r="O346" s="459">
        <v>103129</v>
      </c>
      <c r="P346" s="459"/>
      <c r="Q346" s="459"/>
      <c r="R346" s="463"/>
      <c r="S346" s="459"/>
      <c r="T346" s="450">
        <f t="shared" si="26"/>
        <v>12670</v>
      </c>
      <c r="U346" s="451">
        <f t="shared" si="27"/>
        <v>12629</v>
      </c>
      <c r="V346" s="463">
        <v>4267</v>
      </c>
      <c r="W346" s="459">
        <v>3898</v>
      </c>
      <c r="X346" s="463">
        <v>510</v>
      </c>
      <c r="Y346" s="459">
        <v>20</v>
      </c>
      <c r="Z346" s="463">
        <v>7893</v>
      </c>
      <c r="AA346" s="463"/>
      <c r="AB346" s="463"/>
      <c r="AC346" s="459">
        <v>8711</v>
      </c>
      <c r="AD346" s="459"/>
      <c r="AE346" s="459"/>
      <c r="AF346" s="463"/>
      <c r="AG346" s="617"/>
    </row>
    <row r="347" spans="1:53" s="14" customFormat="1" ht="15.75" customHeight="1">
      <c r="A347" s="360" t="s">
        <v>353</v>
      </c>
      <c r="B347" s="358" t="s">
        <v>360</v>
      </c>
      <c r="C347" s="554"/>
      <c r="D347" s="527">
        <v>218061</v>
      </c>
      <c r="E347" s="528">
        <v>5</v>
      </c>
      <c r="F347" s="450">
        <f t="shared" si="24"/>
        <v>90676</v>
      </c>
      <c r="G347" s="451">
        <f t="shared" si="25"/>
        <v>86858</v>
      </c>
      <c r="H347" s="463">
        <v>66493</v>
      </c>
      <c r="I347" s="459">
        <v>61381</v>
      </c>
      <c r="J347" s="463">
        <v>4721</v>
      </c>
      <c r="K347" s="459">
        <v>2660</v>
      </c>
      <c r="L347" s="463">
        <v>19462</v>
      </c>
      <c r="M347" s="463"/>
      <c r="N347" s="463"/>
      <c r="O347" s="459">
        <v>22817</v>
      </c>
      <c r="P347" s="459"/>
      <c r="Q347" s="459"/>
      <c r="R347" s="463"/>
      <c r="S347" s="459"/>
      <c r="T347" s="450">
        <f t="shared" si="26"/>
        <v>11755</v>
      </c>
      <c r="U347" s="451">
        <f t="shared" si="27"/>
        <v>9042</v>
      </c>
      <c r="V347" s="463">
        <v>4391</v>
      </c>
      <c r="W347" s="459">
        <v>2965</v>
      </c>
      <c r="X347" s="463">
        <v>822</v>
      </c>
      <c r="Y347" s="459">
        <v>72</v>
      </c>
      <c r="Z347" s="463">
        <v>6542</v>
      </c>
      <c r="AA347" s="463"/>
      <c r="AB347" s="463"/>
      <c r="AC347" s="459">
        <v>6005</v>
      </c>
      <c r="AD347" s="459"/>
      <c r="AE347" s="459"/>
      <c r="AF347" s="463"/>
      <c r="AG347" s="617"/>
    </row>
    <row r="348" spans="1:53" s="14" customFormat="1" ht="15.75" customHeight="1">
      <c r="A348" s="360" t="s">
        <v>353</v>
      </c>
      <c r="B348" s="358" t="s">
        <v>361</v>
      </c>
      <c r="C348" s="554"/>
      <c r="D348" s="527">
        <v>218733</v>
      </c>
      <c r="E348" s="528">
        <v>5</v>
      </c>
      <c r="F348" s="450">
        <f t="shared" si="24"/>
        <v>58908</v>
      </c>
      <c r="G348" s="451">
        <f t="shared" si="25"/>
        <v>55203</v>
      </c>
      <c r="H348" s="463">
        <v>48890</v>
      </c>
      <c r="I348" s="459">
        <v>46578</v>
      </c>
      <c r="J348" s="463"/>
      <c r="K348" s="459"/>
      <c r="L348" s="463">
        <v>10018</v>
      </c>
      <c r="M348" s="463"/>
      <c r="N348" s="463"/>
      <c r="O348" s="459">
        <v>8625</v>
      </c>
      <c r="P348" s="459"/>
      <c r="Q348" s="459"/>
      <c r="R348" s="463"/>
      <c r="S348" s="459"/>
      <c r="T348" s="450">
        <f t="shared" si="26"/>
        <v>5561</v>
      </c>
      <c r="U348" s="451">
        <f t="shared" si="27"/>
        <v>5823</v>
      </c>
      <c r="V348" s="463">
        <v>3313</v>
      </c>
      <c r="W348" s="459">
        <v>3744</v>
      </c>
      <c r="X348" s="463"/>
      <c r="Y348" s="459">
        <v>10</v>
      </c>
      <c r="Z348" s="463">
        <v>2248</v>
      </c>
      <c r="AA348" s="463"/>
      <c r="AB348" s="463"/>
      <c r="AC348" s="459">
        <v>2069</v>
      </c>
      <c r="AD348" s="459"/>
      <c r="AE348" s="459"/>
      <c r="AF348" s="463"/>
      <c r="AG348" s="617"/>
    </row>
    <row r="349" spans="1:53" s="14" customFormat="1" ht="15.75" customHeight="1">
      <c r="A349" s="360" t="s">
        <v>353</v>
      </c>
      <c r="B349" s="358" t="s">
        <v>362</v>
      </c>
      <c r="C349" s="555" t="s">
        <v>940</v>
      </c>
      <c r="D349" s="527">
        <v>218229</v>
      </c>
      <c r="E349" s="528">
        <v>6</v>
      </c>
      <c r="F349" s="450">
        <f t="shared" si="24"/>
        <v>94947</v>
      </c>
      <c r="G349" s="451">
        <f t="shared" si="25"/>
        <v>99783.5</v>
      </c>
      <c r="H349" s="463">
        <v>68525</v>
      </c>
      <c r="I349" s="459">
        <v>71925</v>
      </c>
      <c r="J349" s="463">
        <v>231</v>
      </c>
      <c r="K349" s="459">
        <v>309</v>
      </c>
      <c r="L349" s="463">
        <v>26191</v>
      </c>
      <c r="M349" s="463"/>
      <c r="N349" s="463"/>
      <c r="O349" s="459">
        <v>27549.5</v>
      </c>
      <c r="P349" s="459"/>
      <c r="Q349" s="459"/>
      <c r="R349" s="463"/>
      <c r="S349" s="459"/>
      <c r="T349" s="450">
        <f t="shared" si="26"/>
        <v>2168</v>
      </c>
      <c r="U349" s="451">
        <f t="shared" si="27"/>
        <v>3359</v>
      </c>
      <c r="V349" s="463">
        <v>105</v>
      </c>
      <c r="W349" s="459">
        <v>362</v>
      </c>
      <c r="X349" s="463">
        <v>66</v>
      </c>
      <c r="Y349" s="459">
        <v>117</v>
      </c>
      <c r="Z349" s="463">
        <v>1997</v>
      </c>
      <c r="AA349" s="463"/>
      <c r="AB349" s="463"/>
      <c r="AC349" s="459">
        <v>2880</v>
      </c>
      <c r="AD349" s="459"/>
      <c r="AE349" s="459"/>
      <c r="AF349" s="463"/>
      <c r="AG349" s="617"/>
    </row>
    <row r="350" spans="1:53" s="14" customFormat="1" ht="15.75" customHeight="1">
      <c r="A350" s="360" t="s">
        <v>353</v>
      </c>
      <c r="B350" s="358" t="s">
        <v>363</v>
      </c>
      <c r="C350" s="556" t="s">
        <v>941</v>
      </c>
      <c r="D350" s="557">
        <v>218645</v>
      </c>
      <c r="E350" s="558">
        <v>5</v>
      </c>
      <c r="F350" s="450">
        <f t="shared" si="24"/>
        <v>88250</v>
      </c>
      <c r="G350" s="451">
        <f t="shared" si="25"/>
        <v>85808</v>
      </c>
      <c r="H350" s="463">
        <v>38770</v>
      </c>
      <c r="I350" s="459">
        <v>37005</v>
      </c>
      <c r="J350" s="463">
        <v>2938</v>
      </c>
      <c r="K350" s="459">
        <v>3175</v>
      </c>
      <c r="L350" s="463">
        <v>46542</v>
      </c>
      <c r="M350" s="463"/>
      <c r="N350" s="463"/>
      <c r="O350" s="459">
        <v>45628</v>
      </c>
      <c r="P350" s="459"/>
      <c r="Q350" s="459"/>
      <c r="R350" s="463"/>
      <c r="S350" s="459"/>
      <c r="T350" s="450">
        <f t="shared" si="26"/>
        <v>5233</v>
      </c>
      <c r="U350" s="451">
        <f t="shared" si="27"/>
        <v>9711</v>
      </c>
      <c r="V350" s="463">
        <v>210</v>
      </c>
      <c r="W350" s="459">
        <v>417</v>
      </c>
      <c r="X350" s="463"/>
      <c r="Y350" s="459"/>
      <c r="Z350" s="463">
        <v>5023</v>
      </c>
      <c r="AA350" s="463"/>
      <c r="AB350" s="463"/>
      <c r="AC350" s="459">
        <v>9294</v>
      </c>
      <c r="AD350" s="459"/>
      <c r="AE350" s="459"/>
      <c r="AF350" s="463"/>
      <c r="AG350" s="617"/>
    </row>
    <row r="351" spans="1:53" s="14" customFormat="1" ht="15.75" customHeight="1">
      <c r="A351" s="360" t="s">
        <v>353</v>
      </c>
      <c r="B351" s="358" t="s">
        <v>364</v>
      </c>
      <c r="C351" s="446"/>
      <c r="D351" s="527">
        <v>218654</v>
      </c>
      <c r="E351" s="528">
        <v>6</v>
      </c>
      <c r="F351" s="450">
        <f t="shared" si="24"/>
        <v>57500</v>
      </c>
      <c r="G351" s="451">
        <f t="shared" si="25"/>
        <v>54544</v>
      </c>
      <c r="H351" s="463">
        <v>28495</v>
      </c>
      <c r="I351" s="459">
        <v>24121</v>
      </c>
      <c r="J351" s="463">
        <v>2287</v>
      </c>
      <c r="K351" s="459">
        <v>803</v>
      </c>
      <c r="L351" s="463">
        <v>26718</v>
      </c>
      <c r="M351" s="463"/>
      <c r="N351" s="463"/>
      <c r="O351" s="459">
        <v>29271</v>
      </c>
      <c r="P351" s="459">
        <v>349</v>
      </c>
      <c r="Q351" s="459"/>
      <c r="R351" s="463"/>
      <c r="S351" s="459"/>
      <c r="T351" s="450">
        <f t="shared" si="26"/>
        <v>15</v>
      </c>
      <c r="U351" s="451">
        <f t="shared" si="27"/>
        <v>18</v>
      </c>
      <c r="V351" s="463">
        <v>15</v>
      </c>
      <c r="W351" s="459">
        <v>18</v>
      </c>
      <c r="X351" s="463"/>
      <c r="Y351" s="459"/>
      <c r="Z351" s="463"/>
      <c r="AA351" s="463"/>
      <c r="AB351" s="463"/>
      <c r="AC351" s="459"/>
      <c r="AD351" s="459"/>
      <c r="AE351" s="459"/>
      <c r="AF351" s="463"/>
      <c r="AG351" s="617"/>
    </row>
    <row r="352" spans="1:53" s="14" customFormat="1" ht="15.75" customHeight="1">
      <c r="A352" s="360" t="s">
        <v>353</v>
      </c>
      <c r="B352" s="358" t="s">
        <v>365</v>
      </c>
      <c r="C352" s="555" t="s">
        <v>940</v>
      </c>
      <c r="D352" s="527">
        <v>218742</v>
      </c>
      <c r="E352" s="528">
        <v>6</v>
      </c>
      <c r="F352" s="450">
        <f t="shared" si="24"/>
        <v>144446</v>
      </c>
      <c r="G352" s="451">
        <f t="shared" si="25"/>
        <v>138132</v>
      </c>
      <c r="H352" s="463">
        <v>51603</v>
      </c>
      <c r="I352" s="459">
        <v>32345</v>
      </c>
      <c r="J352" s="463">
        <v>5438</v>
      </c>
      <c r="K352" s="459">
        <v>3462</v>
      </c>
      <c r="L352" s="463">
        <v>87405</v>
      </c>
      <c r="M352" s="463"/>
      <c r="N352" s="463"/>
      <c r="O352" s="459">
        <v>99868</v>
      </c>
      <c r="P352" s="459">
        <v>2457</v>
      </c>
      <c r="Q352" s="459"/>
      <c r="R352" s="463"/>
      <c r="S352" s="459"/>
      <c r="T352" s="450">
        <f t="shared" si="26"/>
        <v>6643</v>
      </c>
      <c r="U352" s="451">
        <f t="shared" si="27"/>
        <v>6641</v>
      </c>
      <c r="V352" s="463">
        <v>2341</v>
      </c>
      <c r="W352" s="459">
        <v>114</v>
      </c>
      <c r="X352" s="463">
        <v>54</v>
      </c>
      <c r="Y352" s="459"/>
      <c r="Z352" s="463">
        <v>4248</v>
      </c>
      <c r="AA352" s="463"/>
      <c r="AB352" s="463"/>
      <c r="AC352" s="459">
        <v>6527</v>
      </c>
      <c r="AD352" s="459"/>
      <c r="AE352" s="459"/>
      <c r="AF352" s="463"/>
      <c r="AG352" s="617"/>
    </row>
    <row r="353" spans="1:33" s="14" customFormat="1" ht="15.75" customHeight="1">
      <c r="A353" s="360" t="s">
        <v>353</v>
      </c>
      <c r="B353" s="358" t="s">
        <v>367</v>
      </c>
      <c r="C353" s="554"/>
      <c r="D353" s="527">
        <v>218113</v>
      </c>
      <c r="E353" s="528">
        <v>8</v>
      </c>
      <c r="F353" s="450">
        <f t="shared" si="24"/>
        <v>223915</v>
      </c>
      <c r="G353" s="451">
        <f t="shared" si="25"/>
        <v>207283</v>
      </c>
      <c r="H353" s="463">
        <v>72880</v>
      </c>
      <c r="I353" s="459">
        <v>38523</v>
      </c>
      <c r="J353" s="463">
        <v>9502</v>
      </c>
      <c r="K353" s="459">
        <v>11238</v>
      </c>
      <c r="L353" s="463">
        <v>141533</v>
      </c>
      <c r="M353" s="463"/>
      <c r="N353" s="463"/>
      <c r="O353" s="459">
        <v>157522</v>
      </c>
      <c r="P353" s="459"/>
      <c r="Q353" s="459"/>
      <c r="R353" s="463"/>
      <c r="S353" s="459"/>
      <c r="T353" s="450">
        <f t="shared" si="26"/>
        <v>0</v>
      </c>
      <c r="U353" s="451">
        <f t="shared" si="27"/>
        <v>0</v>
      </c>
      <c r="V353" s="463"/>
      <c r="W353" s="459"/>
      <c r="X353" s="463"/>
      <c r="Y353" s="459"/>
      <c r="Z353" s="463"/>
      <c r="AA353" s="463"/>
      <c r="AB353" s="463"/>
      <c r="AC353" s="459"/>
      <c r="AD353" s="459"/>
      <c r="AE353" s="459"/>
      <c r="AF353" s="463"/>
      <c r="AG353" s="617"/>
    </row>
    <row r="354" spans="1:33" s="14" customFormat="1" ht="15.75" customHeight="1">
      <c r="A354" s="360" t="s">
        <v>353</v>
      </c>
      <c r="B354" s="358" t="s">
        <v>368</v>
      </c>
      <c r="C354" s="555" t="s">
        <v>942</v>
      </c>
      <c r="D354" s="527">
        <v>218140</v>
      </c>
      <c r="E354" s="528">
        <v>8</v>
      </c>
      <c r="F354" s="450">
        <f t="shared" si="24"/>
        <v>148653</v>
      </c>
      <c r="G354" s="451">
        <f t="shared" si="25"/>
        <v>143590</v>
      </c>
      <c r="H354" s="463">
        <v>68821</v>
      </c>
      <c r="I354" s="459">
        <v>46574</v>
      </c>
      <c r="J354" s="463">
        <v>20723</v>
      </c>
      <c r="K354" s="459">
        <v>3235</v>
      </c>
      <c r="L354" s="463">
        <v>59109</v>
      </c>
      <c r="M354" s="463"/>
      <c r="N354" s="463"/>
      <c r="O354" s="459">
        <v>93781</v>
      </c>
      <c r="P354" s="459"/>
      <c r="Q354" s="459"/>
      <c r="R354" s="463"/>
      <c r="S354" s="459"/>
      <c r="T354" s="450">
        <f t="shared" si="26"/>
        <v>0</v>
      </c>
      <c r="U354" s="451">
        <f t="shared" si="27"/>
        <v>0</v>
      </c>
      <c r="V354" s="463"/>
      <c r="W354" s="459"/>
      <c r="X354" s="463"/>
      <c r="Y354" s="459"/>
      <c r="Z354" s="463"/>
      <c r="AA354" s="463"/>
      <c r="AB354" s="463"/>
      <c r="AC354" s="459"/>
      <c r="AD354" s="459"/>
      <c r="AE354" s="459"/>
      <c r="AF354" s="463"/>
      <c r="AG354" s="617"/>
    </row>
    <row r="355" spans="1:33" s="14" customFormat="1" ht="15.75" customHeight="1">
      <c r="A355" s="360" t="s">
        <v>353</v>
      </c>
      <c r="B355" s="358" t="s">
        <v>369</v>
      </c>
      <c r="C355" s="555"/>
      <c r="D355" s="527">
        <v>218353</v>
      </c>
      <c r="E355" s="528">
        <v>8</v>
      </c>
      <c r="F355" s="450">
        <f t="shared" si="24"/>
        <v>197166</v>
      </c>
      <c r="G355" s="451">
        <f t="shared" si="25"/>
        <v>188027</v>
      </c>
      <c r="H355" s="463">
        <v>74937</v>
      </c>
      <c r="I355" s="459">
        <v>42791</v>
      </c>
      <c r="J355" s="463">
        <v>15404</v>
      </c>
      <c r="K355" s="459">
        <v>12766</v>
      </c>
      <c r="L355" s="463">
        <v>106825</v>
      </c>
      <c r="M355" s="463"/>
      <c r="N355" s="463"/>
      <c r="O355" s="459">
        <v>132470</v>
      </c>
      <c r="P355" s="459"/>
      <c r="Q355" s="459"/>
      <c r="R355" s="463"/>
      <c r="S355" s="459"/>
      <c r="T355" s="450">
        <f t="shared" si="26"/>
        <v>0</v>
      </c>
      <c r="U355" s="451">
        <f t="shared" si="27"/>
        <v>0</v>
      </c>
      <c r="V355" s="463"/>
      <c r="W355" s="459"/>
      <c r="X355" s="463"/>
      <c r="Y355" s="459"/>
      <c r="Z355" s="463"/>
      <c r="AA355" s="463"/>
      <c r="AB355" s="463"/>
      <c r="AC355" s="459"/>
      <c r="AD355" s="459"/>
      <c r="AE355" s="459"/>
      <c r="AF355" s="463"/>
      <c r="AG355" s="617"/>
    </row>
    <row r="356" spans="1:33" s="14" customFormat="1" ht="15.75" customHeight="1">
      <c r="A356" s="360" t="s">
        <v>353</v>
      </c>
      <c r="B356" s="358" t="s">
        <v>372</v>
      </c>
      <c r="C356" s="555"/>
      <c r="D356" s="527">
        <v>218894</v>
      </c>
      <c r="E356" s="528">
        <v>8</v>
      </c>
      <c r="F356" s="450">
        <f t="shared" si="24"/>
        <v>246575</v>
      </c>
      <c r="G356" s="451">
        <f t="shared" si="25"/>
        <v>233583</v>
      </c>
      <c r="H356" s="463">
        <v>35746</v>
      </c>
      <c r="I356" s="459">
        <v>20895</v>
      </c>
      <c r="J356" s="463">
        <v>10549</v>
      </c>
      <c r="K356" s="459">
        <v>14158</v>
      </c>
      <c r="L356" s="463">
        <v>200280</v>
      </c>
      <c r="M356" s="463"/>
      <c r="N356" s="463"/>
      <c r="O356" s="459">
        <v>198530</v>
      </c>
      <c r="P356" s="459"/>
      <c r="Q356" s="459"/>
      <c r="R356" s="463"/>
      <c r="S356" s="459"/>
      <c r="T356" s="450">
        <f t="shared" si="26"/>
        <v>0</v>
      </c>
      <c r="U356" s="451">
        <f t="shared" si="27"/>
        <v>0</v>
      </c>
      <c r="V356" s="463"/>
      <c r="W356" s="459"/>
      <c r="X356" s="463"/>
      <c r="Y356" s="459"/>
      <c r="Z356" s="463"/>
      <c r="AA356" s="463"/>
      <c r="AB356" s="463"/>
      <c r="AC356" s="459"/>
      <c r="AD356" s="459"/>
      <c r="AE356" s="459"/>
      <c r="AF356" s="463"/>
      <c r="AG356" s="617"/>
    </row>
    <row r="357" spans="1:33" s="14" customFormat="1" ht="15.75" customHeight="1">
      <c r="A357" s="360" t="s">
        <v>353</v>
      </c>
      <c r="B357" s="358" t="s">
        <v>374</v>
      </c>
      <c r="C357" s="555" t="s">
        <v>926</v>
      </c>
      <c r="D357" s="527">
        <v>218858</v>
      </c>
      <c r="E357" s="528">
        <v>9</v>
      </c>
      <c r="F357" s="450">
        <f t="shared" si="24"/>
        <v>65661</v>
      </c>
      <c r="G357" s="451">
        <f t="shared" si="25"/>
        <v>57633</v>
      </c>
      <c r="H357" s="463">
        <v>23457</v>
      </c>
      <c r="I357" s="459">
        <v>10535</v>
      </c>
      <c r="J357" s="463">
        <v>6987</v>
      </c>
      <c r="K357" s="459">
        <v>10667</v>
      </c>
      <c r="L357" s="463">
        <v>35217</v>
      </c>
      <c r="M357" s="463"/>
      <c r="N357" s="463"/>
      <c r="O357" s="459">
        <v>36431</v>
      </c>
      <c r="P357" s="459"/>
      <c r="Q357" s="459"/>
      <c r="R357" s="463"/>
      <c r="S357" s="459"/>
      <c r="T357" s="450">
        <f t="shared" si="26"/>
        <v>0</v>
      </c>
      <c r="U357" s="451">
        <f t="shared" si="27"/>
        <v>0</v>
      </c>
      <c r="V357" s="463"/>
      <c r="W357" s="459"/>
      <c r="X357" s="463"/>
      <c r="Y357" s="459"/>
      <c r="Z357" s="463"/>
      <c r="AA357" s="463"/>
      <c r="AB357" s="463"/>
      <c r="AC357" s="459"/>
      <c r="AD357" s="459"/>
      <c r="AE357" s="459"/>
      <c r="AF357" s="463"/>
      <c r="AG357" s="617"/>
    </row>
    <row r="358" spans="1:33" s="14" customFormat="1" ht="15.75" customHeight="1">
      <c r="A358" s="360" t="s">
        <v>353</v>
      </c>
      <c r="B358" s="358" t="s">
        <v>366</v>
      </c>
      <c r="C358" s="553"/>
      <c r="D358" s="527">
        <v>218025</v>
      </c>
      <c r="E358" s="528">
        <v>9</v>
      </c>
      <c r="F358" s="450">
        <f t="shared" si="24"/>
        <v>71082</v>
      </c>
      <c r="G358" s="451">
        <f t="shared" si="25"/>
        <v>60547</v>
      </c>
      <c r="H358" s="463">
        <v>25544</v>
      </c>
      <c r="I358" s="459">
        <v>22063</v>
      </c>
      <c r="J358" s="463">
        <v>3920</v>
      </c>
      <c r="K358" s="459">
        <v>4245</v>
      </c>
      <c r="L358" s="463">
        <v>40424</v>
      </c>
      <c r="M358" s="463">
        <v>1194</v>
      </c>
      <c r="N358" s="463"/>
      <c r="O358" s="459">
        <v>32970</v>
      </c>
      <c r="P358" s="459">
        <v>1269</v>
      </c>
      <c r="Q358" s="459"/>
      <c r="R358" s="463"/>
      <c r="S358" s="459"/>
      <c r="T358" s="450">
        <f t="shared" si="26"/>
        <v>0</v>
      </c>
      <c r="U358" s="451">
        <f t="shared" si="27"/>
        <v>0</v>
      </c>
      <c r="V358" s="463"/>
      <c r="W358" s="459"/>
      <c r="X358" s="463"/>
      <c r="Y358" s="459"/>
      <c r="Z358" s="463"/>
      <c r="AA358" s="463"/>
      <c r="AB358" s="463"/>
      <c r="AC358" s="459"/>
      <c r="AD358" s="459"/>
      <c r="AE358" s="459"/>
      <c r="AF358" s="463"/>
      <c r="AG358" s="617"/>
    </row>
    <row r="359" spans="1:33" s="14" customFormat="1" ht="15.75" customHeight="1">
      <c r="A359" s="360" t="s">
        <v>353</v>
      </c>
      <c r="B359" s="358" t="s">
        <v>370</v>
      </c>
      <c r="C359" s="553"/>
      <c r="D359" s="527">
        <v>218520</v>
      </c>
      <c r="E359" s="528">
        <v>9</v>
      </c>
      <c r="F359" s="450">
        <f t="shared" si="24"/>
        <v>106149</v>
      </c>
      <c r="G359" s="451">
        <f t="shared" si="25"/>
        <v>98809</v>
      </c>
      <c r="H359" s="463">
        <v>20122</v>
      </c>
      <c r="I359" s="459">
        <v>11877</v>
      </c>
      <c r="J359" s="463">
        <v>10156</v>
      </c>
      <c r="K359" s="459">
        <v>8096</v>
      </c>
      <c r="L359" s="463">
        <v>72472</v>
      </c>
      <c r="M359" s="463">
        <v>3399</v>
      </c>
      <c r="N359" s="463"/>
      <c r="O359" s="459">
        <v>76567</v>
      </c>
      <c r="P359" s="459">
        <v>2269</v>
      </c>
      <c r="Q359" s="459"/>
      <c r="R359" s="463"/>
      <c r="S359" s="459"/>
      <c r="T359" s="450">
        <f t="shared" si="26"/>
        <v>0</v>
      </c>
      <c r="U359" s="451">
        <f t="shared" si="27"/>
        <v>0</v>
      </c>
      <c r="V359" s="463"/>
      <c r="W359" s="459"/>
      <c r="X359" s="463"/>
      <c r="Y359" s="459"/>
      <c r="Z359" s="463"/>
      <c r="AA359" s="463"/>
      <c r="AB359" s="463"/>
      <c r="AC359" s="459"/>
      <c r="AD359" s="459"/>
      <c r="AE359" s="459"/>
      <c r="AF359" s="463"/>
      <c r="AG359" s="617"/>
    </row>
    <row r="360" spans="1:33" s="14" customFormat="1" ht="15.75" customHeight="1">
      <c r="A360" s="360" t="s">
        <v>353</v>
      </c>
      <c r="B360" s="358" t="s">
        <v>376</v>
      </c>
      <c r="C360" s="554"/>
      <c r="D360" s="527">
        <v>218830</v>
      </c>
      <c r="E360" s="528">
        <v>9</v>
      </c>
      <c r="F360" s="450">
        <f t="shared" si="24"/>
        <v>92922</v>
      </c>
      <c r="G360" s="451">
        <f t="shared" si="25"/>
        <v>108338</v>
      </c>
      <c r="H360" s="463">
        <v>44098</v>
      </c>
      <c r="I360" s="459">
        <v>42080</v>
      </c>
      <c r="J360" s="463">
        <v>12778</v>
      </c>
      <c r="K360" s="459">
        <v>9848</v>
      </c>
      <c r="L360" s="463">
        <v>36046</v>
      </c>
      <c r="M360" s="463"/>
      <c r="N360" s="463"/>
      <c r="O360" s="459">
        <v>56410</v>
      </c>
      <c r="P360" s="459"/>
      <c r="Q360" s="459"/>
      <c r="R360" s="463"/>
      <c r="S360" s="459"/>
      <c r="T360" s="450">
        <f t="shared" si="26"/>
        <v>0</v>
      </c>
      <c r="U360" s="451">
        <f t="shared" si="27"/>
        <v>0</v>
      </c>
      <c r="V360" s="463"/>
      <c r="W360" s="459"/>
      <c r="X360" s="463"/>
      <c r="Y360" s="459"/>
      <c r="Z360" s="463"/>
      <c r="AA360" s="463"/>
      <c r="AB360" s="463"/>
      <c r="AC360" s="459"/>
      <c r="AD360" s="459"/>
      <c r="AE360" s="459"/>
      <c r="AF360" s="463"/>
      <c r="AG360" s="617"/>
    </row>
    <row r="361" spans="1:33" s="14" customFormat="1" ht="15.75" customHeight="1">
      <c r="A361" s="360" t="s">
        <v>353</v>
      </c>
      <c r="B361" s="358" t="s">
        <v>371</v>
      </c>
      <c r="C361" s="553"/>
      <c r="D361" s="527">
        <v>218885</v>
      </c>
      <c r="E361" s="528">
        <v>9</v>
      </c>
      <c r="F361" s="450">
        <f t="shared" si="24"/>
        <v>141207</v>
      </c>
      <c r="G361" s="451">
        <f t="shared" si="25"/>
        <v>138452</v>
      </c>
      <c r="H361" s="463">
        <v>44090</v>
      </c>
      <c r="I361" s="459">
        <v>48659</v>
      </c>
      <c r="J361" s="463">
        <v>4553</v>
      </c>
      <c r="K361" s="459">
        <v>5603</v>
      </c>
      <c r="L361" s="463">
        <v>92564</v>
      </c>
      <c r="M361" s="463"/>
      <c r="N361" s="463"/>
      <c r="O361" s="459">
        <v>84190</v>
      </c>
      <c r="P361" s="459"/>
      <c r="Q361" s="459"/>
      <c r="R361" s="463"/>
      <c r="S361" s="459"/>
      <c r="T361" s="450">
        <f t="shared" si="26"/>
        <v>0</v>
      </c>
      <c r="U361" s="451">
        <f t="shared" si="27"/>
        <v>0</v>
      </c>
      <c r="V361" s="463"/>
      <c r="W361" s="459"/>
      <c r="X361" s="463"/>
      <c r="Y361" s="459"/>
      <c r="Z361" s="463"/>
      <c r="AA361" s="463"/>
      <c r="AB361" s="463"/>
      <c r="AC361" s="459"/>
      <c r="AD361" s="459"/>
      <c r="AE361" s="459"/>
      <c r="AF361" s="463"/>
      <c r="AG361" s="617"/>
    </row>
    <row r="362" spans="1:33" s="14" customFormat="1" ht="15.75" customHeight="1">
      <c r="A362" s="360" t="s">
        <v>353</v>
      </c>
      <c r="B362" s="358" t="s">
        <v>377</v>
      </c>
      <c r="C362" s="554"/>
      <c r="D362" s="527">
        <v>218991</v>
      </c>
      <c r="E362" s="528">
        <v>9</v>
      </c>
      <c r="F362" s="450">
        <f t="shared" si="24"/>
        <v>96947</v>
      </c>
      <c r="G362" s="451">
        <f t="shared" si="25"/>
        <v>87950</v>
      </c>
      <c r="H362" s="463">
        <v>11343</v>
      </c>
      <c r="I362" s="459">
        <v>4897</v>
      </c>
      <c r="J362" s="463">
        <v>5013</v>
      </c>
      <c r="K362" s="459">
        <v>7631</v>
      </c>
      <c r="L362" s="463">
        <v>80591</v>
      </c>
      <c r="M362" s="463"/>
      <c r="N362" s="463"/>
      <c r="O362" s="459">
        <v>75422</v>
      </c>
      <c r="P362" s="459"/>
      <c r="Q362" s="459"/>
      <c r="R362" s="463"/>
      <c r="S362" s="459"/>
      <c r="T362" s="450">
        <f t="shared" si="26"/>
        <v>0</v>
      </c>
      <c r="U362" s="451">
        <f t="shared" si="27"/>
        <v>0</v>
      </c>
      <c r="V362" s="463"/>
      <c r="W362" s="459"/>
      <c r="X362" s="463"/>
      <c r="Y362" s="459"/>
      <c r="Z362" s="463"/>
      <c r="AA362" s="463"/>
      <c r="AB362" s="463"/>
      <c r="AC362" s="459"/>
      <c r="AD362" s="459"/>
      <c r="AE362" s="459"/>
      <c r="AF362" s="463"/>
      <c r="AG362" s="617"/>
    </row>
    <row r="363" spans="1:33" s="14" customFormat="1" ht="15.75" customHeight="1">
      <c r="A363" s="360" t="s">
        <v>353</v>
      </c>
      <c r="B363" s="358" t="s">
        <v>373</v>
      </c>
      <c r="C363" s="553"/>
      <c r="D363" s="527">
        <v>217615</v>
      </c>
      <c r="E363" s="528">
        <v>10</v>
      </c>
      <c r="F363" s="450">
        <f t="shared" si="24"/>
        <v>42315</v>
      </c>
      <c r="G363" s="451">
        <f t="shared" si="25"/>
        <v>40282</v>
      </c>
      <c r="H363" s="463">
        <v>16175</v>
      </c>
      <c r="I363" s="459">
        <v>7077</v>
      </c>
      <c r="J363" s="463">
        <v>2092</v>
      </c>
      <c r="K363" s="459">
        <v>2843</v>
      </c>
      <c r="L363" s="463">
        <v>24048</v>
      </c>
      <c r="M363" s="463"/>
      <c r="N363" s="463"/>
      <c r="O363" s="459">
        <v>30362</v>
      </c>
      <c r="P363" s="459"/>
      <c r="Q363" s="459"/>
      <c r="R363" s="463"/>
      <c r="S363" s="459"/>
      <c r="T363" s="450">
        <f t="shared" si="26"/>
        <v>0</v>
      </c>
      <c r="U363" s="451">
        <f t="shared" si="27"/>
        <v>0</v>
      </c>
      <c r="V363" s="463"/>
      <c r="W363" s="459"/>
      <c r="X363" s="463"/>
      <c r="Y363" s="459"/>
      <c r="Z363" s="463"/>
      <c r="AA363" s="463"/>
      <c r="AB363" s="463"/>
      <c r="AC363" s="459"/>
      <c r="AD363" s="459"/>
      <c r="AE363" s="459"/>
      <c r="AF363" s="463"/>
      <c r="AG363" s="617"/>
    </row>
    <row r="364" spans="1:33" s="14" customFormat="1" ht="15" customHeight="1">
      <c r="A364" s="360" t="s">
        <v>353</v>
      </c>
      <c r="B364" s="358" t="s">
        <v>378</v>
      </c>
      <c r="C364" s="526"/>
      <c r="D364" s="527">
        <v>217989</v>
      </c>
      <c r="E364" s="528">
        <v>10</v>
      </c>
      <c r="F364" s="450">
        <f t="shared" si="24"/>
        <v>12654</v>
      </c>
      <c r="G364" s="451">
        <f t="shared" si="25"/>
        <v>13218</v>
      </c>
      <c r="H364" s="463">
        <v>3133</v>
      </c>
      <c r="I364" s="459">
        <v>4776</v>
      </c>
      <c r="J364" s="463">
        <v>885</v>
      </c>
      <c r="K364" s="459">
        <v>1288</v>
      </c>
      <c r="L364" s="463">
        <v>8636</v>
      </c>
      <c r="M364" s="463"/>
      <c r="N364" s="463"/>
      <c r="O364" s="459">
        <v>7154</v>
      </c>
      <c r="P364" s="459"/>
      <c r="Q364" s="459"/>
      <c r="R364" s="463"/>
      <c r="S364" s="459"/>
      <c r="T364" s="450">
        <f t="shared" si="26"/>
        <v>0</v>
      </c>
      <c r="U364" s="451">
        <f t="shared" si="27"/>
        <v>0</v>
      </c>
      <c r="V364" s="463"/>
      <c r="W364" s="459"/>
      <c r="X364" s="463"/>
      <c r="Y364" s="459"/>
      <c r="Z364" s="463"/>
      <c r="AA364" s="463"/>
      <c r="AB364" s="463"/>
      <c r="AC364" s="459"/>
      <c r="AD364" s="459"/>
      <c r="AE364" s="459"/>
      <c r="AF364" s="463"/>
      <c r="AG364" s="617"/>
    </row>
    <row r="365" spans="1:33" s="14" customFormat="1" ht="15" customHeight="1">
      <c r="A365" s="360" t="s">
        <v>353</v>
      </c>
      <c r="B365" s="358" t="s">
        <v>379</v>
      </c>
      <c r="C365" s="526"/>
      <c r="D365" s="527">
        <v>217837</v>
      </c>
      <c r="E365" s="528">
        <v>10</v>
      </c>
      <c r="F365" s="450">
        <f t="shared" si="24"/>
        <v>28692</v>
      </c>
      <c r="G365" s="451">
        <f t="shared" si="25"/>
        <v>30295</v>
      </c>
      <c r="H365" s="463">
        <v>3246</v>
      </c>
      <c r="I365" s="459">
        <v>2673</v>
      </c>
      <c r="J365" s="463">
        <v>583</v>
      </c>
      <c r="K365" s="459">
        <v>1096</v>
      </c>
      <c r="L365" s="463">
        <v>24285</v>
      </c>
      <c r="M365" s="463">
        <v>578</v>
      </c>
      <c r="N365" s="463"/>
      <c r="O365" s="459">
        <v>26325</v>
      </c>
      <c r="P365" s="459">
        <v>201</v>
      </c>
      <c r="Q365" s="459"/>
      <c r="R365" s="463"/>
      <c r="S365" s="459"/>
      <c r="T365" s="450">
        <f t="shared" si="26"/>
        <v>0</v>
      </c>
      <c r="U365" s="451">
        <f t="shared" si="27"/>
        <v>0</v>
      </c>
      <c r="V365" s="463"/>
      <c r="W365" s="459"/>
      <c r="X365" s="463"/>
      <c r="Y365" s="459"/>
      <c r="Z365" s="463"/>
      <c r="AA365" s="463"/>
      <c r="AB365" s="463"/>
      <c r="AC365" s="459"/>
      <c r="AD365" s="459"/>
      <c r="AE365" s="459"/>
      <c r="AF365" s="463"/>
      <c r="AG365" s="617"/>
    </row>
    <row r="366" spans="1:33" s="14" customFormat="1" ht="15.75" customHeight="1">
      <c r="A366" s="360" t="s">
        <v>353</v>
      </c>
      <c r="B366" s="358" t="s">
        <v>375</v>
      </c>
      <c r="C366" s="553"/>
      <c r="D366" s="527">
        <v>218487</v>
      </c>
      <c r="E366" s="528">
        <v>10</v>
      </c>
      <c r="F366" s="450">
        <f t="shared" si="24"/>
        <v>48358</v>
      </c>
      <c r="G366" s="451">
        <f t="shared" si="25"/>
        <v>46955</v>
      </c>
      <c r="H366" s="463">
        <v>14266</v>
      </c>
      <c r="I366" s="459">
        <v>8570</v>
      </c>
      <c r="J366" s="463">
        <v>5505</v>
      </c>
      <c r="K366" s="459">
        <v>8608</v>
      </c>
      <c r="L366" s="463">
        <v>28587</v>
      </c>
      <c r="M366" s="463"/>
      <c r="N366" s="463"/>
      <c r="O366" s="459">
        <v>29777</v>
      </c>
      <c r="P366" s="459"/>
      <c r="Q366" s="459"/>
      <c r="R366" s="463"/>
      <c r="S366" s="459"/>
      <c r="T366" s="450">
        <f t="shared" si="26"/>
        <v>0</v>
      </c>
      <c r="U366" s="451">
        <f t="shared" si="27"/>
        <v>0</v>
      </c>
      <c r="V366" s="463"/>
      <c r="W366" s="459"/>
      <c r="X366" s="463"/>
      <c r="Y366" s="459"/>
      <c r="Z366" s="463"/>
      <c r="AA366" s="463"/>
      <c r="AB366" s="463"/>
      <c r="AC366" s="459"/>
      <c r="AD366" s="459"/>
      <c r="AE366" s="459"/>
      <c r="AF366" s="463"/>
      <c r="AG366" s="617"/>
    </row>
    <row r="367" spans="1:33" s="14" customFormat="1" ht="15" customHeight="1">
      <c r="A367" s="360" t="s">
        <v>353</v>
      </c>
      <c r="B367" s="358" t="s">
        <v>380</v>
      </c>
      <c r="C367" s="526"/>
      <c r="D367" s="527">
        <v>217712</v>
      </c>
      <c r="E367" s="528">
        <v>10</v>
      </c>
      <c r="F367" s="450">
        <f t="shared" si="24"/>
        <v>42797</v>
      </c>
      <c r="G367" s="451">
        <f t="shared" si="25"/>
        <v>38957</v>
      </c>
      <c r="H367" s="463">
        <v>12921</v>
      </c>
      <c r="I367" s="459">
        <v>9524</v>
      </c>
      <c r="J367" s="463">
        <v>1127</v>
      </c>
      <c r="K367" s="459">
        <v>1805</v>
      </c>
      <c r="L367" s="463">
        <v>28749</v>
      </c>
      <c r="M367" s="463"/>
      <c r="N367" s="463"/>
      <c r="O367" s="459">
        <v>27628</v>
      </c>
      <c r="P367" s="459"/>
      <c r="Q367" s="459"/>
      <c r="R367" s="463"/>
      <c r="S367" s="459"/>
      <c r="T367" s="450">
        <f t="shared" si="26"/>
        <v>0</v>
      </c>
      <c r="U367" s="451">
        <f t="shared" si="27"/>
        <v>0</v>
      </c>
      <c r="V367" s="463"/>
      <c r="W367" s="459"/>
      <c r="X367" s="463"/>
      <c r="Y367" s="459"/>
      <c r="Z367" s="463"/>
      <c r="AA367" s="463"/>
      <c r="AB367" s="463"/>
      <c r="AC367" s="459"/>
      <c r="AD367" s="459"/>
      <c r="AE367" s="459"/>
      <c r="AF367" s="463"/>
      <c r="AG367" s="617"/>
    </row>
    <row r="368" spans="1:33" s="14" customFormat="1" ht="15" customHeight="1">
      <c r="A368" s="360" t="s">
        <v>353</v>
      </c>
      <c r="B368" s="358" t="s">
        <v>381</v>
      </c>
      <c r="C368" s="526"/>
      <c r="D368" s="527">
        <v>218672</v>
      </c>
      <c r="E368" s="528">
        <v>10</v>
      </c>
      <c r="F368" s="450">
        <f t="shared" si="24"/>
        <v>35556</v>
      </c>
      <c r="G368" s="451">
        <f t="shared" si="25"/>
        <v>35907</v>
      </c>
      <c r="H368" s="463">
        <v>13308</v>
      </c>
      <c r="I368" s="459">
        <v>9649</v>
      </c>
      <c r="J368" s="463">
        <v>558</v>
      </c>
      <c r="K368" s="459">
        <v>6977</v>
      </c>
      <c r="L368" s="463">
        <v>16135</v>
      </c>
      <c r="M368" s="463"/>
      <c r="N368" s="463">
        <v>5555</v>
      </c>
      <c r="O368" s="459">
        <v>19281</v>
      </c>
      <c r="P368" s="459"/>
      <c r="Q368" s="459"/>
      <c r="R368" s="463"/>
      <c r="S368" s="459"/>
      <c r="T368" s="450">
        <f t="shared" si="26"/>
        <v>0</v>
      </c>
      <c r="U368" s="451">
        <f t="shared" si="27"/>
        <v>0</v>
      </c>
      <c r="V368" s="463"/>
      <c r="W368" s="459"/>
      <c r="X368" s="463"/>
      <c r="Y368" s="459"/>
      <c r="Z368" s="463"/>
      <c r="AA368" s="463"/>
      <c r="AB368" s="463"/>
      <c r="AC368" s="459"/>
      <c r="AD368" s="459"/>
      <c r="AE368" s="459"/>
      <c r="AF368" s="463"/>
      <c r="AG368" s="617"/>
    </row>
    <row r="369" spans="1:35" s="14" customFormat="1" ht="15" customHeight="1">
      <c r="A369" s="360" t="s">
        <v>353</v>
      </c>
      <c r="B369" s="358" t="s">
        <v>382</v>
      </c>
      <c r="C369" s="526"/>
      <c r="D369" s="527">
        <v>218681</v>
      </c>
      <c r="E369" s="528">
        <v>10</v>
      </c>
      <c r="F369" s="450">
        <f t="shared" si="24"/>
        <v>19067</v>
      </c>
      <c r="G369" s="451">
        <f t="shared" si="25"/>
        <v>17360</v>
      </c>
      <c r="H369" s="463">
        <v>8363</v>
      </c>
      <c r="I369" s="459">
        <v>5405</v>
      </c>
      <c r="J369" s="463">
        <v>4696</v>
      </c>
      <c r="K369" s="459">
        <v>1781</v>
      </c>
      <c r="L369" s="463">
        <v>6008</v>
      </c>
      <c r="M369" s="463"/>
      <c r="N369" s="463"/>
      <c r="O369" s="459">
        <v>10174</v>
      </c>
      <c r="P369" s="459"/>
      <c r="Q369" s="459"/>
      <c r="R369" s="463"/>
      <c r="S369" s="459"/>
      <c r="T369" s="450">
        <f t="shared" si="26"/>
        <v>0</v>
      </c>
      <c r="U369" s="451">
        <f t="shared" si="27"/>
        <v>0</v>
      </c>
      <c r="V369" s="463"/>
      <c r="W369" s="459"/>
      <c r="X369" s="463"/>
      <c r="Y369" s="459"/>
      <c r="Z369" s="463"/>
      <c r="AA369" s="463"/>
      <c r="AB369" s="463"/>
      <c r="AC369" s="459"/>
      <c r="AD369" s="459"/>
      <c r="AE369" s="459"/>
      <c r="AF369" s="463"/>
      <c r="AG369" s="617"/>
    </row>
    <row r="370" spans="1:35" s="14" customFormat="1" ht="15.75" customHeight="1">
      <c r="A370" s="360" t="s">
        <v>353</v>
      </c>
      <c r="B370" s="358" t="s">
        <v>383</v>
      </c>
      <c r="C370" s="554"/>
      <c r="D370" s="527">
        <v>218690</v>
      </c>
      <c r="E370" s="528">
        <v>10</v>
      </c>
      <c r="F370" s="450">
        <f t="shared" si="24"/>
        <v>25148</v>
      </c>
      <c r="G370" s="451">
        <f t="shared" si="25"/>
        <v>24615</v>
      </c>
      <c r="H370" s="463">
        <v>8910</v>
      </c>
      <c r="I370" s="459">
        <v>5817</v>
      </c>
      <c r="J370" s="463">
        <v>3331</v>
      </c>
      <c r="K370" s="459">
        <v>3129</v>
      </c>
      <c r="L370" s="463">
        <v>12907</v>
      </c>
      <c r="M370" s="463"/>
      <c r="N370" s="463"/>
      <c r="O370" s="459">
        <v>15669</v>
      </c>
      <c r="P370" s="459"/>
      <c r="Q370" s="459"/>
      <c r="R370" s="463"/>
      <c r="S370" s="459"/>
      <c r="T370" s="450">
        <f t="shared" si="26"/>
        <v>0</v>
      </c>
      <c r="U370" s="451">
        <f t="shared" si="27"/>
        <v>0</v>
      </c>
      <c r="V370" s="463"/>
      <c r="W370" s="459"/>
      <c r="X370" s="463"/>
      <c r="Y370" s="459"/>
      <c r="Z370" s="463"/>
      <c r="AA370" s="463"/>
      <c r="AB370" s="463"/>
      <c r="AC370" s="459"/>
      <c r="AD370" s="459"/>
      <c r="AE370" s="459"/>
      <c r="AF370" s="463"/>
      <c r="AG370" s="617"/>
    </row>
    <row r="371" spans="1:35" s="14" customFormat="1" ht="15.75" customHeight="1">
      <c r="A371" s="360" t="s">
        <v>353</v>
      </c>
      <c r="B371" s="358" t="s">
        <v>384</v>
      </c>
      <c r="C371" s="554"/>
      <c r="D371" s="527">
        <v>218706</v>
      </c>
      <c r="E371" s="528">
        <v>10</v>
      </c>
      <c r="F371" s="450">
        <f t="shared" si="24"/>
        <v>20397</v>
      </c>
      <c r="G371" s="451">
        <f t="shared" si="25"/>
        <v>21196</v>
      </c>
      <c r="H371" s="463">
        <v>5628</v>
      </c>
      <c r="I371" s="459">
        <v>4665</v>
      </c>
      <c r="J371" s="463">
        <v>5727</v>
      </c>
      <c r="K371" s="459">
        <v>7805</v>
      </c>
      <c r="L371" s="463">
        <v>9042</v>
      </c>
      <c r="M371" s="463"/>
      <c r="N371" s="463"/>
      <c r="O371" s="459">
        <v>8726</v>
      </c>
      <c r="P371" s="459"/>
      <c r="Q371" s="459"/>
      <c r="R371" s="463"/>
      <c r="S371" s="459"/>
      <c r="T371" s="450">
        <f t="shared" si="26"/>
        <v>0</v>
      </c>
      <c r="U371" s="451">
        <f t="shared" si="27"/>
        <v>0</v>
      </c>
      <c r="V371" s="463"/>
      <c r="W371" s="459"/>
      <c r="X371" s="463"/>
      <c r="Y371" s="459"/>
      <c r="Z371" s="463"/>
      <c r="AA371" s="463"/>
      <c r="AB371" s="463"/>
      <c r="AC371" s="459"/>
      <c r="AD371" s="459"/>
      <c r="AE371" s="459"/>
      <c r="AF371" s="463"/>
      <c r="AG371" s="617"/>
    </row>
    <row r="372" spans="1:35" s="14" customFormat="1" ht="15.75" customHeight="1">
      <c r="A372" s="360" t="s">
        <v>353</v>
      </c>
      <c r="B372" s="362" t="s">
        <v>734</v>
      </c>
      <c r="C372" s="554"/>
      <c r="D372" s="527">
        <v>218955</v>
      </c>
      <c r="E372" s="528">
        <v>10</v>
      </c>
      <c r="F372" s="450">
        <f t="shared" si="24"/>
        <v>13846</v>
      </c>
      <c r="G372" s="451">
        <f t="shared" si="25"/>
        <v>11533</v>
      </c>
      <c r="H372" s="463">
        <v>6102</v>
      </c>
      <c r="I372" s="459">
        <v>4481</v>
      </c>
      <c r="J372" s="463">
        <v>1899</v>
      </c>
      <c r="K372" s="459">
        <v>2071</v>
      </c>
      <c r="L372" s="463">
        <v>5845</v>
      </c>
      <c r="M372" s="463"/>
      <c r="N372" s="463"/>
      <c r="O372" s="459">
        <v>4981</v>
      </c>
      <c r="P372" s="459"/>
      <c r="Q372" s="459"/>
      <c r="R372" s="463"/>
      <c r="S372" s="459"/>
      <c r="T372" s="450">
        <f t="shared" si="26"/>
        <v>0</v>
      </c>
      <c r="U372" s="451">
        <f t="shared" si="27"/>
        <v>0</v>
      </c>
      <c r="V372" s="463"/>
      <c r="W372" s="459"/>
      <c r="X372" s="463"/>
      <c r="Y372" s="459"/>
      <c r="Z372" s="463"/>
      <c r="AA372" s="463"/>
      <c r="AB372" s="463"/>
      <c r="AC372" s="459"/>
      <c r="AD372" s="459"/>
      <c r="AE372" s="459"/>
      <c r="AF372" s="463"/>
      <c r="AG372" s="617"/>
    </row>
    <row r="373" spans="1:35" s="14" customFormat="1" ht="15.75" customHeight="1">
      <c r="A373" s="466" t="s">
        <v>385</v>
      </c>
      <c r="B373" s="480" t="s">
        <v>386</v>
      </c>
      <c r="C373" s="559"/>
      <c r="D373" s="509">
        <v>220862</v>
      </c>
      <c r="E373" s="509">
        <v>1</v>
      </c>
      <c r="F373" s="450">
        <f t="shared" si="24"/>
        <v>414134</v>
      </c>
      <c r="G373" s="451">
        <f t="shared" si="25"/>
        <v>350068</v>
      </c>
      <c r="H373" s="463">
        <v>232227</v>
      </c>
      <c r="I373" s="459">
        <v>130844</v>
      </c>
      <c r="J373" s="463">
        <v>20303</v>
      </c>
      <c r="K373" s="459">
        <v>18785</v>
      </c>
      <c r="L373" s="463">
        <v>131866</v>
      </c>
      <c r="M373" s="463">
        <v>0</v>
      </c>
      <c r="N373" s="463">
        <v>27537</v>
      </c>
      <c r="O373" s="459">
        <v>156913</v>
      </c>
      <c r="P373" s="459">
        <v>0</v>
      </c>
      <c r="Q373" s="459">
        <v>41202</v>
      </c>
      <c r="R373" s="463">
        <v>2201</v>
      </c>
      <c r="S373" s="459">
        <v>2324</v>
      </c>
      <c r="T373" s="450">
        <f t="shared" si="26"/>
        <v>68997</v>
      </c>
      <c r="U373" s="451">
        <f t="shared" si="27"/>
        <v>68593</v>
      </c>
      <c r="V373" s="463">
        <v>32955</v>
      </c>
      <c r="W373" s="459">
        <v>21620</v>
      </c>
      <c r="X373" s="463">
        <v>78</v>
      </c>
      <c r="Y373" s="459">
        <v>18</v>
      </c>
      <c r="Z373" s="463">
        <v>29499</v>
      </c>
      <c r="AA373" s="463">
        <v>225</v>
      </c>
      <c r="AB373" s="463">
        <v>3341</v>
      </c>
      <c r="AC373" s="459">
        <v>36586</v>
      </c>
      <c r="AD373" s="459">
        <v>114</v>
      </c>
      <c r="AE373" s="459">
        <v>7338</v>
      </c>
      <c r="AF373" s="463">
        <v>2899</v>
      </c>
      <c r="AG373" s="617">
        <v>2917</v>
      </c>
      <c r="AH373" s="623"/>
      <c r="AI373" s="623"/>
    </row>
    <row r="374" spans="1:35" s="14" customFormat="1" ht="15" customHeight="1">
      <c r="A374" s="481" t="s">
        <v>385</v>
      </c>
      <c r="B374" s="480" t="s">
        <v>387</v>
      </c>
      <c r="C374" s="560"/>
      <c r="D374" s="509">
        <v>221759</v>
      </c>
      <c r="E374" s="509">
        <v>1</v>
      </c>
      <c r="F374" s="450">
        <f t="shared" si="24"/>
        <v>672972</v>
      </c>
      <c r="G374" s="451">
        <f t="shared" si="25"/>
        <v>689710</v>
      </c>
      <c r="H374" s="463">
        <v>587265</v>
      </c>
      <c r="I374" s="459">
        <v>499950</v>
      </c>
      <c r="J374" s="463">
        <v>0</v>
      </c>
      <c r="K374" s="459">
        <v>0</v>
      </c>
      <c r="L374" s="463">
        <v>81623</v>
      </c>
      <c r="M374" s="463">
        <v>0</v>
      </c>
      <c r="N374" s="463">
        <v>832</v>
      </c>
      <c r="O374" s="459">
        <v>185790</v>
      </c>
      <c r="P374" s="459">
        <v>0</v>
      </c>
      <c r="Q374" s="459">
        <v>985</v>
      </c>
      <c r="R374" s="463">
        <v>3252</v>
      </c>
      <c r="S374" s="459">
        <v>2985</v>
      </c>
      <c r="T374" s="450">
        <f t="shared" si="26"/>
        <v>98584</v>
      </c>
      <c r="U374" s="451">
        <f t="shared" si="27"/>
        <v>100809</v>
      </c>
      <c r="V374" s="463">
        <v>58033</v>
      </c>
      <c r="W374" s="459">
        <v>58859</v>
      </c>
      <c r="X374" s="463">
        <v>1775</v>
      </c>
      <c r="Y374" s="459">
        <v>858</v>
      </c>
      <c r="Z374" s="463">
        <v>36000</v>
      </c>
      <c r="AA374" s="463">
        <v>72</v>
      </c>
      <c r="AB374" s="463">
        <v>822</v>
      </c>
      <c r="AC374" s="459">
        <v>38180</v>
      </c>
      <c r="AD374" s="459">
        <v>54</v>
      </c>
      <c r="AE374" s="459">
        <v>927</v>
      </c>
      <c r="AF374" s="463">
        <v>1882</v>
      </c>
      <c r="AG374" s="617">
        <v>1931</v>
      </c>
      <c r="AH374" s="623"/>
      <c r="AI374" s="623"/>
    </row>
    <row r="375" spans="1:35" s="14" customFormat="1" ht="15" customHeight="1">
      <c r="A375" s="481" t="s">
        <v>385</v>
      </c>
      <c r="B375" s="480" t="s">
        <v>388</v>
      </c>
      <c r="C375" s="559"/>
      <c r="D375" s="509">
        <v>220075</v>
      </c>
      <c r="E375" s="509">
        <v>2</v>
      </c>
      <c r="F375" s="450">
        <f t="shared" si="24"/>
        <v>296444</v>
      </c>
      <c r="G375" s="451">
        <f t="shared" si="25"/>
        <v>278622</v>
      </c>
      <c r="H375" s="463">
        <v>166500</v>
      </c>
      <c r="I375" s="459">
        <v>165086</v>
      </c>
      <c r="J375" s="463">
        <v>10828</v>
      </c>
      <c r="K375" s="459">
        <v>11485</v>
      </c>
      <c r="L375" s="463">
        <v>96660</v>
      </c>
      <c r="M375" s="463">
        <v>7234</v>
      </c>
      <c r="N375" s="463">
        <v>13567</v>
      </c>
      <c r="O375" s="459">
        <v>83189</v>
      </c>
      <c r="P375" s="459">
        <v>5792</v>
      </c>
      <c r="Q375" s="459">
        <v>11669</v>
      </c>
      <c r="R375" s="463">
        <v>1655</v>
      </c>
      <c r="S375" s="459">
        <v>1401</v>
      </c>
      <c r="T375" s="450">
        <f t="shared" si="26"/>
        <v>45058</v>
      </c>
      <c r="U375" s="451">
        <f t="shared" si="27"/>
        <v>43519</v>
      </c>
      <c r="V375" s="463">
        <v>14493</v>
      </c>
      <c r="W375" s="459">
        <v>16115</v>
      </c>
      <c r="X375" s="463">
        <v>469</v>
      </c>
      <c r="Y375" s="459">
        <v>315</v>
      </c>
      <c r="Z375" s="463">
        <v>27023</v>
      </c>
      <c r="AA375" s="463">
        <v>102</v>
      </c>
      <c r="AB375" s="463">
        <v>1438</v>
      </c>
      <c r="AC375" s="459">
        <v>23703</v>
      </c>
      <c r="AD375" s="459">
        <v>0</v>
      </c>
      <c r="AE375" s="459">
        <v>1673</v>
      </c>
      <c r="AF375" s="463">
        <v>1533</v>
      </c>
      <c r="AG375" s="617">
        <v>1713</v>
      </c>
      <c r="AH375" s="623"/>
      <c r="AI375" s="623"/>
    </row>
    <row r="376" spans="1:35" s="14" customFormat="1" ht="15.75" customHeight="1">
      <c r="A376" s="466" t="s">
        <v>385</v>
      </c>
      <c r="B376" s="480" t="s">
        <v>391</v>
      </c>
      <c r="C376" s="561"/>
      <c r="D376" s="509">
        <v>220978</v>
      </c>
      <c r="E376" s="509">
        <v>2</v>
      </c>
      <c r="F376" s="450">
        <f t="shared" si="24"/>
        <v>496957</v>
      </c>
      <c r="G376" s="451">
        <f t="shared" si="25"/>
        <v>366610</v>
      </c>
      <c r="H376" s="463">
        <v>256789</v>
      </c>
      <c r="I376" s="459">
        <v>212399</v>
      </c>
      <c r="J376" s="463">
        <v>7497</v>
      </c>
      <c r="K376" s="459">
        <v>6212</v>
      </c>
      <c r="L376" s="463">
        <v>213421</v>
      </c>
      <c r="M376" s="463">
        <v>6</v>
      </c>
      <c r="N376" s="463">
        <v>16424</v>
      </c>
      <c r="O376" s="459">
        <v>131583</v>
      </c>
      <c r="P376" s="459">
        <v>0</v>
      </c>
      <c r="Q376" s="459">
        <v>13924</v>
      </c>
      <c r="R376" s="463">
        <v>2820</v>
      </c>
      <c r="S376" s="459">
        <v>2492</v>
      </c>
      <c r="T376" s="450">
        <f t="shared" si="26"/>
        <v>38815</v>
      </c>
      <c r="U376" s="451">
        <f t="shared" si="27"/>
        <v>38954</v>
      </c>
      <c r="V376" s="463">
        <v>13645</v>
      </c>
      <c r="W376" s="459">
        <v>11964</v>
      </c>
      <c r="X376" s="463">
        <v>791</v>
      </c>
      <c r="Y376" s="459">
        <v>144</v>
      </c>
      <c r="Z376" s="463">
        <v>22107</v>
      </c>
      <c r="AA376" s="463">
        <v>0</v>
      </c>
      <c r="AB376" s="463">
        <v>603</v>
      </c>
      <c r="AC376" s="459">
        <v>23657</v>
      </c>
      <c r="AD376" s="459">
        <v>0</v>
      </c>
      <c r="AE376" s="459">
        <v>1552</v>
      </c>
      <c r="AF376" s="463">
        <v>1669</v>
      </c>
      <c r="AG376" s="617">
        <v>1637</v>
      </c>
      <c r="AH376" s="623"/>
      <c r="AI376" s="623"/>
    </row>
    <row r="377" spans="1:35" s="14" customFormat="1" ht="15" customHeight="1">
      <c r="A377" s="481" t="s">
        <v>385</v>
      </c>
      <c r="B377" s="480" t="s">
        <v>389</v>
      </c>
      <c r="C377" s="559"/>
      <c r="D377" s="509">
        <v>221838</v>
      </c>
      <c r="E377" s="509">
        <v>2</v>
      </c>
      <c r="F377" s="450">
        <f t="shared" si="24"/>
        <v>95724</v>
      </c>
      <c r="G377" s="451">
        <f t="shared" si="25"/>
        <v>91852</v>
      </c>
      <c r="H377" s="463">
        <v>49849</v>
      </c>
      <c r="I377" s="459">
        <v>55224</v>
      </c>
      <c r="J377" s="463">
        <v>9226</v>
      </c>
      <c r="K377" s="459">
        <v>3618</v>
      </c>
      <c r="L377" s="463">
        <v>30769</v>
      </c>
      <c r="M377" s="463">
        <v>0</v>
      </c>
      <c r="N377" s="463">
        <v>5571</v>
      </c>
      <c r="O377" s="459">
        <v>29390</v>
      </c>
      <c r="P377" s="459">
        <v>0</v>
      </c>
      <c r="Q377" s="459">
        <v>3437</v>
      </c>
      <c r="R377" s="463">
        <v>309</v>
      </c>
      <c r="S377" s="459">
        <v>183</v>
      </c>
      <c r="T377" s="450">
        <f t="shared" si="26"/>
        <v>17346</v>
      </c>
      <c r="U377" s="451">
        <f t="shared" si="27"/>
        <v>16164</v>
      </c>
      <c r="V377" s="463">
        <v>6762</v>
      </c>
      <c r="W377" s="459">
        <v>5029</v>
      </c>
      <c r="X377" s="463">
        <v>1628</v>
      </c>
      <c r="Y377" s="459">
        <v>190</v>
      </c>
      <c r="Z377" s="463">
        <v>6833</v>
      </c>
      <c r="AA377" s="463">
        <v>0</v>
      </c>
      <c r="AB377" s="463">
        <v>1854</v>
      </c>
      <c r="AC377" s="459">
        <v>8665</v>
      </c>
      <c r="AD377" s="459">
        <v>0</v>
      </c>
      <c r="AE377" s="459">
        <v>2095</v>
      </c>
      <c r="AF377" s="463">
        <v>269</v>
      </c>
      <c r="AG377" s="617">
        <v>185</v>
      </c>
      <c r="AH377" s="623"/>
      <c r="AI377" s="623"/>
    </row>
    <row r="378" spans="1:35" s="14" customFormat="1" ht="15" customHeight="1">
      <c r="A378" s="481" t="s">
        <v>385</v>
      </c>
      <c r="B378" s="480" t="s">
        <v>390</v>
      </c>
      <c r="C378" s="560"/>
      <c r="D378" s="509">
        <v>219602</v>
      </c>
      <c r="E378" s="509">
        <v>3</v>
      </c>
      <c r="F378" s="450">
        <f t="shared" si="24"/>
        <v>225669</v>
      </c>
      <c r="G378" s="451">
        <f t="shared" si="25"/>
        <v>200421</v>
      </c>
      <c r="H378" s="463">
        <v>66586</v>
      </c>
      <c r="I378" s="459">
        <v>59997</v>
      </c>
      <c r="J378" s="463">
        <v>7894</v>
      </c>
      <c r="K378" s="459">
        <v>7011</v>
      </c>
      <c r="L378" s="463">
        <v>99019</v>
      </c>
      <c r="M378" s="463">
        <v>0</v>
      </c>
      <c r="N378" s="463">
        <v>50526</v>
      </c>
      <c r="O378" s="459">
        <v>100437</v>
      </c>
      <c r="P378" s="459">
        <v>0</v>
      </c>
      <c r="Q378" s="459">
        <v>31174</v>
      </c>
      <c r="R378" s="463">
        <v>1644</v>
      </c>
      <c r="S378" s="459">
        <v>1802</v>
      </c>
      <c r="T378" s="450">
        <f t="shared" si="26"/>
        <v>20028</v>
      </c>
      <c r="U378" s="451">
        <f t="shared" si="27"/>
        <v>20538</v>
      </c>
      <c r="V378" s="463">
        <v>2079</v>
      </c>
      <c r="W378" s="459">
        <v>2117</v>
      </c>
      <c r="X378" s="463">
        <v>0</v>
      </c>
      <c r="Y378" s="459">
        <v>15</v>
      </c>
      <c r="Z378" s="463">
        <v>14854</v>
      </c>
      <c r="AA378" s="463">
        <v>0</v>
      </c>
      <c r="AB378" s="463">
        <v>2427</v>
      </c>
      <c r="AC378" s="459">
        <v>15461</v>
      </c>
      <c r="AD378" s="459">
        <v>0</v>
      </c>
      <c r="AE378" s="459">
        <v>2206</v>
      </c>
      <c r="AF378" s="463">
        <v>668</v>
      </c>
      <c r="AG378" s="617">
        <v>739</v>
      </c>
      <c r="AH378" s="623"/>
      <c r="AI378" s="623"/>
    </row>
    <row r="379" spans="1:35" s="14" customFormat="1" ht="15.75" customHeight="1">
      <c r="A379" s="466" t="s">
        <v>385</v>
      </c>
      <c r="B379" s="480" t="s">
        <v>392</v>
      </c>
      <c r="C379" s="562"/>
      <c r="D379" s="509">
        <v>221847</v>
      </c>
      <c r="E379" s="509">
        <v>3</v>
      </c>
      <c r="F379" s="450">
        <f t="shared" si="24"/>
        <v>240055</v>
      </c>
      <c r="G379" s="451">
        <f t="shared" si="25"/>
        <v>231112</v>
      </c>
      <c r="H379" s="463">
        <v>125584</v>
      </c>
      <c r="I379" s="459">
        <v>96987</v>
      </c>
      <c r="J379" s="463">
        <v>4399</v>
      </c>
      <c r="K379" s="459">
        <v>2441</v>
      </c>
      <c r="L379" s="463">
        <v>37308</v>
      </c>
      <c r="M379" s="463">
        <v>0</v>
      </c>
      <c r="N379" s="463">
        <v>70348</v>
      </c>
      <c r="O379" s="459">
        <v>61464</v>
      </c>
      <c r="P379" s="459">
        <v>0</v>
      </c>
      <c r="Q379" s="459">
        <v>68171</v>
      </c>
      <c r="R379" s="463">
        <v>2416</v>
      </c>
      <c r="S379" s="459">
        <v>2049</v>
      </c>
      <c r="T379" s="450">
        <f t="shared" si="26"/>
        <v>18595</v>
      </c>
      <c r="U379" s="451">
        <f t="shared" si="27"/>
        <v>20795</v>
      </c>
      <c r="V379" s="463">
        <v>2914</v>
      </c>
      <c r="W379" s="459">
        <v>2122</v>
      </c>
      <c r="X379" s="463">
        <v>54</v>
      </c>
      <c r="Y379" s="459">
        <v>0</v>
      </c>
      <c r="Z379" s="463">
        <v>11823</v>
      </c>
      <c r="AA379" s="463">
        <v>0</v>
      </c>
      <c r="AB379" s="463">
        <v>2950</v>
      </c>
      <c r="AC379" s="459">
        <v>14363</v>
      </c>
      <c r="AD379" s="459">
        <v>0</v>
      </c>
      <c r="AE379" s="459">
        <v>3285</v>
      </c>
      <c r="AF379" s="463">
        <v>854</v>
      </c>
      <c r="AG379" s="617">
        <v>1025</v>
      </c>
      <c r="AH379" s="623"/>
      <c r="AI379" s="623"/>
    </row>
    <row r="380" spans="1:35" s="14" customFormat="1" ht="15.75" customHeight="1">
      <c r="A380" s="481" t="s">
        <v>385</v>
      </c>
      <c r="B380" s="480" t="s">
        <v>393</v>
      </c>
      <c r="C380" s="562"/>
      <c r="D380" s="509">
        <v>221740</v>
      </c>
      <c r="E380" s="509">
        <v>3</v>
      </c>
      <c r="F380" s="450">
        <f t="shared" si="24"/>
        <v>287566</v>
      </c>
      <c r="G380" s="451">
        <f t="shared" si="25"/>
        <v>279262</v>
      </c>
      <c r="H380" s="463">
        <v>104332</v>
      </c>
      <c r="I380" s="459">
        <v>112406</v>
      </c>
      <c r="J380" s="463">
        <v>140</v>
      </c>
      <c r="K380" s="459">
        <v>0</v>
      </c>
      <c r="L380" s="463">
        <v>182164</v>
      </c>
      <c r="M380" s="463">
        <v>0</v>
      </c>
      <c r="N380" s="463">
        <v>3</v>
      </c>
      <c r="O380" s="459">
        <v>165928</v>
      </c>
      <c r="P380" s="459">
        <v>0</v>
      </c>
      <c r="Q380" s="459">
        <v>0</v>
      </c>
      <c r="R380" s="463">
        <v>927</v>
      </c>
      <c r="S380" s="459">
        <v>928</v>
      </c>
      <c r="T380" s="450">
        <f t="shared" si="26"/>
        <v>27496</v>
      </c>
      <c r="U380" s="451">
        <f t="shared" si="27"/>
        <v>28693</v>
      </c>
      <c r="V380" s="463">
        <v>8448</v>
      </c>
      <c r="W380" s="459">
        <v>12155</v>
      </c>
      <c r="X380" s="463">
        <v>0</v>
      </c>
      <c r="Y380" s="459">
        <v>0</v>
      </c>
      <c r="Z380" s="463">
        <v>18846</v>
      </c>
      <c r="AA380" s="463">
        <v>0</v>
      </c>
      <c r="AB380" s="463">
        <v>0</v>
      </c>
      <c r="AC380" s="459">
        <v>16187</v>
      </c>
      <c r="AD380" s="459">
        <v>0</v>
      </c>
      <c r="AE380" s="459">
        <v>0</v>
      </c>
      <c r="AF380" s="463">
        <v>202</v>
      </c>
      <c r="AG380" s="617">
        <v>351</v>
      </c>
      <c r="AH380" s="623"/>
      <c r="AI380" s="623"/>
    </row>
    <row r="381" spans="1:35" s="14" customFormat="1" ht="15.75" customHeight="1">
      <c r="A381" s="481" t="s">
        <v>385</v>
      </c>
      <c r="B381" s="480" t="s">
        <v>394</v>
      </c>
      <c r="C381" s="561"/>
      <c r="D381" s="563">
        <v>221768</v>
      </c>
      <c r="E381" s="564">
        <v>4</v>
      </c>
      <c r="F381" s="450">
        <f t="shared" si="24"/>
        <v>159845</v>
      </c>
      <c r="G381" s="451">
        <f t="shared" si="25"/>
        <v>148421</v>
      </c>
      <c r="H381" s="463">
        <v>77520</v>
      </c>
      <c r="I381" s="459">
        <v>72657</v>
      </c>
      <c r="J381" s="463">
        <v>11065</v>
      </c>
      <c r="K381" s="459">
        <v>10538</v>
      </c>
      <c r="L381" s="463">
        <v>68830</v>
      </c>
      <c r="M381" s="463">
        <v>2174</v>
      </c>
      <c r="N381" s="463">
        <v>72</v>
      </c>
      <c r="O381" s="459">
        <v>62851</v>
      </c>
      <c r="P381" s="459">
        <v>2146</v>
      </c>
      <c r="Q381" s="459">
        <v>3</v>
      </c>
      <c r="R381" s="463">
        <v>184</v>
      </c>
      <c r="S381" s="459">
        <v>226</v>
      </c>
      <c r="T381" s="450">
        <f t="shared" si="26"/>
        <v>11662</v>
      </c>
      <c r="U381" s="451">
        <f t="shared" si="27"/>
        <v>12352</v>
      </c>
      <c r="V381" s="463">
        <v>562</v>
      </c>
      <c r="W381" s="459">
        <v>715</v>
      </c>
      <c r="X381" s="463">
        <v>0</v>
      </c>
      <c r="Y381" s="459">
        <v>24</v>
      </c>
      <c r="Z381" s="463">
        <v>11100</v>
      </c>
      <c r="AA381" s="463">
        <v>0</v>
      </c>
      <c r="AB381" s="463">
        <v>0</v>
      </c>
      <c r="AC381" s="459">
        <v>11425</v>
      </c>
      <c r="AD381" s="459">
        <v>188</v>
      </c>
      <c r="AE381" s="459">
        <v>0</v>
      </c>
      <c r="AF381" s="463">
        <v>0</v>
      </c>
      <c r="AG381" s="617">
        <v>0</v>
      </c>
      <c r="AH381" s="623"/>
      <c r="AI381" s="623"/>
    </row>
    <row r="382" spans="1:35" s="14" customFormat="1" ht="15.75" customHeight="1">
      <c r="A382" s="466" t="s">
        <v>385</v>
      </c>
      <c r="B382" s="480" t="s">
        <v>395</v>
      </c>
      <c r="C382" s="565" t="s">
        <v>938</v>
      </c>
      <c r="D382" s="509">
        <v>219824</v>
      </c>
      <c r="E382" s="509">
        <v>8</v>
      </c>
      <c r="F382" s="450">
        <f t="shared" si="24"/>
        <v>111678</v>
      </c>
      <c r="G382" s="451">
        <f t="shared" si="25"/>
        <v>100532</v>
      </c>
      <c r="H382" s="463">
        <v>43222</v>
      </c>
      <c r="I382" s="459">
        <v>20758</v>
      </c>
      <c r="J382" s="463">
        <v>3836</v>
      </c>
      <c r="K382" s="459">
        <v>3838</v>
      </c>
      <c r="L382" s="463">
        <v>53542</v>
      </c>
      <c r="M382" s="463">
        <v>0</v>
      </c>
      <c r="N382" s="463">
        <v>10785</v>
      </c>
      <c r="O382" s="459">
        <v>53194</v>
      </c>
      <c r="P382" s="459">
        <v>0</v>
      </c>
      <c r="Q382" s="459">
        <v>22525</v>
      </c>
      <c r="R382" s="463">
        <v>293</v>
      </c>
      <c r="S382" s="459">
        <v>217</v>
      </c>
      <c r="T382" s="450">
        <f t="shared" si="26"/>
        <v>0</v>
      </c>
      <c r="U382" s="451">
        <f t="shared" si="27"/>
        <v>0</v>
      </c>
      <c r="V382" s="463"/>
      <c r="W382" s="459"/>
      <c r="X382" s="463"/>
      <c r="Y382" s="459"/>
      <c r="Z382" s="463"/>
      <c r="AA382" s="463"/>
      <c r="AB382" s="463"/>
      <c r="AC382" s="459"/>
      <c r="AD382" s="459"/>
      <c r="AE382" s="459"/>
      <c r="AF382" s="463"/>
      <c r="AG382" s="617"/>
      <c r="AH382" s="623"/>
      <c r="AI382" s="623"/>
    </row>
    <row r="383" spans="1:35" s="14" customFormat="1" ht="15.75" customHeight="1">
      <c r="A383" s="481" t="s">
        <v>385</v>
      </c>
      <c r="B383" s="480" t="s">
        <v>396</v>
      </c>
      <c r="C383" s="565" t="s">
        <v>938</v>
      </c>
      <c r="D383" s="509">
        <v>221184</v>
      </c>
      <c r="E383" s="509">
        <v>8</v>
      </c>
      <c r="F383" s="450">
        <f t="shared" si="24"/>
        <v>146932</v>
      </c>
      <c r="G383" s="451">
        <f t="shared" si="25"/>
        <v>135870</v>
      </c>
      <c r="H383" s="463">
        <v>26576</v>
      </c>
      <c r="I383" s="459">
        <v>15706</v>
      </c>
      <c r="J383" s="463">
        <v>29122</v>
      </c>
      <c r="K383" s="459">
        <v>15376</v>
      </c>
      <c r="L383" s="463">
        <v>52562</v>
      </c>
      <c r="M383" s="463">
        <v>33</v>
      </c>
      <c r="N383" s="463">
        <v>38565</v>
      </c>
      <c r="O383" s="459">
        <v>54977</v>
      </c>
      <c r="P383" s="459">
        <v>0</v>
      </c>
      <c r="Q383" s="459">
        <v>49717</v>
      </c>
      <c r="R383" s="463">
        <v>74</v>
      </c>
      <c r="S383" s="459">
        <v>94</v>
      </c>
      <c r="T383" s="450">
        <f t="shared" si="26"/>
        <v>0</v>
      </c>
      <c r="U383" s="451">
        <f t="shared" si="27"/>
        <v>0</v>
      </c>
      <c r="V383" s="463"/>
      <c r="W383" s="459"/>
      <c r="X383" s="463"/>
      <c r="Y383" s="459"/>
      <c r="Z383" s="463"/>
      <c r="AA383" s="463"/>
      <c r="AB383" s="463"/>
      <c r="AC383" s="459"/>
      <c r="AD383" s="459"/>
      <c r="AE383" s="459"/>
      <c r="AF383" s="463"/>
      <c r="AG383" s="617"/>
      <c r="AH383" s="623"/>
      <c r="AI383" s="623"/>
    </row>
    <row r="384" spans="1:35" s="14" customFormat="1" ht="15.75" customHeight="1">
      <c r="A384" s="481" t="s">
        <v>385</v>
      </c>
      <c r="B384" s="480" t="s">
        <v>397</v>
      </c>
      <c r="C384" s="565"/>
      <c r="D384" s="509">
        <v>221643</v>
      </c>
      <c r="E384" s="509">
        <v>8</v>
      </c>
      <c r="F384" s="450">
        <f t="shared" si="24"/>
        <v>197859</v>
      </c>
      <c r="G384" s="451">
        <f t="shared" si="25"/>
        <v>138164</v>
      </c>
      <c r="H384" s="463">
        <v>43804</v>
      </c>
      <c r="I384" s="459">
        <v>23231</v>
      </c>
      <c r="J384" s="463">
        <v>22255</v>
      </c>
      <c r="K384" s="459">
        <v>14785</v>
      </c>
      <c r="L384" s="463">
        <v>116666</v>
      </c>
      <c r="M384" s="463">
        <v>75</v>
      </c>
      <c r="N384" s="463">
        <v>15005</v>
      </c>
      <c r="O384" s="459">
        <v>84913</v>
      </c>
      <c r="P384" s="459">
        <v>0</v>
      </c>
      <c r="Q384" s="459">
        <v>15054</v>
      </c>
      <c r="R384" s="463">
        <v>54</v>
      </c>
      <c r="S384" s="459">
        <v>181</v>
      </c>
      <c r="T384" s="450">
        <f t="shared" si="26"/>
        <v>0</v>
      </c>
      <c r="U384" s="451">
        <f t="shared" si="27"/>
        <v>0</v>
      </c>
      <c r="V384" s="463"/>
      <c r="W384" s="459"/>
      <c r="X384" s="463"/>
      <c r="Y384" s="459"/>
      <c r="Z384" s="463"/>
      <c r="AA384" s="463"/>
      <c r="AB384" s="463"/>
      <c r="AC384" s="459"/>
      <c r="AD384" s="459"/>
      <c r="AE384" s="459"/>
      <c r="AF384" s="463"/>
      <c r="AG384" s="617"/>
      <c r="AH384" s="623"/>
      <c r="AI384" s="623"/>
    </row>
    <row r="385" spans="1:35" s="14" customFormat="1" ht="15.75" customHeight="1">
      <c r="A385" s="466" t="s">
        <v>385</v>
      </c>
      <c r="B385" s="480" t="s">
        <v>398</v>
      </c>
      <c r="C385" s="565" t="s">
        <v>938</v>
      </c>
      <c r="D385" s="509">
        <v>221485</v>
      </c>
      <c r="E385" s="509">
        <v>8</v>
      </c>
      <c r="F385" s="450">
        <f t="shared" si="24"/>
        <v>160122</v>
      </c>
      <c r="G385" s="451">
        <f t="shared" si="25"/>
        <v>127431</v>
      </c>
      <c r="H385" s="463">
        <v>0</v>
      </c>
      <c r="I385" s="459">
        <v>0</v>
      </c>
      <c r="J385" s="463">
        <v>50423</v>
      </c>
      <c r="K385" s="459">
        <v>15782</v>
      </c>
      <c r="L385" s="463">
        <v>76484</v>
      </c>
      <c r="M385" s="463">
        <v>0</v>
      </c>
      <c r="N385" s="463">
        <v>33035</v>
      </c>
      <c r="O385" s="459">
        <v>69131</v>
      </c>
      <c r="P385" s="459">
        <v>462</v>
      </c>
      <c r="Q385" s="459">
        <v>41966</v>
      </c>
      <c r="R385" s="463">
        <v>180</v>
      </c>
      <c r="S385" s="459">
        <v>90</v>
      </c>
      <c r="T385" s="450">
        <f t="shared" si="26"/>
        <v>0</v>
      </c>
      <c r="U385" s="451">
        <f t="shared" si="27"/>
        <v>0</v>
      </c>
      <c r="V385" s="463"/>
      <c r="W385" s="459"/>
      <c r="X385" s="463"/>
      <c r="Y385" s="459"/>
      <c r="Z385" s="463"/>
      <c r="AA385" s="463"/>
      <c r="AB385" s="463"/>
      <c r="AC385" s="459"/>
      <c r="AD385" s="459"/>
      <c r="AE385" s="459"/>
      <c r="AF385" s="463"/>
      <c r="AG385" s="617"/>
      <c r="AH385" s="623"/>
      <c r="AI385" s="623"/>
    </row>
    <row r="386" spans="1:35" s="14" customFormat="1" ht="15.75" customHeight="1">
      <c r="A386" s="481" t="s">
        <v>385</v>
      </c>
      <c r="B386" s="480" t="s">
        <v>399</v>
      </c>
      <c r="C386" s="562"/>
      <c r="D386" s="509">
        <v>222053</v>
      </c>
      <c r="E386" s="509">
        <v>8</v>
      </c>
      <c r="F386" s="450">
        <f t="shared" si="24"/>
        <v>152858</v>
      </c>
      <c r="G386" s="451">
        <f t="shared" si="25"/>
        <v>130125</v>
      </c>
      <c r="H386" s="463">
        <v>35606</v>
      </c>
      <c r="I386" s="459">
        <v>20631</v>
      </c>
      <c r="J386" s="463">
        <v>13000</v>
      </c>
      <c r="K386" s="459">
        <v>6138</v>
      </c>
      <c r="L386" s="463">
        <v>96348</v>
      </c>
      <c r="M386" s="463">
        <v>1337</v>
      </c>
      <c r="N386" s="463">
        <v>6126</v>
      </c>
      <c r="O386" s="459">
        <v>90188</v>
      </c>
      <c r="P386" s="459">
        <v>6</v>
      </c>
      <c r="Q386" s="459">
        <v>12887</v>
      </c>
      <c r="R386" s="463">
        <v>441</v>
      </c>
      <c r="S386" s="459">
        <v>275</v>
      </c>
      <c r="T386" s="450">
        <f t="shared" si="26"/>
        <v>0</v>
      </c>
      <c r="U386" s="451">
        <f t="shared" si="27"/>
        <v>0</v>
      </c>
      <c r="V386" s="463"/>
      <c r="W386" s="459"/>
      <c r="X386" s="463"/>
      <c r="Y386" s="459"/>
      <c r="Z386" s="463"/>
      <c r="AA386" s="463"/>
      <c r="AB386" s="463"/>
      <c r="AC386" s="459"/>
      <c r="AD386" s="459"/>
      <c r="AE386" s="459"/>
      <c r="AF386" s="463"/>
      <c r="AG386" s="617"/>
      <c r="AH386" s="623"/>
      <c r="AI386" s="623"/>
    </row>
    <row r="387" spans="1:35" s="14" customFormat="1" ht="15.75" customHeight="1">
      <c r="A387" s="481" t="s">
        <v>385</v>
      </c>
      <c r="B387" s="480" t="s">
        <v>400</v>
      </c>
      <c r="C387" s="562"/>
      <c r="D387" s="509">
        <v>219879</v>
      </c>
      <c r="E387" s="509">
        <v>9</v>
      </c>
      <c r="F387" s="450">
        <f t="shared" si="24"/>
        <v>65272</v>
      </c>
      <c r="G387" s="451">
        <f t="shared" si="25"/>
        <v>58947</v>
      </c>
      <c r="H387" s="463">
        <v>16888</v>
      </c>
      <c r="I387" s="459">
        <v>7243</v>
      </c>
      <c r="J387" s="463">
        <v>6266</v>
      </c>
      <c r="K387" s="459">
        <v>5252</v>
      </c>
      <c r="L387" s="463">
        <v>19006</v>
      </c>
      <c r="M387" s="463">
        <v>51</v>
      </c>
      <c r="N387" s="463">
        <v>22423</v>
      </c>
      <c r="O387" s="459">
        <v>23040</v>
      </c>
      <c r="P387" s="459">
        <v>609</v>
      </c>
      <c r="Q387" s="459">
        <v>21587</v>
      </c>
      <c r="R387" s="463">
        <v>638</v>
      </c>
      <c r="S387" s="459">
        <v>1216</v>
      </c>
      <c r="T387" s="450">
        <f t="shared" si="26"/>
        <v>0</v>
      </c>
      <c r="U387" s="451">
        <f t="shared" si="27"/>
        <v>0</v>
      </c>
      <c r="V387" s="463"/>
      <c r="W387" s="459"/>
      <c r="X387" s="463"/>
      <c r="Y387" s="459"/>
      <c r="Z387" s="463"/>
      <c r="AA387" s="463"/>
      <c r="AB387" s="463"/>
      <c r="AC387" s="459"/>
      <c r="AD387" s="459"/>
      <c r="AE387" s="459"/>
      <c r="AF387" s="463"/>
      <c r="AG387" s="617"/>
      <c r="AH387" s="623"/>
      <c r="AI387" s="623"/>
    </row>
    <row r="388" spans="1:35" s="14" customFormat="1" ht="15.75" customHeight="1">
      <c r="A388" s="466" t="s">
        <v>385</v>
      </c>
      <c r="B388" s="480" t="s">
        <v>401</v>
      </c>
      <c r="C388" s="562"/>
      <c r="D388" s="509">
        <v>219888</v>
      </c>
      <c r="E388" s="509">
        <v>9</v>
      </c>
      <c r="F388" s="450">
        <f t="shared" si="24"/>
        <v>80936</v>
      </c>
      <c r="G388" s="451">
        <f t="shared" si="25"/>
        <v>55214</v>
      </c>
      <c r="H388" s="463">
        <v>16007</v>
      </c>
      <c r="I388" s="459">
        <v>6173</v>
      </c>
      <c r="J388" s="463">
        <v>20284</v>
      </c>
      <c r="K388" s="459">
        <v>8110</v>
      </c>
      <c r="L388" s="463">
        <v>35326</v>
      </c>
      <c r="M388" s="463">
        <v>0</v>
      </c>
      <c r="N388" s="463">
        <v>9087</v>
      </c>
      <c r="O388" s="459">
        <v>32463</v>
      </c>
      <c r="P388" s="459">
        <v>0</v>
      </c>
      <c r="Q388" s="459">
        <v>8240</v>
      </c>
      <c r="R388" s="463">
        <v>232</v>
      </c>
      <c r="S388" s="459">
        <v>228</v>
      </c>
      <c r="T388" s="450">
        <f t="shared" si="26"/>
        <v>0</v>
      </c>
      <c r="U388" s="451">
        <f t="shared" si="27"/>
        <v>0</v>
      </c>
      <c r="V388" s="463"/>
      <c r="W388" s="459"/>
      <c r="X388" s="463"/>
      <c r="Y388" s="459"/>
      <c r="Z388" s="463"/>
      <c r="AA388" s="463"/>
      <c r="AB388" s="463"/>
      <c r="AC388" s="459"/>
      <c r="AD388" s="459"/>
      <c r="AE388" s="459"/>
      <c r="AF388" s="463"/>
      <c r="AG388" s="617"/>
      <c r="AH388" s="623"/>
      <c r="AI388" s="623"/>
    </row>
    <row r="389" spans="1:35" s="14" customFormat="1" ht="15.75" customHeight="1">
      <c r="A389" s="481" t="s">
        <v>385</v>
      </c>
      <c r="B389" s="480" t="s">
        <v>403</v>
      </c>
      <c r="C389" s="562"/>
      <c r="D389" s="509">
        <v>220400</v>
      </c>
      <c r="E389" s="509">
        <v>9</v>
      </c>
      <c r="F389" s="450">
        <f t="shared" si="24"/>
        <v>69811</v>
      </c>
      <c r="G389" s="451">
        <f t="shared" si="25"/>
        <v>60606</v>
      </c>
      <c r="H389" s="463">
        <v>19249</v>
      </c>
      <c r="I389" s="459">
        <v>12949</v>
      </c>
      <c r="J389" s="463">
        <v>6835</v>
      </c>
      <c r="K389" s="459">
        <v>4442</v>
      </c>
      <c r="L389" s="463">
        <v>33536</v>
      </c>
      <c r="M389" s="463">
        <v>1402</v>
      </c>
      <c r="N389" s="463">
        <v>8788</v>
      </c>
      <c r="O389" s="459">
        <v>36292</v>
      </c>
      <c r="P389" s="459">
        <v>489</v>
      </c>
      <c r="Q389" s="459">
        <v>6428</v>
      </c>
      <c r="R389" s="463">
        <v>1</v>
      </c>
      <c r="S389" s="459">
        <v>6</v>
      </c>
      <c r="T389" s="450">
        <f t="shared" si="26"/>
        <v>0</v>
      </c>
      <c r="U389" s="451">
        <f t="shared" si="27"/>
        <v>0</v>
      </c>
      <c r="V389" s="463"/>
      <c r="W389" s="459"/>
      <c r="X389" s="463"/>
      <c r="Y389" s="459"/>
      <c r="Z389" s="463"/>
      <c r="AA389" s="463"/>
      <c r="AB389" s="463"/>
      <c r="AC389" s="459"/>
      <c r="AD389" s="459"/>
      <c r="AE389" s="459"/>
      <c r="AF389" s="463"/>
      <c r="AG389" s="617"/>
      <c r="AH389" s="623"/>
      <c r="AI389" s="623"/>
    </row>
    <row r="390" spans="1:35" s="14" customFormat="1" ht="15.75" customHeight="1">
      <c r="A390" s="481" t="s">
        <v>385</v>
      </c>
      <c r="B390" s="480" t="s">
        <v>404</v>
      </c>
      <c r="C390" s="562"/>
      <c r="D390" s="509">
        <v>221096</v>
      </c>
      <c r="E390" s="509">
        <v>9</v>
      </c>
      <c r="F390" s="450">
        <f t="shared" si="24"/>
        <v>120033</v>
      </c>
      <c r="G390" s="451">
        <f t="shared" si="25"/>
        <v>98319</v>
      </c>
      <c r="H390" s="463">
        <v>9460</v>
      </c>
      <c r="I390" s="459">
        <v>5282</v>
      </c>
      <c r="J390" s="463">
        <v>36805</v>
      </c>
      <c r="K390" s="459">
        <v>23465</v>
      </c>
      <c r="L390" s="463">
        <v>61237</v>
      </c>
      <c r="M390" s="463">
        <v>2512</v>
      </c>
      <c r="N390" s="463">
        <v>9776</v>
      </c>
      <c r="O390" s="459">
        <v>63037</v>
      </c>
      <c r="P390" s="459">
        <v>533</v>
      </c>
      <c r="Q390" s="459">
        <v>5819</v>
      </c>
      <c r="R390" s="463">
        <v>243</v>
      </c>
      <c r="S390" s="459">
        <v>183</v>
      </c>
      <c r="T390" s="450">
        <f t="shared" si="26"/>
        <v>0</v>
      </c>
      <c r="U390" s="451">
        <f t="shared" si="27"/>
        <v>0</v>
      </c>
      <c r="V390" s="463"/>
      <c r="W390" s="459"/>
      <c r="X390" s="463"/>
      <c r="Y390" s="459"/>
      <c r="Z390" s="463"/>
      <c r="AA390" s="463"/>
      <c r="AB390" s="463"/>
      <c r="AC390" s="459"/>
      <c r="AD390" s="459"/>
      <c r="AE390" s="459"/>
      <c r="AF390" s="463"/>
      <c r="AG390" s="617"/>
      <c r="AH390" s="623"/>
      <c r="AI390" s="623"/>
    </row>
    <row r="391" spans="1:35" s="14" customFormat="1" ht="15.75" customHeight="1">
      <c r="A391" s="466" t="s">
        <v>385</v>
      </c>
      <c r="B391" s="480" t="s">
        <v>405</v>
      </c>
      <c r="C391" s="562"/>
      <c r="D391" s="509">
        <v>221908</v>
      </c>
      <c r="E391" s="509">
        <v>9</v>
      </c>
      <c r="F391" s="450">
        <f t="shared" si="24"/>
        <v>107998</v>
      </c>
      <c r="G391" s="451">
        <f t="shared" si="25"/>
        <v>97586</v>
      </c>
      <c r="H391" s="463">
        <v>32806</v>
      </c>
      <c r="I391" s="459">
        <v>18625</v>
      </c>
      <c r="J391" s="463">
        <v>20933</v>
      </c>
      <c r="K391" s="459">
        <v>18602</v>
      </c>
      <c r="L391" s="463">
        <v>48996</v>
      </c>
      <c r="M391" s="463">
        <v>727</v>
      </c>
      <c r="N391" s="463">
        <v>4405</v>
      </c>
      <c r="O391" s="459">
        <v>49272</v>
      </c>
      <c r="P391" s="459">
        <v>48</v>
      </c>
      <c r="Q391" s="459">
        <v>10896</v>
      </c>
      <c r="R391" s="463">
        <v>131</v>
      </c>
      <c r="S391" s="459">
        <v>143</v>
      </c>
      <c r="T391" s="450">
        <f t="shared" si="26"/>
        <v>0</v>
      </c>
      <c r="U391" s="451">
        <f t="shared" si="27"/>
        <v>0</v>
      </c>
      <c r="V391" s="463"/>
      <c r="W391" s="459"/>
      <c r="X391" s="463"/>
      <c r="Y391" s="459"/>
      <c r="Z391" s="463"/>
      <c r="AA391" s="463"/>
      <c r="AB391" s="463"/>
      <c r="AC391" s="459"/>
      <c r="AD391" s="459"/>
      <c r="AE391" s="459"/>
      <c r="AF391" s="463"/>
      <c r="AG391" s="617"/>
      <c r="AH391" s="623"/>
      <c r="AI391" s="623"/>
    </row>
    <row r="392" spans="1:35" s="14" customFormat="1" ht="15.75" customHeight="1">
      <c r="A392" s="481" t="s">
        <v>385</v>
      </c>
      <c r="B392" s="480" t="s">
        <v>406</v>
      </c>
      <c r="C392" s="562"/>
      <c r="D392" s="509">
        <v>221397</v>
      </c>
      <c r="E392" s="509">
        <v>9</v>
      </c>
      <c r="F392" s="450">
        <f t="shared" ref="F392:F455" si="28">SUM(H392,J392,L392,M392,N392,R392)</f>
        <v>107267</v>
      </c>
      <c r="G392" s="451">
        <f t="shared" ref="G392:G455" si="29">SUM(I392,K392,O392,P392,Q392,S392)</f>
        <v>89038</v>
      </c>
      <c r="H392" s="463">
        <v>13436</v>
      </c>
      <c r="I392" s="459">
        <v>6738</v>
      </c>
      <c r="J392" s="463">
        <v>47461</v>
      </c>
      <c r="K392" s="459">
        <v>27064</v>
      </c>
      <c r="L392" s="463">
        <v>33808</v>
      </c>
      <c r="M392" s="463">
        <v>3543</v>
      </c>
      <c r="N392" s="463">
        <v>8970</v>
      </c>
      <c r="O392" s="459">
        <v>46551</v>
      </c>
      <c r="P392" s="459">
        <v>1405</v>
      </c>
      <c r="Q392" s="459">
        <v>7245</v>
      </c>
      <c r="R392" s="463">
        <v>49</v>
      </c>
      <c r="S392" s="459">
        <v>35</v>
      </c>
      <c r="T392" s="450">
        <f t="shared" ref="T392:T455" si="30">SUM(V392,X392,Z392,AA392,AB392,AF392)</f>
        <v>0</v>
      </c>
      <c r="U392" s="451">
        <f t="shared" ref="U392:U455" si="31">SUM(W392,Y392,AC392,AD392,AE392,AG392)</f>
        <v>0</v>
      </c>
      <c r="V392" s="463"/>
      <c r="W392" s="459"/>
      <c r="X392" s="463"/>
      <c r="Y392" s="459"/>
      <c r="Z392" s="463"/>
      <c r="AA392" s="463"/>
      <c r="AB392" s="463"/>
      <c r="AC392" s="459"/>
      <c r="AD392" s="459"/>
      <c r="AE392" s="459"/>
      <c r="AF392" s="463"/>
      <c r="AG392" s="617"/>
      <c r="AH392" s="623"/>
      <c r="AI392" s="623"/>
    </row>
    <row r="393" spans="1:35" s="14" customFormat="1" ht="15.75" customHeight="1">
      <c r="A393" s="481" t="s">
        <v>385</v>
      </c>
      <c r="B393" s="480" t="s">
        <v>407</v>
      </c>
      <c r="C393" s="562"/>
      <c r="D393" s="509">
        <v>222062</v>
      </c>
      <c r="E393" s="509">
        <v>9</v>
      </c>
      <c r="F393" s="450">
        <f t="shared" si="28"/>
        <v>108190</v>
      </c>
      <c r="G393" s="451">
        <f t="shared" si="29"/>
        <v>82225</v>
      </c>
      <c r="H393" s="463">
        <v>19500</v>
      </c>
      <c r="I393" s="459">
        <v>6068</v>
      </c>
      <c r="J393" s="463">
        <v>21455</v>
      </c>
      <c r="K393" s="459">
        <v>13226</v>
      </c>
      <c r="L393" s="463">
        <v>31058</v>
      </c>
      <c r="M393" s="463">
        <v>3512</v>
      </c>
      <c r="N393" s="463">
        <v>32665</v>
      </c>
      <c r="O393" s="459">
        <v>37094</v>
      </c>
      <c r="P393" s="459">
        <v>54</v>
      </c>
      <c r="Q393" s="459">
        <v>25783</v>
      </c>
      <c r="R393" s="463">
        <v>0</v>
      </c>
      <c r="S393" s="459">
        <v>0</v>
      </c>
      <c r="T393" s="450">
        <f t="shared" si="30"/>
        <v>0</v>
      </c>
      <c r="U393" s="451">
        <f t="shared" si="31"/>
        <v>0</v>
      </c>
      <c r="V393" s="463"/>
      <c r="W393" s="459"/>
      <c r="X393" s="463"/>
      <c r="Y393" s="459"/>
      <c r="Z393" s="463"/>
      <c r="AA393" s="463"/>
      <c r="AB393" s="463"/>
      <c r="AC393" s="459"/>
      <c r="AD393" s="459"/>
      <c r="AE393" s="459"/>
      <c r="AF393" s="463"/>
      <c r="AG393" s="617"/>
      <c r="AH393" s="623"/>
      <c r="AI393" s="623"/>
    </row>
    <row r="394" spans="1:35" s="14" customFormat="1" ht="15.75" customHeight="1">
      <c r="A394" s="466" t="s">
        <v>385</v>
      </c>
      <c r="B394" s="480" t="s">
        <v>402</v>
      </c>
      <c r="C394" s="561"/>
      <c r="D394" s="509">
        <v>220057</v>
      </c>
      <c r="E394" s="509">
        <v>10</v>
      </c>
      <c r="F394" s="450">
        <f t="shared" si="28"/>
        <v>51028</v>
      </c>
      <c r="G394" s="451">
        <f t="shared" si="29"/>
        <v>40734</v>
      </c>
      <c r="H394" s="463">
        <v>13815</v>
      </c>
      <c r="I394" s="459">
        <v>9103</v>
      </c>
      <c r="J394" s="463">
        <v>16581</v>
      </c>
      <c r="K394" s="459">
        <v>11161</v>
      </c>
      <c r="L394" s="463">
        <v>16548</v>
      </c>
      <c r="M394" s="463">
        <v>2798</v>
      </c>
      <c r="N394" s="463">
        <v>1020</v>
      </c>
      <c r="O394" s="459">
        <v>19326</v>
      </c>
      <c r="P394" s="459">
        <v>0</v>
      </c>
      <c r="Q394" s="459">
        <v>959</v>
      </c>
      <c r="R394" s="463">
        <v>266</v>
      </c>
      <c r="S394" s="459">
        <v>185</v>
      </c>
      <c r="T394" s="450">
        <f t="shared" si="30"/>
        <v>0</v>
      </c>
      <c r="U394" s="451">
        <f t="shared" si="31"/>
        <v>0</v>
      </c>
      <c r="V394" s="463"/>
      <c r="W394" s="459"/>
      <c r="X394" s="463"/>
      <c r="Y394" s="459"/>
      <c r="Z394" s="463"/>
      <c r="AA394" s="463"/>
      <c r="AB394" s="463"/>
      <c r="AC394" s="459"/>
      <c r="AD394" s="459"/>
      <c r="AE394" s="459"/>
      <c r="AF394" s="463"/>
      <c r="AG394" s="617"/>
      <c r="AH394" s="623"/>
      <c r="AI394" s="623"/>
    </row>
    <row r="395" spans="1:35" s="14" customFormat="1" ht="15" customHeight="1">
      <c r="A395" s="481" t="s">
        <v>385</v>
      </c>
      <c r="B395" s="480" t="s">
        <v>410</v>
      </c>
      <c r="C395" s="559"/>
      <c r="D395" s="509">
        <v>219596</v>
      </c>
      <c r="E395" s="509">
        <v>13</v>
      </c>
      <c r="F395" s="450">
        <f t="shared" si="28"/>
        <v>0</v>
      </c>
      <c r="G395" s="451">
        <f t="shared" si="29"/>
        <v>0</v>
      </c>
      <c r="H395" s="463"/>
      <c r="I395" s="459"/>
      <c r="J395" s="463"/>
      <c r="K395" s="459"/>
      <c r="L395" s="463"/>
      <c r="M395" s="463"/>
      <c r="N395" s="463"/>
      <c r="O395" s="459"/>
      <c r="P395" s="459"/>
      <c r="Q395" s="459"/>
      <c r="R395" s="463"/>
      <c r="S395" s="459"/>
      <c r="T395" s="450">
        <f t="shared" si="30"/>
        <v>0</v>
      </c>
      <c r="U395" s="451">
        <f t="shared" si="31"/>
        <v>0</v>
      </c>
      <c r="V395" s="463"/>
      <c r="W395" s="459"/>
      <c r="X395" s="463"/>
      <c r="Y395" s="459"/>
      <c r="Z395" s="463"/>
      <c r="AA395" s="463"/>
      <c r="AB395" s="463"/>
      <c r="AC395" s="459"/>
      <c r="AD395" s="459"/>
      <c r="AE395" s="459"/>
      <c r="AF395" s="463"/>
      <c r="AG395" s="617"/>
      <c r="AH395" s="623"/>
      <c r="AI395" s="623"/>
    </row>
    <row r="396" spans="1:35" s="14" customFormat="1" ht="15.75" customHeight="1">
      <c r="A396" s="481" t="s">
        <v>385</v>
      </c>
      <c r="B396" s="480" t="s">
        <v>408</v>
      </c>
      <c r="C396" s="562"/>
      <c r="D396" s="509" t="s">
        <v>409</v>
      </c>
      <c r="E396" s="509">
        <v>13</v>
      </c>
      <c r="F396" s="450">
        <f t="shared" si="28"/>
        <v>0</v>
      </c>
      <c r="G396" s="451">
        <f t="shared" si="29"/>
        <v>0</v>
      </c>
      <c r="H396" s="463"/>
      <c r="I396" s="459"/>
      <c r="J396" s="463"/>
      <c r="K396" s="459"/>
      <c r="L396" s="463"/>
      <c r="M396" s="463"/>
      <c r="N396" s="463"/>
      <c r="O396" s="459"/>
      <c r="P396" s="459"/>
      <c r="Q396" s="459"/>
      <c r="R396" s="463"/>
      <c r="S396" s="459"/>
      <c r="T396" s="450">
        <f t="shared" si="30"/>
        <v>0</v>
      </c>
      <c r="U396" s="451">
        <f t="shared" si="31"/>
        <v>0</v>
      </c>
      <c r="V396" s="463"/>
      <c r="W396" s="459"/>
      <c r="X396" s="463"/>
      <c r="Y396" s="459"/>
      <c r="Z396" s="463"/>
      <c r="AA396" s="463"/>
      <c r="AB396" s="463"/>
      <c r="AC396" s="459"/>
      <c r="AD396" s="459"/>
      <c r="AE396" s="459"/>
      <c r="AF396" s="463"/>
      <c r="AG396" s="617"/>
      <c r="AH396" s="623"/>
      <c r="AI396" s="623"/>
    </row>
    <row r="397" spans="1:35" s="464" customFormat="1">
      <c r="A397" s="466" t="s">
        <v>385</v>
      </c>
      <c r="B397" s="480" t="s">
        <v>411</v>
      </c>
      <c r="C397" s="559"/>
      <c r="D397" s="509">
        <v>219921</v>
      </c>
      <c r="E397" s="509">
        <v>13</v>
      </c>
      <c r="F397" s="450">
        <f t="shared" si="28"/>
        <v>0</v>
      </c>
      <c r="G397" s="451">
        <f t="shared" si="29"/>
        <v>0</v>
      </c>
      <c r="H397" s="463"/>
      <c r="I397" s="459"/>
      <c r="J397" s="463"/>
      <c r="K397" s="459"/>
      <c r="L397" s="463"/>
      <c r="M397" s="463"/>
      <c r="N397" s="463"/>
      <c r="O397" s="459"/>
      <c r="P397" s="459"/>
      <c r="Q397" s="459"/>
      <c r="R397" s="463"/>
      <c r="S397" s="459"/>
      <c r="T397" s="450">
        <f t="shared" si="30"/>
        <v>0</v>
      </c>
      <c r="U397" s="451">
        <f t="shared" si="31"/>
        <v>0</v>
      </c>
      <c r="V397" s="463"/>
      <c r="W397" s="459"/>
      <c r="X397" s="463"/>
      <c r="Y397" s="459"/>
      <c r="Z397" s="463"/>
      <c r="AA397" s="463"/>
      <c r="AB397" s="463"/>
      <c r="AC397" s="459"/>
      <c r="AD397" s="459"/>
      <c r="AE397" s="459"/>
      <c r="AF397" s="463"/>
      <c r="AG397" s="617"/>
    </row>
    <row r="398" spans="1:35" s="464" customFormat="1">
      <c r="A398" s="481" t="s">
        <v>385</v>
      </c>
      <c r="B398" s="480" t="s">
        <v>412</v>
      </c>
      <c r="C398" s="560"/>
      <c r="D398" s="509">
        <v>221591</v>
      </c>
      <c r="E398" s="509">
        <v>13</v>
      </c>
      <c r="F398" s="450">
        <f t="shared" si="28"/>
        <v>0</v>
      </c>
      <c r="G398" s="451">
        <f t="shared" si="29"/>
        <v>0</v>
      </c>
      <c r="H398" s="463"/>
      <c r="I398" s="459"/>
      <c r="J398" s="463"/>
      <c r="K398" s="459"/>
      <c r="L398" s="463"/>
      <c r="M398" s="463"/>
      <c r="N398" s="463"/>
      <c r="O398" s="459"/>
      <c r="P398" s="459"/>
      <c r="Q398" s="459"/>
      <c r="R398" s="463"/>
      <c r="S398" s="459"/>
      <c r="T398" s="450">
        <f t="shared" si="30"/>
        <v>0</v>
      </c>
      <c r="U398" s="451">
        <f t="shared" si="31"/>
        <v>0</v>
      </c>
      <c r="V398" s="463"/>
      <c r="W398" s="459"/>
      <c r="X398" s="463"/>
      <c r="Y398" s="459"/>
      <c r="Z398" s="463"/>
      <c r="AA398" s="463"/>
      <c r="AB398" s="463"/>
      <c r="AC398" s="459"/>
      <c r="AD398" s="459"/>
      <c r="AE398" s="459"/>
      <c r="AF398" s="463"/>
      <c r="AG398" s="617"/>
    </row>
    <row r="399" spans="1:35" s="464" customFormat="1">
      <c r="A399" s="481" t="s">
        <v>385</v>
      </c>
      <c r="B399" s="480" t="s">
        <v>413</v>
      </c>
      <c r="C399" s="559"/>
      <c r="D399" s="509">
        <v>221430</v>
      </c>
      <c r="E399" s="509">
        <v>13</v>
      </c>
      <c r="F399" s="450">
        <f t="shared" si="28"/>
        <v>0</v>
      </c>
      <c r="G399" s="451">
        <f t="shared" si="29"/>
        <v>0</v>
      </c>
      <c r="H399" s="463"/>
      <c r="I399" s="459"/>
      <c r="J399" s="463"/>
      <c r="K399" s="459"/>
      <c r="L399" s="463"/>
      <c r="M399" s="463"/>
      <c r="N399" s="463"/>
      <c r="O399" s="459"/>
      <c r="P399" s="459"/>
      <c r="Q399" s="459"/>
      <c r="R399" s="463"/>
      <c r="S399" s="459"/>
      <c r="T399" s="450">
        <f t="shared" si="30"/>
        <v>0</v>
      </c>
      <c r="U399" s="451">
        <f t="shared" si="31"/>
        <v>0</v>
      </c>
      <c r="V399" s="463"/>
      <c r="W399" s="459"/>
      <c r="X399" s="463"/>
      <c r="Y399" s="459"/>
      <c r="Z399" s="463"/>
      <c r="AA399" s="463"/>
      <c r="AB399" s="463"/>
      <c r="AC399" s="459"/>
      <c r="AD399" s="459"/>
      <c r="AE399" s="459"/>
      <c r="AF399" s="463"/>
      <c r="AG399" s="617"/>
    </row>
    <row r="400" spans="1:35" s="464" customFormat="1">
      <c r="A400" s="466" t="s">
        <v>385</v>
      </c>
      <c r="B400" s="480" t="s">
        <v>414</v>
      </c>
      <c r="C400" s="559"/>
      <c r="D400" s="509">
        <v>219994</v>
      </c>
      <c r="E400" s="509">
        <v>13</v>
      </c>
      <c r="F400" s="450">
        <f t="shared" si="28"/>
        <v>0</v>
      </c>
      <c r="G400" s="451">
        <f t="shared" si="29"/>
        <v>0</v>
      </c>
      <c r="H400" s="463"/>
      <c r="I400" s="459"/>
      <c r="J400" s="463"/>
      <c r="K400" s="459"/>
      <c r="L400" s="463"/>
      <c r="M400" s="463"/>
      <c r="N400" s="463"/>
      <c r="O400" s="459"/>
      <c r="P400" s="459"/>
      <c r="Q400" s="459"/>
      <c r="R400" s="463"/>
      <c r="S400" s="459"/>
      <c r="T400" s="450">
        <f t="shared" si="30"/>
        <v>0</v>
      </c>
      <c r="U400" s="451">
        <f t="shared" si="31"/>
        <v>0</v>
      </c>
      <c r="V400" s="463"/>
      <c r="W400" s="459"/>
      <c r="X400" s="463"/>
      <c r="Y400" s="459"/>
      <c r="Z400" s="463"/>
      <c r="AA400" s="463"/>
      <c r="AB400" s="463"/>
      <c r="AC400" s="459"/>
      <c r="AD400" s="459"/>
      <c r="AE400" s="459"/>
      <c r="AF400" s="463"/>
      <c r="AG400" s="617"/>
    </row>
    <row r="401" spans="1:35" s="14" customFormat="1" ht="15" customHeight="1">
      <c r="A401" s="481" t="s">
        <v>385</v>
      </c>
      <c r="B401" s="480" t="s">
        <v>415</v>
      </c>
      <c r="C401" s="560"/>
      <c r="D401" s="509">
        <v>220127</v>
      </c>
      <c r="E401" s="509">
        <v>13</v>
      </c>
      <c r="F401" s="450">
        <f t="shared" si="28"/>
        <v>0</v>
      </c>
      <c r="G401" s="451">
        <f t="shared" si="29"/>
        <v>0</v>
      </c>
      <c r="H401" s="463"/>
      <c r="I401" s="459"/>
      <c r="J401" s="463"/>
      <c r="K401" s="459"/>
      <c r="L401" s="463"/>
      <c r="M401" s="463"/>
      <c r="N401" s="463"/>
      <c r="O401" s="459"/>
      <c r="P401" s="459"/>
      <c r="Q401" s="459"/>
      <c r="R401" s="463"/>
      <c r="S401" s="459"/>
      <c r="T401" s="450">
        <f t="shared" si="30"/>
        <v>0</v>
      </c>
      <c r="U401" s="451">
        <f t="shared" si="31"/>
        <v>0</v>
      </c>
      <c r="V401" s="463"/>
      <c r="W401" s="459"/>
      <c r="X401" s="463"/>
      <c r="Y401" s="459"/>
      <c r="Z401" s="463"/>
      <c r="AA401" s="463"/>
      <c r="AB401" s="463"/>
      <c r="AC401" s="459"/>
      <c r="AD401" s="459"/>
      <c r="AE401" s="459"/>
      <c r="AF401" s="463"/>
      <c r="AG401" s="617"/>
      <c r="AH401" s="623"/>
      <c r="AI401" s="623"/>
    </row>
    <row r="402" spans="1:35" s="464" customFormat="1">
      <c r="A402" s="481" t="s">
        <v>385</v>
      </c>
      <c r="B402" s="480" t="s">
        <v>416</v>
      </c>
      <c r="C402" s="559"/>
      <c r="D402" s="509">
        <v>220251</v>
      </c>
      <c r="E402" s="509">
        <v>13</v>
      </c>
      <c r="F402" s="450">
        <f t="shared" si="28"/>
        <v>0</v>
      </c>
      <c r="G402" s="451">
        <f t="shared" si="29"/>
        <v>0</v>
      </c>
      <c r="H402" s="463"/>
      <c r="I402" s="459"/>
      <c r="J402" s="463"/>
      <c r="K402" s="459"/>
      <c r="L402" s="463"/>
      <c r="M402" s="463"/>
      <c r="N402" s="463"/>
      <c r="O402" s="459"/>
      <c r="P402" s="459"/>
      <c r="Q402" s="459"/>
      <c r="R402" s="463"/>
      <c r="S402" s="459"/>
      <c r="T402" s="450">
        <f t="shared" si="30"/>
        <v>0</v>
      </c>
      <c r="U402" s="451">
        <f t="shared" si="31"/>
        <v>0</v>
      </c>
      <c r="V402" s="463"/>
      <c r="W402" s="459"/>
      <c r="X402" s="463"/>
      <c r="Y402" s="459"/>
      <c r="Z402" s="463"/>
      <c r="AA402" s="463"/>
      <c r="AB402" s="463"/>
      <c r="AC402" s="459"/>
      <c r="AD402" s="459"/>
      <c r="AE402" s="459"/>
      <c r="AF402" s="463"/>
      <c r="AG402" s="617"/>
    </row>
    <row r="403" spans="1:35" s="14" customFormat="1" ht="15" customHeight="1">
      <c r="A403" s="466" t="s">
        <v>385</v>
      </c>
      <c r="B403" s="480" t="s">
        <v>417</v>
      </c>
      <c r="C403" s="559"/>
      <c r="D403" s="509">
        <v>220279</v>
      </c>
      <c r="E403" s="509">
        <v>13</v>
      </c>
      <c r="F403" s="450">
        <f t="shared" si="28"/>
        <v>0</v>
      </c>
      <c r="G403" s="451">
        <f t="shared" si="29"/>
        <v>0</v>
      </c>
      <c r="H403" s="463"/>
      <c r="I403" s="459"/>
      <c r="J403" s="463"/>
      <c r="K403" s="459"/>
      <c r="L403" s="463"/>
      <c r="M403" s="463"/>
      <c r="N403" s="463"/>
      <c r="O403" s="459"/>
      <c r="P403" s="459"/>
      <c r="Q403" s="459"/>
      <c r="R403" s="463"/>
      <c r="S403" s="459"/>
      <c r="T403" s="450">
        <f t="shared" si="30"/>
        <v>0</v>
      </c>
      <c r="U403" s="451">
        <f t="shared" si="31"/>
        <v>0</v>
      </c>
      <c r="V403" s="463"/>
      <c r="W403" s="459"/>
      <c r="X403" s="463"/>
      <c r="Y403" s="459"/>
      <c r="Z403" s="463"/>
      <c r="AA403" s="463"/>
      <c r="AB403" s="463"/>
      <c r="AC403" s="459"/>
      <c r="AD403" s="459"/>
      <c r="AE403" s="459"/>
      <c r="AF403" s="463"/>
      <c r="AG403" s="617"/>
      <c r="AH403" s="623"/>
      <c r="AI403" s="623"/>
    </row>
    <row r="404" spans="1:35" s="464" customFormat="1">
      <c r="A404" s="481" t="s">
        <v>385</v>
      </c>
      <c r="B404" s="480" t="s">
        <v>418</v>
      </c>
      <c r="C404" s="560"/>
      <c r="D404" s="509">
        <v>220321</v>
      </c>
      <c r="E404" s="509">
        <v>13</v>
      </c>
      <c r="F404" s="450">
        <f t="shared" si="28"/>
        <v>0</v>
      </c>
      <c r="G404" s="451">
        <f t="shared" si="29"/>
        <v>0</v>
      </c>
      <c r="H404" s="463"/>
      <c r="I404" s="459"/>
      <c r="J404" s="463"/>
      <c r="K404" s="459"/>
      <c r="L404" s="463"/>
      <c r="M404" s="463"/>
      <c r="N404" s="463"/>
      <c r="O404" s="459"/>
      <c r="P404" s="459"/>
      <c r="Q404" s="459"/>
      <c r="R404" s="463"/>
      <c r="S404" s="459"/>
      <c r="T404" s="450">
        <f t="shared" si="30"/>
        <v>0</v>
      </c>
      <c r="U404" s="451">
        <f t="shared" si="31"/>
        <v>0</v>
      </c>
      <c r="V404" s="463"/>
      <c r="W404" s="459"/>
      <c r="X404" s="463"/>
      <c r="Y404" s="459"/>
      <c r="Z404" s="463"/>
      <c r="AA404" s="463"/>
      <c r="AB404" s="463"/>
      <c r="AC404" s="459"/>
      <c r="AD404" s="459"/>
      <c r="AE404" s="459"/>
      <c r="AF404" s="463"/>
      <c r="AG404" s="617"/>
    </row>
    <row r="405" spans="1:35" s="464" customFormat="1">
      <c r="A405" s="481" t="s">
        <v>385</v>
      </c>
      <c r="B405" s="480" t="s">
        <v>419</v>
      </c>
      <c r="C405" s="559"/>
      <c r="D405" s="509">
        <v>220394</v>
      </c>
      <c r="E405" s="509">
        <v>13</v>
      </c>
      <c r="F405" s="450">
        <f t="shared" si="28"/>
        <v>0</v>
      </c>
      <c r="G405" s="451">
        <f t="shared" si="29"/>
        <v>0</v>
      </c>
      <c r="H405" s="463"/>
      <c r="I405" s="459"/>
      <c r="J405" s="463"/>
      <c r="K405" s="459"/>
      <c r="L405" s="463"/>
      <c r="M405" s="463"/>
      <c r="N405" s="463"/>
      <c r="O405" s="459"/>
      <c r="P405" s="459"/>
      <c r="Q405" s="459"/>
      <c r="R405" s="463"/>
      <c r="S405" s="459"/>
      <c r="T405" s="450">
        <f t="shared" si="30"/>
        <v>0</v>
      </c>
      <c r="U405" s="451">
        <f t="shared" si="31"/>
        <v>0</v>
      </c>
      <c r="V405" s="463"/>
      <c r="W405" s="459"/>
      <c r="X405" s="463"/>
      <c r="Y405" s="459"/>
      <c r="Z405" s="463"/>
      <c r="AA405" s="463"/>
      <c r="AB405" s="463"/>
      <c r="AC405" s="459"/>
      <c r="AD405" s="459"/>
      <c r="AE405" s="459"/>
      <c r="AF405" s="463"/>
      <c r="AG405" s="617"/>
    </row>
    <row r="406" spans="1:35" s="464" customFormat="1">
      <c r="A406" s="466" t="s">
        <v>385</v>
      </c>
      <c r="B406" s="480" t="s">
        <v>420</v>
      </c>
      <c r="C406" s="559"/>
      <c r="D406" s="509">
        <v>221616</v>
      </c>
      <c r="E406" s="509">
        <v>13</v>
      </c>
      <c r="F406" s="450">
        <f t="shared" si="28"/>
        <v>0</v>
      </c>
      <c r="G406" s="451">
        <f t="shared" si="29"/>
        <v>0</v>
      </c>
      <c r="H406" s="463"/>
      <c r="I406" s="459"/>
      <c r="J406" s="463"/>
      <c r="K406" s="459"/>
      <c r="L406" s="463"/>
      <c r="M406" s="463"/>
      <c r="N406" s="463"/>
      <c r="O406" s="459"/>
      <c r="P406" s="459"/>
      <c r="Q406" s="459"/>
      <c r="R406" s="463"/>
      <c r="S406" s="459"/>
      <c r="T406" s="450">
        <f t="shared" si="30"/>
        <v>0</v>
      </c>
      <c r="U406" s="451">
        <f t="shared" si="31"/>
        <v>0</v>
      </c>
      <c r="V406" s="463"/>
      <c r="W406" s="459"/>
      <c r="X406" s="463"/>
      <c r="Y406" s="459"/>
      <c r="Z406" s="463"/>
      <c r="AA406" s="463"/>
      <c r="AB406" s="463"/>
      <c r="AC406" s="459"/>
      <c r="AD406" s="459"/>
      <c r="AE406" s="459"/>
      <c r="AF406" s="463"/>
      <c r="AG406" s="617"/>
    </row>
    <row r="407" spans="1:35" s="464" customFormat="1">
      <c r="A407" s="481" t="s">
        <v>385</v>
      </c>
      <c r="B407" s="480" t="s">
        <v>421</v>
      </c>
      <c r="C407" s="560"/>
      <c r="D407" s="509">
        <v>221625</v>
      </c>
      <c r="E407" s="509">
        <v>13</v>
      </c>
      <c r="F407" s="450">
        <f t="shared" si="28"/>
        <v>0</v>
      </c>
      <c r="G407" s="451">
        <f t="shared" si="29"/>
        <v>0</v>
      </c>
      <c r="H407" s="463"/>
      <c r="I407" s="459"/>
      <c r="J407" s="463"/>
      <c r="K407" s="459"/>
      <c r="L407" s="463"/>
      <c r="M407" s="463"/>
      <c r="N407" s="463"/>
      <c r="O407" s="459"/>
      <c r="P407" s="459"/>
      <c r="Q407" s="459"/>
      <c r="R407" s="463"/>
      <c r="S407" s="459"/>
      <c r="T407" s="450">
        <f t="shared" si="30"/>
        <v>0</v>
      </c>
      <c r="U407" s="451">
        <f t="shared" si="31"/>
        <v>0</v>
      </c>
      <c r="V407" s="463"/>
      <c r="W407" s="459"/>
      <c r="X407" s="463"/>
      <c r="Y407" s="459"/>
      <c r="Z407" s="463"/>
      <c r="AA407" s="463"/>
      <c r="AB407" s="463"/>
      <c r="AC407" s="459"/>
      <c r="AD407" s="459"/>
      <c r="AE407" s="459"/>
      <c r="AF407" s="463"/>
      <c r="AG407" s="617"/>
    </row>
    <row r="408" spans="1:35" s="464" customFormat="1">
      <c r="A408" s="481" t="s">
        <v>385</v>
      </c>
      <c r="B408" s="480" t="s">
        <v>422</v>
      </c>
      <c r="C408" s="559"/>
      <c r="D408" s="509">
        <v>220640</v>
      </c>
      <c r="E408" s="509">
        <v>13</v>
      </c>
      <c r="F408" s="450">
        <f t="shared" si="28"/>
        <v>0</v>
      </c>
      <c r="G408" s="451">
        <f t="shared" si="29"/>
        <v>0</v>
      </c>
      <c r="H408" s="463"/>
      <c r="I408" s="459"/>
      <c r="J408" s="463"/>
      <c r="K408" s="459"/>
      <c r="L408" s="463"/>
      <c r="M408" s="463"/>
      <c r="N408" s="463"/>
      <c r="O408" s="459"/>
      <c r="P408" s="459"/>
      <c r="Q408" s="459"/>
      <c r="R408" s="463"/>
      <c r="S408" s="459"/>
      <c r="T408" s="450">
        <f t="shared" si="30"/>
        <v>0</v>
      </c>
      <c r="U408" s="451">
        <f t="shared" si="31"/>
        <v>0</v>
      </c>
      <c r="V408" s="463"/>
      <c r="W408" s="459"/>
      <c r="X408" s="463"/>
      <c r="Y408" s="459"/>
      <c r="Z408" s="463"/>
      <c r="AA408" s="463"/>
      <c r="AB408" s="463"/>
      <c r="AC408" s="459"/>
      <c r="AD408" s="459"/>
      <c r="AE408" s="459"/>
      <c r="AF408" s="463"/>
      <c r="AG408" s="617"/>
    </row>
    <row r="409" spans="1:35" s="464" customFormat="1">
      <c r="A409" s="466" t="s">
        <v>385</v>
      </c>
      <c r="B409" s="480" t="s">
        <v>423</v>
      </c>
      <c r="C409" s="559"/>
      <c r="D409" s="509">
        <v>220756</v>
      </c>
      <c r="E409" s="509">
        <v>13</v>
      </c>
      <c r="F409" s="450">
        <f t="shared" si="28"/>
        <v>0</v>
      </c>
      <c r="G409" s="451">
        <f t="shared" si="29"/>
        <v>0</v>
      </c>
      <c r="H409" s="463"/>
      <c r="I409" s="459"/>
      <c r="J409" s="463"/>
      <c r="K409" s="459"/>
      <c r="L409" s="463"/>
      <c r="M409" s="463"/>
      <c r="N409" s="463"/>
      <c r="O409" s="459"/>
      <c r="P409" s="459"/>
      <c r="Q409" s="459"/>
      <c r="R409" s="463"/>
      <c r="S409" s="459"/>
      <c r="T409" s="450">
        <f t="shared" si="30"/>
        <v>0</v>
      </c>
      <c r="U409" s="451">
        <f t="shared" si="31"/>
        <v>0</v>
      </c>
      <c r="V409" s="463"/>
      <c r="W409" s="459"/>
      <c r="X409" s="463"/>
      <c r="Y409" s="459"/>
      <c r="Z409" s="463"/>
      <c r="AA409" s="463"/>
      <c r="AB409" s="463"/>
      <c r="AC409" s="459"/>
      <c r="AD409" s="459"/>
      <c r="AE409" s="459"/>
      <c r="AF409" s="463"/>
      <c r="AG409" s="617"/>
    </row>
    <row r="410" spans="1:35" s="464" customFormat="1">
      <c r="A410" s="481" t="s">
        <v>385</v>
      </c>
      <c r="B410" s="480" t="s">
        <v>424</v>
      </c>
      <c r="C410" s="560"/>
      <c r="D410" s="509">
        <v>221607</v>
      </c>
      <c r="E410" s="509">
        <v>13</v>
      </c>
      <c r="F410" s="450">
        <f t="shared" si="28"/>
        <v>0</v>
      </c>
      <c r="G410" s="451">
        <f t="shared" si="29"/>
        <v>0</v>
      </c>
      <c r="H410" s="463"/>
      <c r="I410" s="459"/>
      <c r="J410" s="463"/>
      <c r="K410" s="459"/>
      <c r="L410" s="463"/>
      <c r="M410" s="463"/>
      <c r="N410" s="463"/>
      <c r="O410" s="459"/>
      <c r="P410" s="459"/>
      <c r="Q410" s="459"/>
      <c r="R410" s="463"/>
      <c r="S410" s="459"/>
      <c r="T410" s="450">
        <f t="shared" si="30"/>
        <v>0</v>
      </c>
      <c r="U410" s="451">
        <f t="shared" si="31"/>
        <v>0</v>
      </c>
      <c r="V410" s="463"/>
      <c r="W410" s="459"/>
      <c r="X410" s="463"/>
      <c r="Y410" s="459"/>
      <c r="Z410" s="463"/>
      <c r="AA410" s="463"/>
      <c r="AB410" s="463"/>
      <c r="AC410" s="459"/>
      <c r="AD410" s="459"/>
      <c r="AE410" s="459"/>
      <c r="AF410" s="463"/>
      <c r="AG410" s="617"/>
    </row>
    <row r="411" spans="1:35" s="14" customFormat="1" ht="15" customHeight="1">
      <c r="A411" s="481" t="s">
        <v>385</v>
      </c>
      <c r="B411" s="480" t="s">
        <v>425</v>
      </c>
      <c r="C411" s="559" t="s">
        <v>920</v>
      </c>
      <c r="D411" s="509">
        <v>220853</v>
      </c>
      <c r="E411" s="509">
        <v>13</v>
      </c>
      <c r="F411" s="450">
        <f t="shared" si="28"/>
        <v>0</v>
      </c>
      <c r="G411" s="451">
        <f t="shared" si="29"/>
        <v>0</v>
      </c>
      <c r="H411" s="463"/>
      <c r="I411" s="459"/>
      <c r="J411" s="463"/>
      <c r="K411" s="459"/>
      <c r="L411" s="463"/>
      <c r="M411" s="463"/>
      <c r="N411" s="463"/>
      <c r="O411" s="459"/>
      <c r="P411" s="459"/>
      <c r="Q411" s="459"/>
      <c r="R411" s="463"/>
      <c r="S411" s="459"/>
      <c r="T411" s="450">
        <f t="shared" si="30"/>
        <v>0</v>
      </c>
      <c r="U411" s="451">
        <f t="shared" si="31"/>
        <v>0</v>
      </c>
      <c r="V411" s="463"/>
      <c r="W411" s="459"/>
      <c r="X411" s="463"/>
      <c r="Y411" s="459"/>
      <c r="Z411" s="463"/>
      <c r="AA411" s="463"/>
      <c r="AB411" s="463"/>
      <c r="AC411" s="459"/>
      <c r="AD411" s="459"/>
      <c r="AE411" s="459"/>
      <c r="AF411" s="463"/>
      <c r="AG411" s="617"/>
      <c r="AH411" s="623"/>
      <c r="AI411" s="623"/>
    </row>
    <row r="412" spans="1:35" s="14" customFormat="1" ht="15" customHeight="1">
      <c r="A412" s="466" t="s">
        <v>385</v>
      </c>
      <c r="B412" s="480" t="s">
        <v>426</v>
      </c>
      <c r="C412" s="559"/>
      <c r="D412" s="509">
        <v>221050</v>
      </c>
      <c r="E412" s="509">
        <v>13</v>
      </c>
      <c r="F412" s="450">
        <f t="shared" si="28"/>
        <v>0</v>
      </c>
      <c r="G412" s="451">
        <f t="shared" si="29"/>
        <v>0</v>
      </c>
      <c r="H412" s="463"/>
      <c r="I412" s="459"/>
      <c r="J412" s="463"/>
      <c r="K412" s="459"/>
      <c r="L412" s="463"/>
      <c r="M412" s="463"/>
      <c r="N412" s="463"/>
      <c r="O412" s="459"/>
      <c r="P412" s="459"/>
      <c r="Q412" s="459"/>
      <c r="R412" s="463"/>
      <c r="S412" s="459"/>
      <c r="T412" s="450">
        <f t="shared" si="30"/>
        <v>0</v>
      </c>
      <c r="U412" s="451">
        <f t="shared" si="31"/>
        <v>0</v>
      </c>
      <c r="V412" s="463"/>
      <c r="W412" s="459"/>
      <c r="X412" s="463"/>
      <c r="Y412" s="459"/>
      <c r="Z412" s="463"/>
      <c r="AA412" s="463"/>
      <c r="AB412" s="463"/>
      <c r="AC412" s="459"/>
      <c r="AD412" s="459"/>
      <c r="AE412" s="459"/>
      <c r="AF412" s="463"/>
      <c r="AG412" s="617"/>
      <c r="AH412" s="623"/>
      <c r="AI412" s="623"/>
    </row>
    <row r="413" spans="1:35" s="464" customFormat="1">
      <c r="A413" s="481" t="s">
        <v>385</v>
      </c>
      <c r="B413" s="480" t="s">
        <v>427</v>
      </c>
      <c r="C413" s="560"/>
      <c r="D413" s="509">
        <v>221102</v>
      </c>
      <c r="E413" s="509">
        <v>13</v>
      </c>
      <c r="F413" s="450">
        <f t="shared" si="28"/>
        <v>0</v>
      </c>
      <c r="G413" s="451">
        <f t="shared" si="29"/>
        <v>0</v>
      </c>
      <c r="H413" s="463"/>
      <c r="I413" s="459"/>
      <c r="J413" s="463"/>
      <c r="K413" s="459"/>
      <c r="L413" s="463"/>
      <c r="M413" s="463"/>
      <c r="N413" s="463"/>
      <c r="O413" s="459"/>
      <c r="P413" s="459"/>
      <c r="Q413" s="459"/>
      <c r="R413" s="463"/>
      <c r="S413" s="459"/>
      <c r="T413" s="450">
        <f t="shared" si="30"/>
        <v>0</v>
      </c>
      <c r="U413" s="451">
        <f t="shared" si="31"/>
        <v>0</v>
      </c>
      <c r="V413" s="463"/>
      <c r="W413" s="459"/>
      <c r="X413" s="463"/>
      <c r="Y413" s="459"/>
      <c r="Z413" s="463"/>
      <c r="AA413" s="463"/>
      <c r="AB413" s="463"/>
      <c r="AC413" s="459"/>
      <c r="AD413" s="459"/>
      <c r="AE413" s="459"/>
      <c r="AF413" s="463"/>
      <c r="AG413" s="617"/>
    </row>
    <row r="414" spans="1:35" s="14" customFormat="1" ht="15" customHeight="1">
      <c r="A414" s="481" t="s">
        <v>385</v>
      </c>
      <c r="B414" s="480" t="s">
        <v>428</v>
      </c>
      <c r="C414" s="559"/>
      <c r="D414" s="509">
        <v>248925</v>
      </c>
      <c r="E414" s="509">
        <v>13</v>
      </c>
      <c r="F414" s="450">
        <f t="shared" si="28"/>
        <v>0</v>
      </c>
      <c r="G414" s="451">
        <f t="shared" si="29"/>
        <v>0</v>
      </c>
      <c r="H414" s="463"/>
      <c r="I414" s="459"/>
      <c r="J414" s="463"/>
      <c r="K414" s="459"/>
      <c r="L414" s="463"/>
      <c r="M414" s="463"/>
      <c r="N414" s="463"/>
      <c r="O414" s="459"/>
      <c r="P414" s="459"/>
      <c r="Q414" s="459"/>
      <c r="R414" s="463"/>
      <c r="S414" s="459"/>
      <c r="T414" s="450">
        <f t="shared" si="30"/>
        <v>0</v>
      </c>
      <c r="U414" s="451">
        <f t="shared" si="31"/>
        <v>0</v>
      </c>
      <c r="V414" s="463"/>
      <c r="W414" s="459"/>
      <c r="X414" s="463"/>
      <c r="Y414" s="459"/>
      <c r="Z414" s="463"/>
      <c r="AA414" s="463"/>
      <c r="AB414" s="463"/>
      <c r="AC414" s="459"/>
      <c r="AD414" s="459"/>
      <c r="AE414" s="459"/>
      <c r="AF414" s="463"/>
      <c r="AG414" s="617"/>
      <c r="AH414" s="623"/>
      <c r="AI414" s="623"/>
    </row>
    <row r="415" spans="1:35" s="14" customFormat="1" ht="15" customHeight="1">
      <c r="A415" s="466" t="s">
        <v>385</v>
      </c>
      <c r="B415" s="480" t="s">
        <v>429</v>
      </c>
      <c r="C415" s="559"/>
      <c r="D415" s="509">
        <v>221236</v>
      </c>
      <c r="E415" s="509">
        <v>13</v>
      </c>
      <c r="F415" s="450">
        <f t="shared" si="28"/>
        <v>0</v>
      </c>
      <c r="G415" s="451">
        <f t="shared" si="29"/>
        <v>0</v>
      </c>
      <c r="H415" s="463"/>
      <c r="I415" s="459"/>
      <c r="J415" s="463"/>
      <c r="K415" s="459"/>
      <c r="L415" s="463"/>
      <c r="M415" s="463"/>
      <c r="N415" s="463"/>
      <c r="O415" s="459"/>
      <c r="P415" s="459"/>
      <c r="Q415" s="459"/>
      <c r="R415" s="463"/>
      <c r="S415" s="459"/>
      <c r="T415" s="450">
        <f t="shared" si="30"/>
        <v>0</v>
      </c>
      <c r="U415" s="451">
        <f t="shared" si="31"/>
        <v>0</v>
      </c>
      <c r="V415" s="463"/>
      <c r="W415" s="459"/>
      <c r="X415" s="463"/>
      <c r="Y415" s="459"/>
      <c r="Z415" s="463"/>
      <c r="AA415" s="463"/>
      <c r="AB415" s="463"/>
      <c r="AC415" s="459"/>
      <c r="AD415" s="459"/>
      <c r="AE415" s="459"/>
      <c r="AF415" s="463"/>
      <c r="AG415" s="617"/>
      <c r="AH415" s="623"/>
      <c r="AI415" s="623"/>
    </row>
    <row r="416" spans="1:35" s="14" customFormat="1" ht="15" customHeight="1">
      <c r="A416" s="481" t="s">
        <v>385</v>
      </c>
      <c r="B416" s="480" t="s">
        <v>430</v>
      </c>
      <c r="C416" s="560"/>
      <c r="D416" s="509">
        <v>221582</v>
      </c>
      <c r="E416" s="509">
        <v>13</v>
      </c>
      <c r="F416" s="450">
        <f t="shared" si="28"/>
        <v>0</v>
      </c>
      <c r="G416" s="451">
        <f t="shared" si="29"/>
        <v>0</v>
      </c>
      <c r="H416" s="463"/>
      <c r="I416" s="459"/>
      <c r="J416" s="463"/>
      <c r="K416" s="459"/>
      <c r="L416" s="463"/>
      <c r="M416" s="463"/>
      <c r="N416" s="463"/>
      <c r="O416" s="459"/>
      <c r="P416" s="459"/>
      <c r="Q416" s="459"/>
      <c r="R416" s="463"/>
      <c r="S416" s="459"/>
      <c r="T416" s="450">
        <f t="shared" si="30"/>
        <v>0</v>
      </c>
      <c r="U416" s="451">
        <f t="shared" si="31"/>
        <v>0</v>
      </c>
      <c r="V416" s="463"/>
      <c r="W416" s="459"/>
      <c r="X416" s="463"/>
      <c r="Y416" s="459"/>
      <c r="Z416" s="463"/>
      <c r="AA416" s="463"/>
      <c r="AB416" s="463"/>
      <c r="AC416" s="459"/>
      <c r="AD416" s="459"/>
      <c r="AE416" s="459"/>
      <c r="AF416" s="463"/>
      <c r="AG416" s="617"/>
      <c r="AH416" s="623"/>
      <c r="AI416" s="623"/>
    </row>
    <row r="417" spans="1:35" s="14" customFormat="1" ht="15" customHeight="1">
      <c r="A417" s="481" t="s">
        <v>385</v>
      </c>
      <c r="B417" s="480" t="s">
        <v>431</v>
      </c>
      <c r="C417" s="559"/>
      <c r="D417" s="509">
        <v>221281</v>
      </c>
      <c r="E417" s="509">
        <v>13</v>
      </c>
      <c r="F417" s="450">
        <f t="shared" si="28"/>
        <v>0</v>
      </c>
      <c r="G417" s="451">
        <f t="shared" si="29"/>
        <v>0</v>
      </c>
      <c r="H417" s="463"/>
      <c r="I417" s="459"/>
      <c r="J417" s="463"/>
      <c r="K417" s="459"/>
      <c r="L417" s="463"/>
      <c r="M417" s="463"/>
      <c r="N417" s="463"/>
      <c r="O417" s="459"/>
      <c r="P417" s="459"/>
      <c r="Q417" s="459"/>
      <c r="R417" s="463"/>
      <c r="S417" s="459"/>
      <c r="T417" s="450">
        <f t="shared" si="30"/>
        <v>0</v>
      </c>
      <c r="U417" s="451">
        <f t="shared" si="31"/>
        <v>0</v>
      </c>
      <c r="V417" s="463"/>
      <c r="W417" s="459"/>
      <c r="X417" s="463"/>
      <c r="Y417" s="459"/>
      <c r="Z417" s="463"/>
      <c r="AA417" s="463"/>
      <c r="AB417" s="463"/>
      <c r="AC417" s="459"/>
      <c r="AD417" s="459"/>
      <c r="AE417" s="459"/>
      <c r="AF417" s="463"/>
      <c r="AG417" s="617"/>
      <c r="AH417" s="623"/>
      <c r="AI417" s="623"/>
    </row>
    <row r="418" spans="1:35" s="14" customFormat="1" ht="15" customHeight="1">
      <c r="A418" s="466" t="s">
        <v>385</v>
      </c>
      <c r="B418" s="480" t="s">
        <v>432</v>
      </c>
      <c r="C418" s="559"/>
      <c r="D418" s="509">
        <v>221333</v>
      </c>
      <c r="E418" s="509">
        <v>13</v>
      </c>
      <c r="F418" s="450">
        <f t="shared" si="28"/>
        <v>0</v>
      </c>
      <c r="G418" s="451">
        <f t="shared" si="29"/>
        <v>0</v>
      </c>
      <c r="H418" s="463"/>
      <c r="I418" s="459"/>
      <c r="J418" s="463"/>
      <c r="K418" s="459"/>
      <c r="L418" s="463"/>
      <c r="M418" s="463"/>
      <c r="N418" s="463"/>
      <c r="O418" s="459"/>
      <c r="P418" s="459"/>
      <c r="Q418" s="459"/>
      <c r="R418" s="463"/>
      <c r="S418" s="459"/>
      <c r="T418" s="450">
        <f t="shared" si="30"/>
        <v>0</v>
      </c>
      <c r="U418" s="451">
        <f t="shared" si="31"/>
        <v>0</v>
      </c>
      <c r="V418" s="463"/>
      <c r="W418" s="459"/>
      <c r="X418" s="463"/>
      <c r="Y418" s="459"/>
      <c r="Z418" s="463"/>
      <c r="AA418" s="463"/>
      <c r="AB418" s="463"/>
      <c r="AC418" s="459"/>
      <c r="AD418" s="459"/>
      <c r="AE418" s="459"/>
      <c r="AF418" s="463"/>
      <c r="AG418" s="617"/>
      <c r="AH418" s="623"/>
      <c r="AI418" s="623"/>
    </row>
    <row r="419" spans="1:35" s="14" customFormat="1" ht="15" customHeight="1">
      <c r="A419" s="481" t="s">
        <v>385</v>
      </c>
      <c r="B419" s="480" t="s">
        <v>433</v>
      </c>
      <c r="C419" s="560"/>
      <c r="D419" s="509">
        <v>221388</v>
      </c>
      <c r="E419" s="509">
        <v>13</v>
      </c>
      <c r="F419" s="450">
        <f t="shared" si="28"/>
        <v>0</v>
      </c>
      <c r="G419" s="451">
        <f t="shared" si="29"/>
        <v>0</v>
      </c>
      <c r="H419" s="463"/>
      <c r="I419" s="459"/>
      <c r="J419" s="463"/>
      <c r="K419" s="459"/>
      <c r="L419" s="463"/>
      <c r="M419" s="463"/>
      <c r="N419" s="463"/>
      <c r="O419" s="459"/>
      <c r="P419" s="459"/>
      <c r="Q419" s="459"/>
      <c r="R419" s="463"/>
      <c r="S419" s="459"/>
      <c r="T419" s="450">
        <f t="shared" si="30"/>
        <v>0</v>
      </c>
      <c r="U419" s="451">
        <f t="shared" si="31"/>
        <v>0</v>
      </c>
      <c r="V419" s="463"/>
      <c r="W419" s="459"/>
      <c r="X419" s="463"/>
      <c r="Y419" s="459"/>
      <c r="Z419" s="463"/>
      <c r="AA419" s="463"/>
      <c r="AB419" s="463"/>
      <c r="AC419" s="459"/>
      <c r="AD419" s="459"/>
      <c r="AE419" s="459"/>
      <c r="AF419" s="463"/>
      <c r="AG419" s="617"/>
      <c r="AH419" s="623"/>
      <c r="AI419" s="623"/>
    </row>
    <row r="420" spans="1:35" s="14" customFormat="1" ht="15" customHeight="1">
      <c r="A420" s="481" t="s">
        <v>385</v>
      </c>
      <c r="B420" s="480" t="s">
        <v>434</v>
      </c>
      <c r="C420" s="559"/>
      <c r="D420" s="509">
        <v>221494</v>
      </c>
      <c r="E420" s="509">
        <v>13</v>
      </c>
      <c r="F420" s="450">
        <f t="shared" si="28"/>
        <v>0</v>
      </c>
      <c r="G420" s="451">
        <f t="shared" si="29"/>
        <v>0</v>
      </c>
      <c r="H420" s="463"/>
      <c r="I420" s="459"/>
      <c r="J420" s="463"/>
      <c r="K420" s="459"/>
      <c r="L420" s="463"/>
      <c r="M420" s="463"/>
      <c r="N420" s="463"/>
      <c r="O420" s="459"/>
      <c r="P420" s="459"/>
      <c r="Q420" s="459"/>
      <c r="R420" s="463"/>
      <c r="S420" s="459"/>
      <c r="T420" s="450">
        <f t="shared" si="30"/>
        <v>0</v>
      </c>
      <c r="U420" s="451">
        <f t="shared" si="31"/>
        <v>0</v>
      </c>
      <c r="V420" s="463"/>
      <c r="W420" s="459"/>
      <c r="X420" s="463"/>
      <c r="Y420" s="459"/>
      <c r="Z420" s="463"/>
      <c r="AA420" s="463"/>
      <c r="AB420" s="463"/>
      <c r="AC420" s="459"/>
      <c r="AD420" s="459"/>
      <c r="AE420" s="459"/>
      <c r="AF420" s="463"/>
      <c r="AG420" s="617"/>
      <c r="AH420" s="623"/>
      <c r="AI420" s="623"/>
    </row>
    <row r="421" spans="1:35" s="14" customFormat="1" ht="15" customHeight="1">
      <c r="A421" s="466" t="s">
        <v>385</v>
      </c>
      <c r="B421" s="480" t="s">
        <v>435</v>
      </c>
      <c r="C421" s="559"/>
      <c r="D421" s="509">
        <v>221634</v>
      </c>
      <c r="E421" s="509">
        <v>13</v>
      </c>
      <c r="F421" s="450">
        <f t="shared" si="28"/>
        <v>0</v>
      </c>
      <c r="G421" s="451">
        <f t="shared" si="29"/>
        <v>0</v>
      </c>
      <c r="H421" s="463"/>
      <c r="I421" s="459"/>
      <c r="J421" s="463"/>
      <c r="K421" s="459"/>
      <c r="L421" s="463"/>
      <c r="M421" s="463"/>
      <c r="N421" s="463"/>
      <c r="O421" s="459"/>
      <c r="P421" s="459"/>
      <c r="Q421" s="459"/>
      <c r="R421" s="463"/>
      <c r="S421" s="459"/>
      <c r="T421" s="450">
        <f t="shared" si="30"/>
        <v>0</v>
      </c>
      <c r="U421" s="451">
        <f t="shared" si="31"/>
        <v>0</v>
      </c>
      <c r="V421" s="463"/>
      <c r="W421" s="459"/>
      <c r="X421" s="463"/>
      <c r="Y421" s="459"/>
      <c r="Z421" s="463"/>
      <c r="AA421" s="463"/>
      <c r="AB421" s="463"/>
      <c r="AC421" s="459"/>
      <c r="AD421" s="459"/>
      <c r="AE421" s="459"/>
      <c r="AF421" s="463"/>
      <c r="AG421" s="617"/>
      <c r="AH421" s="623"/>
      <c r="AI421" s="623"/>
    </row>
    <row r="422" spans="1:35" s="14" customFormat="1" ht="15.75" customHeight="1">
      <c r="A422" s="367" t="s">
        <v>436</v>
      </c>
      <c r="B422" s="365" t="s">
        <v>751</v>
      </c>
      <c r="C422" s="533"/>
      <c r="D422" s="534">
        <v>228723</v>
      </c>
      <c r="E422" s="566">
        <v>1</v>
      </c>
      <c r="F422" s="450">
        <f t="shared" si="28"/>
        <v>1412275</v>
      </c>
      <c r="G422" s="451">
        <f t="shared" si="29"/>
        <v>1427046</v>
      </c>
      <c r="H422" s="463">
        <v>823823</v>
      </c>
      <c r="I422" s="459">
        <v>1202915</v>
      </c>
      <c r="J422" s="463">
        <v>12230</v>
      </c>
      <c r="K422" s="482">
        <v>11183</v>
      </c>
      <c r="L422" s="463">
        <v>570458</v>
      </c>
      <c r="M422" s="463">
        <v>0</v>
      </c>
      <c r="N422" s="463">
        <v>5764</v>
      </c>
      <c r="O422" s="482">
        <v>206650</v>
      </c>
      <c r="P422" s="482">
        <v>243</v>
      </c>
      <c r="Q422" s="482">
        <v>6055</v>
      </c>
      <c r="R422" s="463"/>
      <c r="S422" s="459"/>
      <c r="T422" s="450">
        <f t="shared" si="30"/>
        <v>230260</v>
      </c>
      <c r="U422" s="451">
        <f t="shared" si="31"/>
        <v>231045</v>
      </c>
      <c r="V422" s="463">
        <v>152391</v>
      </c>
      <c r="W422" s="482">
        <v>190806</v>
      </c>
      <c r="X422" s="463">
        <v>5100</v>
      </c>
      <c r="Y422" s="482">
        <v>6220</v>
      </c>
      <c r="Z422" s="463">
        <v>69891</v>
      </c>
      <c r="AA422" s="463">
        <v>312</v>
      </c>
      <c r="AB422" s="463">
        <v>2566</v>
      </c>
      <c r="AC422" s="482">
        <v>31119</v>
      </c>
      <c r="AD422" s="482">
        <v>270</v>
      </c>
      <c r="AE422" s="482">
        <v>2630</v>
      </c>
      <c r="AF422" s="463"/>
      <c r="AG422" s="617"/>
    </row>
    <row r="423" spans="1:35" s="14" customFormat="1" ht="15" customHeight="1">
      <c r="A423" s="367" t="s">
        <v>436</v>
      </c>
      <c r="B423" s="365" t="s">
        <v>752</v>
      </c>
      <c r="C423" s="533"/>
      <c r="D423" s="534">
        <v>229115</v>
      </c>
      <c r="E423" s="566">
        <v>1</v>
      </c>
      <c r="F423" s="450">
        <f t="shared" si="28"/>
        <v>888800</v>
      </c>
      <c r="G423" s="451">
        <f t="shared" si="29"/>
        <v>894464</v>
      </c>
      <c r="H423" s="463">
        <v>351427</v>
      </c>
      <c r="I423" s="459">
        <v>357564</v>
      </c>
      <c r="J423" s="463">
        <v>10335</v>
      </c>
      <c r="K423" s="483">
        <v>6598</v>
      </c>
      <c r="L423" s="463">
        <v>526744</v>
      </c>
      <c r="M423" s="463">
        <v>294</v>
      </c>
      <c r="N423" s="463">
        <v>0</v>
      </c>
      <c r="O423" s="483">
        <v>529969</v>
      </c>
      <c r="P423" s="483">
        <v>333</v>
      </c>
      <c r="Q423" s="483">
        <v>0</v>
      </c>
      <c r="R423" s="463"/>
      <c r="S423" s="459"/>
      <c r="T423" s="450">
        <f t="shared" si="30"/>
        <v>129541</v>
      </c>
      <c r="U423" s="451">
        <f t="shared" si="31"/>
        <v>135954</v>
      </c>
      <c r="V423" s="463">
        <v>47673</v>
      </c>
      <c r="W423" s="483">
        <v>63678</v>
      </c>
      <c r="X423" s="463">
        <v>1698</v>
      </c>
      <c r="Y423" s="483">
        <v>1689</v>
      </c>
      <c r="Z423" s="463">
        <v>80170</v>
      </c>
      <c r="AA423" s="463">
        <v>0</v>
      </c>
      <c r="AB423" s="463">
        <v>0</v>
      </c>
      <c r="AC423" s="483">
        <v>70512</v>
      </c>
      <c r="AD423" s="483">
        <v>72</v>
      </c>
      <c r="AE423" s="483">
        <v>3</v>
      </c>
      <c r="AF423" s="463"/>
      <c r="AG423" s="617"/>
    </row>
    <row r="424" spans="1:35" s="14" customFormat="1" ht="15" customHeight="1">
      <c r="A424" s="367" t="s">
        <v>436</v>
      </c>
      <c r="B424" s="365" t="s">
        <v>753</v>
      </c>
      <c r="C424" s="533"/>
      <c r="D424" s="534">
        <v>225511</v>
      </c>
      <c r="E424" s="566">
        <v>1</v>
      </c>
      <c r="F424" s="450">
        <f t="shared" si="28"/>
        <v>1001990</v>
      </c>
      <c r="G424" s="451">
        <f t="shared" si="29"/>
        <v>963133</v>
      </c>
      <c r="H424" s="463">
        <v>311905</v>
      </c>
      <c r="I424" s="459">
        <v>255675</v>
      </c>
      <c r="J424" s="463">
        <v>6903</v>
      </c>
      <c r="K424" s="483">
        <v>9235</v>
      </c>
      <c r="L424" s="463">
        <v>682997</v>
      </c>
      <c r="M424" s="463">
        <v>185</v>
      </c>
      <c r="N424" s="463">
        <v>0</v>
      </c>
      <c r="O424" s="483">
        <v>698223</v>
      </c>
      <c r="P424" s="483">
        <v>0</v>
      </c>
      <c r="Q424" s="483">
        <v>0</v>
      </c>
      <c r="R424" s="463"/>
      <c r="S424" s="459"/>
      <c r="T424" s="450">
        <f t="shared" si="30"/>
        <v>173410</v>
      </c>
      <c r="U424" s="451">
        <f t="shared" si="31"/>
        <v>176198</v>
      </c>
      <c r="V424" s="463">
        <v>91616</v>
      </c>
      <c r="W424" s="483">
        <v>85066</v>
      </c>
      <c r="X424" s="463">
        <v>642</v>
      </c>
      <c r="Y424" s="483">
        <v>429</v>
      </c>
      <c r="Z424" s="463">
        <v>81125</v>
      </c>
      <c r="AA424" s="463">
        <v>27</v>
      </c>
      <c r="AB424" s="463">
        <v>0</v>
      </c>
      <c r="AC424" s="483">
        <v>90703</v>
      </c>
      <c r="AD424" s="483">
        <v>0</v>
      </c>
      <c r="AE424" s="483">
        <v>0</v>
      </c>
      <c r="AF424" s="463"/>
      <c r="AG424" s="617"/>
    </row>
    <row r="425" spans="1:35" s="14" customFormat="1" ht="15" customHeight="1">
      <c r="A425" s="367" t="s">
        <v>436</v>
      </c>
      <c r="B425" s="365" t="s">
        <v>754</v>
      </c>
      <c r="C425" s="533"/>
      <c r="D425" s="534">
        <v>227216</v>
      </c>
      <c r="E425" s="566">
        <v>1</v>
      </c>
      <c r="F425" s="450">
        <f t="shared" si="28"/>
        <v>863539</v>
      </c>
      <c r="G425" s="451">
        <f t="shared" si="29"/>
        <v>847536</v>
      </c>
      <c r="H425" s="463">
        <v>338553</v>
      </c>
      <c r="I425" s="459">
        <v>295963</v>
      </c>
      <c r="J425" s="463">
        <v>8181</v>
      </c>
      <c r="K425" s="483">
        <v>10081</v>
      </c>
      <c r="L425" s="463">
        <v>300745</v>
      </c>
      <c r="M425" s="463">
        <v>187022</v>
      </c>
      <c r="N425" s="463">
        <v>29038</v>
      </c>
      <c r="O425" s="483">
        <v>293549</v>
      </c>
      <c r="P425" s="483">
        <v>224558</v>
      </c>
      <c r="Q425" s="483">
        <v>23385</v>
      </c>
      <c r="R425" s="463"/>
      <c r="S425" s="459"/>
      <c r="T425" s="450">
        <f t="shared" si="30"/>
        <v>123365</v>
      </c>
      <c r="U425" s="451">
        <f t="shared" si="31"/>
        <v>149537</v>
      </c>
      <c r="V425" s="463">
        <v>45380</v>
      </c>
      <c r="W425" s="483">
        <v>57471</v>
      </c>
      <c r="X425" s="463">
        <v>1763</v>
      </c>
      <c r="Y425" s="483">
        <v>1800</v>
      </c>
      <c r="Z425" s="463">
        <v>51174</v>
      </c>
      <c r="AA425" s="463">
        <v>21454</v>
      </c>
      <c r="AB425" s="463">
        <v>3594</v>
      </c>
      <c r="AC425" s="483">
        <v>61115</v>
      </c>
      <c r="AD425" s="483">
        <v>26405</v>
      </c>
      <c r="AE425" s="483">
        <v>2746</v>
      </c>
      <c r="AF425" s="463"/>
      <c r="AG425" s="617"/>
    </row>
    <row r="426" spans="1:35" s="14" customFormat="1" ht="15" customHeight="1">
      <c r="A426" s="367" t="s">
        <v>436</v>
      </c>
      <c r="B426" s="365" t="s">
        <v>755</v>
      </c>
      <c r="C426" s="533"/>
      <c r="D426" s="534">
        <v>228769</v>
      </c>
      <c r="E426" s="566">
        <v>1</v>
      </c>
      <c r="F426" s="450">
        <f t="shared" si="28"/>
        <v>779723</v>
      </c>
      <c r="G426" s="451">
        <f t="shared" si="29"/>
        <v>753924</v>
      </c>
      <c r="H426" s="463">
        <v>529207</v>
      </c>
      <c r="I426" s="459">
        <v>470745</v>
      </c>
      <c r="J426" s="463">
        <v>2931</v>
      </c>
      <c r="K426" s="483">
        <v>2069</v>
      </c>
      <c r="L426" s="463">
        <v>247576</v>
      </c>
      <c r="M426" s="463">
        <v>9</v>
      </c>
      <c r="N426" s="463">
        <v>0</v>
      </c>
      <c r="O426" s="483">
        <v>280915</v>
      </c>
      <c r="P426" s="483">
        <v>195</v>
      </c>
      <c r="Q426" s="483">
        <v>0</v>
      </c>
      <c r="R426" s="463"/>
      <c r="S426" s="459"/>
      <c r="T426" s="450">
        <f t="shared" si="30"/>
        <v>212826</v>
      </c>
      <c r="U426" s="451">
        <f t="shared" si="31"/>
        <v>207504</v>
      </c>
      <c r="V426" s="463">
        <v>74600</v>
      </c>
      <c r="W426" s="483">
        <v>68765</v>
      </c>
      <c r="X426" s="463">
        <v>3678</v>
      </c>
      <c r="Y426" s="483">
        <v>2190</v>
      </c>
      <c r="Z426" s="463">
        <v>134506</v>
      </c>
      <c r="AA426" s="463">
        <v>12</v>
      </c>
      <c r="AB426" s="463">
        <v>30</v>
      </c>
      <c r="AC426" s="483">
        <v>136456</v>
      </c>
      <c r="AD426" s="483">
        <v>93</v>
      </c>
      <c r="AE426" s="483">
        <v>0</v>
      </c>
      <c r="AF426" s="463"/>
      <c r="AG426" s="617"/>
    </row>
    <row r="427" spans="1:35" s="14" customFormat="1" ht="15" customHeight="1">
      <c r="A427" s="367" t="s">
        <v>436</v>
      </c>
      <c r="B427" s="365" t="s">
        <v>756</v>
      </c>
      <c r="C427" s="533"/>
      <c r="D427" s="534">
        <v>228778</v>
      </c>
      <c r="E427" s="566">
        <v>1</v>
      </c>
      <c r="F427" s="450">
        <f t="shared" si="28"/>
        <v>1120460</v>
      </c>
      <c r="G427" s="451">
        <f t="shared" si="29"/>
        <v>1109701</v>
      </c>
      <c r="H427" s="463">
        <v>464433</v>
      </c>
      <c r="I427" s="459">
        <v>403588</v>
      </c>
      <c r="J427" s="463">
        <v>3935</v>
      </c>
      <c r="K427" s="483">
        <v>900</v>
      </c>
      <c r="L427" s="463">
        <v>633484</v>
      </c>
      <c r="M427" s="463">
        <v>18557</v>
      </c>
      <c r="N427" s="463">
        <v>51</v>
      </c>
      <c r="O427" s="483">
        <v>694747</v>
      </c>
      <c r="P427" s="483">
        <v>10466</v>
      </c>
      <c r="Q427" s="483">
        <v>0</v>
      </c>
      <c r="R427" s="463"/>
      <c r="S427" s="459"/>
      <c r="T427" s="450">
        <f t="shared" si="30"/>
        <v>233178</v>
      </c>
      <c r="U427" s="451">
        <f t="shared" si="31"/>
        <v>234430</v>
      </c>
      <c r="V427" s="463">
        <v>133947</v>
      </c>
      <c r="W427" s="483">
        <v>137216</v>
      </c>
      <c r="X427" s="463">
        <v>292</v>
      </c>
      <c r="Y427" s="483">
        <v>210</v>
      </c>
      <c r="Z427" s="463">
        <v>95864</v>
      </c>
      <c r="AA427" s="463">
        <v>2403</v>
      </c>
      <c r="AB427" s="463">
        <v>672</v>
      </c>
      <c r="AC427" s="483">
        <v>95322</v>
      </c>
      <c r="AD427" s="483">
        <v>1109</v>
      </c>
      <c r="AE427" s="483">
        <v>573</v>
      </c>
      <c r="AF427" s="463"/>
      <c r="AG427" s="617"/>
    </row>
    <row r="428" spans="1:35" s="14" customFormat="1" ht="15" customHeight="1">
      <c r="A428" s="367" t="s">
        <v>436</v>
      </c>
      <c r="B428" s="365" t="s">
        <v>757</v>
      </c>
      <c r="C428" s="533"/>
      <c r="D428" s="534">
        <v>228787</v>
      </c>
      <c r="E428" s="566">
        <v>1</v>
      </c>
      <c r="F428" s="450">
        <f t="shared" si="28"/>
        <v>572876</v>
      </c>
      <c r="G428" s="451">
        <f t="shared" si="29"/>
        <v>562999</v>
      </c>
      <c r="H428" s="463">
        <v>292499</v>
      </c>
      <c r="I428" s="459">
        <v>252958</v>
      </c>
      <c r="J428" s="463">
        <v>2296</v>
      </c>
      <c r="K428" s="483">
        <v>1426</v>
      </c>
      <c r="L428" s="463">
        <v>278081</v>
      </c>
      <c r="M428" s="463">
        <v>0</v>
      </c>
      <c r="N428" s="463">
        <v>0</v>
      </c>
      <c r="O428" s="483">
        <v>308615</v>
      </c>
      <c r="P428" s="483">
        <v>0</v>
      </c>
      <c r="Q428" s="483">
        <v>0</v>
      </c>
      <c r="R428" s="463"/>
      <c r="S428" s="459"/>
      <c r="T428" s="450">
        <f t="shared" si="30"/>
        <v>135638</v>
      </c>
      <c r="U428" s="451">
        <f t="shared" si="31"/>
        <v>133439</v>
      </c>
      <c r="V428" s="463">
        <v>83071</v>
      </c>
      <c r="W428" s="483">
        <v>51705</v>
      </c>
      <c r="X428" s="463">
        <v>448</v>
      </c>
      <c r="Y428" s="483">
        <v>528</v>
      </c>
      <c r="Z428" s="463">
        <v>52119</v>
      </c>
      <c r="AA428" s="463">
        <v>0</v>
      </c>
      <c r="AB428" s="463">
        <v>0</v>
      </c>
      <c r="AC428" s="483">
        <v>81206</v>
      </c>
      <c r="AD428" s="483">
        <v>0</v>
      </c>
      <c r="AE428" s="483">
        <v>0</v>
      </c>
      <c r="AF428" s="463"/>
      <c r="AG428" s="617"/>
    </row>
    <row r="429" spans="1:35" s="14" customFormat="1" ht="15.75" customHeight="1">
      <c r="A429" s="367" t="s">
        <v>436</v>
      </c>
      <c r="B429" s="365" t="s">
        <v>758</v>
      </c>
      <c r="C429" s="536"/>
      <c r="D429" s="534">
        <v>229027</v>
      </c>
      <c r="E429" s="566">
        <v>1</v>
      </c>
      <c r="F429" s="450">
        <f t="shared" si="28"/>
        <v>742160</v>
      </c>
      <c r="G429" s="451">
        <f t="shared" si="29"/>
        <v>734443</v>
      </c>
      <c r="H429" s="463">
        <v>243315</v>
      </c>
      <c r="I429" s="459">
        <v>107307</v>
      </c>
      <c r="J429" s="463">
        <v>1095</v>
      </c>
      <c r="K429" s="483">
        <v>770</v>
      </c>
      <c r="L429" s="463">
        <v>497315</v>
      </c>
      <c r="M429" s="463">
        <v>147</v>
      </c>
      <c r="N429" s="463">
        <v>288</v>
      </c>
      <c r="O429" s="483">
        <v>625946</v>
      </c>
      <c r="P429" s="483">
        <v>0</v>
      </c>
      <c r="Q429" s="483">
        <v>420</v>
      </c>
      <c r="R429" s="463"/>
      <c r="S429" s="459"/>
      <c r="T429" s="450">
        <f t="shared" si="30"/>
        <v>75558</v>
      </c>
      <c r="U429" s="451">
        <f t="shared" si="31"/>
        <v>79009</v>
      </c>
      <c r="V429" s="463">
        <v>31449</v>
      </c>
      <c r="W429" s="483">
        <v>17009</v>
      </c>
      <c r="X429" s="463">
        <v>702</v>
      </c>
      <c r="Y429" s="483">
        <v>57</v>
      </c>
      <c r="Z429" s="463">
        <v>43407</v>
      </c>
      <c r="AA429" s="463">
        <v>0</v>
      </c>
      <c r="AB429" s="463">
        <v>0</v>
      </c>
      <c r="AC429" s="483">
        <v>61943</v>
      </c>
      <c r="AD429" s="483">
        <v>0</v>
      </c>
      <c r="AE429" s="483">
        <v>0</v>
      </c>
      <c r="AF429" s="463"/>
      <c r="AG429" s="617"/>
    </row>
    <row r="430" spans="1:35" s="14" customFormat="1" ht="15.75" customHeight="1">
      <c r="A430" s="367" t="s">
        <v>436</v>
      </c>
      <c r="B430" s="380" t="s">
        <v>759</v>
      </c>
      <c r="C430" s="536"/>
      <c r="D430" s="534">
        <v>228459</v>
      </c>
      <c r="E430" s="566">
        <v>2</v>
      </c>
      <c r="F430" s="450">
        <f t="shared" si="28"/>
        <v>860446</v>
      </c>
      <c r="G430" s="451">
        <f t="shared" si="29"/>
        <v>840788</v>
      </c>
      <c r="H430" s="463">
        <v>469716</v>
      </c>
      <c r="I430" s="459">
        <v>395499</v>
      </c>
      <c r="J430" s="463">
        <v>11396</v>
      </c>
      <c r="K430" s="483">
        <v>14986</v>
      </c>
      <c r="L430" s="463">
        <v>378945</v>
      </c>
      <c r="M430" s="463">
        <v>255</v>
      </c>
      <c r="N430" s="463">
        <v>134</v>
      </c>
      <c r="O430" s="483">
        <v>424248</v>
      </c>
      <c r="P430" s="483">
        <v>255</v>
      </c>
      <c r="Q430" s="483">
        <v>5800</v>
      </c>
      <c r="R430" s="463"/>
      <c r="S430" s="459"/>
      <c r="T430" s="450">
        <f t="shared" si="30"/>
        <v>72696</v>
      </c>
      <c r="U430" s="451">
        <f t="shared" si="31"/>
        <v>74968</v>
      </c>
      <c r="V430" s="463">
        <v>29815</v>
      </c>
      <c r="W430" s="483">
        <v>28620</v>
      </c>
      <c r="X430" s="463">
        <v>7068</v>
      </c>
      <c r="Y430" s="483">
        <v>9840</v>
      </c>
      <c r="Z430" s="463">
        <v>34916</v>
      </c>
      <c r="AA430" s="463">
        <v>477</v>
      </c>
      <c r="AB430" s="463">
        <v>420</v>
      </c>
      <c r="AC430" s="483">
        <v>35577</v>
      </c>
      <c r="AD430" s="483">
        <v>369</v>
      </c>
      <c r="AE430" s="483">
        <v>562</v>
      </c>
      <c r="AF430" s="463"/>
      <c r="AG430" s="617"/>
    </row>
    <row r="431" spans="1:35" s="14" customFormat="1" ht="15.75" customHeight="1">
      <c r="A431" s="367" t="s">
        <v>436</v>
      </c>
      <c r="B431" s="365" t="s">
        <v>760</v>
      </c>
      <c r="C431" s="448" t="s">
        <v>943</v>
      </c>
      <c r="D431" s="534">
        <v>229179</v>
      </c>
      <c r="E431" s="566">
        <v>2</v>
      </c>
      <c r="F431" s="450">
        <f t="shared" si="28"/>
        <v>251440</v>
      </c>
      <c r="G431" s="451">
        <f t="shared" si="29"/>
        <v>241491</v>
      </c>
      <c r="H431" s="463">
        <v>103049</v>
      </c>
      <c r="I431" s="459">
        <v>78707</v>
      </c>
      <c r="J431" s="463">
        <v>11730</v>
      </c>
      <c r="K431" s="483">
        <v>12114</v>
      </c>
      <c r="L431" s="463">
        <v>136661</v>
      </c>
      <c r="M431" s="463">
        <v>0</v>
      </c>
      <c r="N431" s="463">
        <v>0</v>
      </c>
      <c r="O431" s="483">
        <v>150670</v>
      </c>
      <c r="P431" s="483">
        <v>0</v>
      </c>
      <c r="Q431" s="483">
        <v>0</v>
      </c>
      <c r="R431" s="463"/>
      <c r="S431" s="459"/>
      <c r="T431" s="450">
        <f t="shared" si="30"/>
        <v>101598</v>
      </c>
      <c r="U431" s="451">
        <f t="shared" si="31"/>
        <v>110076</v>
      </c>
      <c r="V431" s="463">
        <v>30722</v>
      </c>
      <c r="W431" s="483">
        <v>30669</v>
      </c>
      <c r="X431" s="463">
        <v>309</v>
      </c>
      <c r="Y431" s="483">
        <v>276</v>
      </c>
      <c r="Z431" s="463">
        <v>70431</v>
      </c>
      <c r="AA431" s="463">
        <v>136</v>
      </c>
      <c r="AB431" s="463">
        <v>0</v>
      </c>
      <c r="AC431" s="483">
        <v>78829</v>
      </c>
      <c r="AD431" s="483">
        <v>302</v>
      </c>
      <c r="AE431" s="483">
        <v>0</v>
      </c>
      <c r="AF431" s="463"/>
      <c r="AG431" s="617"/>
    </row>
    <row r="432" spans="1:35" s="14" customFormat="1" ht="15.75" customHeight="1">
      <c r="A432" s="367" t="s">
        <v>436</v>
      </c>
      <c r="B432" s="365" t="s">
        <v>761</v>
      </c>
      <c r="C432" s="448" t="s">
        <v>943</v>
      </c>
      <c r="D432" s="534">
        <v>228796</v>
      </c>
      <c r="E432" s="566">
        <v>2</v>
      </c>
      <c r="F432" s="450">
        <f t="shared" si="28"/>
        <v>519352</v>
      </c>
      <c r="G432" s="451">
        <f t="shared" si="29"/>
        <v>475836</v>
      </c>
      <c r="H432" s="463">
        <v>182198</v>
      </c>
      <c r="I432" s="459">
        <v>157971</v>
      </c>
      <c r="J432" s="463">
        <v>685</v>
      </c>
      <c r="K432" s="483">
        <v>408</v>
      </c>
      <c r="L432" s="463">
        <v>336469</v>
      </c>
      <c r="M432" s="463">
        <v>0</v>
      </c>
      <c r="N432" s="463">
        <v>0</v>
      </c>
      <c r="O432" s="483">
        <v>317457</v>
      </c>
      <c r="P432" s="483">
        <v>0</v>
      </c>
      <c r="Q432" s="483">
        <v>0</v>
      </c>
      <c r="R432" s="463"/>
      <c r="S432" s="459"/>
      <c r="T432" s="450">
        <f t="shared" si="30"/>
        <v>65249</v>
      </c>
      <c r="U432" s="451">
        <f t="shared" si="31"/>
        <v>69249</v>
      </c>
      <c r="V432" s="463">
        <v>26015</v>
      </c>
      <c r="W432" s="483">
        <v>23285</v>
      </c>
      <c r="X432" s="463">
        <v>219</v>
      </c>
      <c r="Y432" s="483">
        <v>33</v>
      </c>
      <c r="Z432" s="463">
        <v>39015</v>
      </c>
      <c r="AA432" s="463">
        <v>0</v>
      </c>
      <c r="AB432" s="463">
        <v>0</v>
      </c>
      <c r="AC432" s="483">
        <v>45931</v>
      </c>
      <c r="AD432" s="483">
        <v>0</v>
      </c>
      <c r="AE432" s="483">
        <v>0</v>
      </c>
      <c r="AF432" s="463"/>
      <c r="AG432" s="617"/>
    </row>
    <row r="433" spans="1:33" s="14" customFormat="1" ht="15.75" customHeight="1">
      <c r="A433" s="367" t="s">
        <v>436</v>
      </c>
      <c r="B433" s="365" t="s">
        <v>762</v>
      </c>
      <c r="C433" s="448"/>
      <c r="D433" s="534">
        <v>222831</v>
      </c>
      <c r="E433" s="566">
        <v>3</v>
      </c>
      <c r="F433" s="450">
        <f t="shared" si="28"/>
        <v>193011</v>
      </c>
      <c r="G433" s="451">
        <f t="shared" si="29"/>
        <v>187438</v>
      </c>
      <c r="H433" s="463">
        <v>132800</v>
      </c>
      <c r="I433" s="459">
        <v>121488</v>
      </c>
      <c r="J433" s="463">
        <v>0</v>
      </c>
      <c r="K433" s="483">
        <v>0</v>
      </c>
      <c r="L433" s="463">
        <v>60211</v>
      </c>
      <c r="M433" s="463">
        <v>0</v>
      </c>
      <c r="N433" s="463">
        <v>0</v>
      </c>
      <c r="O433" s="483">
        <v>65950</v>
      </c>
      <c r="P433" s="483">
        <v>0</v>
      </c>
      <c r="Q433" s="483">
        <v>0</v>
      </c>
      <c r="R433" s="463"/>
      <c r="S433" s="459"/>
      <c r="T433" s="450">
        <f t="shared" si="30"/>
        <v>27476</v>
      </c>
      <c r="U433" s="451">
        <f t="shared" si="31"/>
        <v>29750</v>
      </c>
      <c r="V433" s="463">
        <v>6188</v>
      </c>
      <c r="W433" s="483">
        <v>6109</v>
      </c>
      <c r="X433" s="463">
        <v>0</v>
      </c>
      <c r="Y433" s="483">
        <v>0</v>
      </c>
      <c r="Z433" s="463">
        <v>21288</v>
      </c>
      <c r="AA433" s="463">
        <v>0</v>
      </c>
      <c r="AB433" s="463">
        <v>0</v>
      </c>
      <c r="AC433" s="483">
        <v>23641</v>
      </c>
      <c r="AD433" s="483">
        <v>0</v>
      </c>
      <c r="AE433" s="483">
        <v>0</v>
      </c>
      <c r="AF433" s="463"/>
      <c r="AG433" s="617"/>
    </row>
    <row r="434" spans="1:33" s="14" customFormat="1" ht="15.75" customHeight="1">
      <c r="A434" s="367" t="s">
        <v>436</v>
      </c>
      <c r="B434" s="365" t="s">
        <v>763</v>
      </c>
      <c r="C434" s="448" t="s">
        <v>944</v>
      </c>
      <c r="D434" s="534">
        <v>226091</v>
      </c>
      <c r="E434" s="566">
        <v>3</v>
      </c>
      <c r="F434" s="450">
        <f t="shared" si="28"/>
        <v>215931</v>
      </c>
      <c r="G434" s="451">
        <f t="shared" si="29"/>
        <v>208182</v>
      </c>
      <c r="H434" s="463">
        <v>79965</v>
      </c>
      <c r="I434" s="459">
        <v>52744</v>
      </c>
      <c r="J434" s="463">
        <v>0</v>
      </c>
      <c r="K434" s="483">
        <v>0</v>
      </c>
      <c r="L434" s="463">
        <v>135966</v>
      </c>
      <c r="M434" s="463">
        <v>0</v>
      </c>
      <c r="N434" s="463">
        <v>0</v>
      </c>
      <c r="O434" s="483">
        <v>155438</v>
      </c>
      <c r="P434" s="483">
        <v>0</v>
      </c>
      <c r="Q434" s="483">
        <v>0</v>
      </c>
      <c r="R434" s="463"/>
      <c r="S434" s="459"/>
      <c r="T434" s="450">
        <f t="shared" si="30"/>
        <v>141145</v>
      </c>
      <c r="U434" s="451">
        <f t="shared" si="31"/>
        <v>152901</v>
      </c>
      <c r="V434" s="463">
        <v>8003</v>
      </c>
      <c r="W434" s="483">
        <v>6241</v>
      </c>
      <c r="X434" s="463">
        <v>54</v>
      </c>
      <c r="Y434" s="483">
        <v>174</v>
      </c>
      <c r="Z434" s="463">
        <v>133088</v>
      </c>
      <c r="AA434" s="463">
        <v>0</v>
      </c>
      <c r="AB434" s="463">
        <v>0</v>
      </c>
      <c r="AC434" s="483">
        <v>146486</v>
      </c>
      <c r="AD434" s="483">
        <v>0</v>
      </c>
      <c r="AE434" s="483">
        <v>0</v>
      </c>
      <c r="AF434" s="463"/>
      <c r="AG434" s="617"/>
    </row>
    <row r="435" spans="1:33" s="14" customFormat="1" ht="15.75" customHeight="1">
      <c r="A435" s="367" t="s">
        <v>436</v>
      </c>
      <c r="B435" s="365" t="s">
        <v>764</v>
      </c>
      <c r="C435" s="448"/>
      <c r="D435" s="534">
        <v>226833</v>
      </c>
      <c r="E435" s="566">
        <v>3</v>
      </c>
      <c r="F435" s="450">
        <f t="shared" si="28"/>
        <v>121707</v>
      </c>
      <c r="G435" s="451">
        <f t="shared" si="29"/>
        <v>114406</v>
      </c>
      <c r="H435" s="463">
        <v>81492</v>
      </c>
      <c r="I435" s="459">
        <v>72251</v>
      </c>
      <c r="J435" s="463">
        <v>781</v>
      </c>
      <c r="K435" s="483">
        <v>864</v>
      </c>
      <c r="L435" s="463">
        <v>39389</v>
      </c>
      <c r="M435" s="463">
        <v>45</v>
      </c>
      <c r="N435" s="463">
        <v>0</v>
      </c>
      <c r="O435" s="483">
        <v>41224</v>
      </c>
      <c r="P435" s="483">
        <v>67</v>
      </c>
      <c r="Q435" s="483">
        <v>0</v>
      </c>
      <c r="R435" s="463"/>
      <c r="S435" s="459"/>
      <c r="T435" s="450">
        <f t="shared" si="30"/>
        <v>9659</v>
      </c>
      <c r="U435" s="451">
        <f t="shared" si="31"/>
        <v>10216</v>
      </c>
      <c r="V435" s="463">
        <v>2269</v>
      </c>
      <c r="W435" s="483">
        <v>2511</v>
      </c>
      <c r="X435" s="463">
        <v>0</v>
      </c>
      <c r="Y435" s="483">
        <v>0</v>
      </c>
      <c r="Z435" s="463">
        <v>7390</v>
      </c>
      <c r="AA435" s="463">
        <v>0</v>
      </c>
      <c r="AB435" s="463">
        <v>0</v>
      </c>
      <c r="AC435" s="483">
        <v>7705</v>
      </c>
      <c r="AD435" s="483">
        <v>0</v>
      </c>
      <c r="AE435" s="483">
        <v>0</v>
      </c>
      <c r="AF435" s="463"/>
      <c r="AG435" s="617"/>
    </row>
    <row r="436" spans="1:33" s="14" customFormat="1" ht="15.75" customHeight="1">
      <c r="A436" s="367" t="s">
        <v>436</v>
      </c>
      <c r="B436" s="365" t="s">
        <v>765</v>
      </c>
      <c r="C436" s="448"/>
      <c r="D436" s="534">
        <v>227526</v>
      </c>
      <c r="E436" s="566">
        <v>3</v>
      </c>
      <c r="F436" s="450">
        <f t="shared" si="28"/>
        <v>225954</v>
      </c>
      <c r="G436" s="451">
        <f t="shared" si="29"/>
        <v>225834</v>
      </c>
      <c r="H436" s="463">
        <v>94845</v>
      </c>
      <c r="I436" s="459">
        <v>152499</v>
      </c>
      <c r="J436" s="463">
        <v>6124</v>
      </c>
      <c r="K436" s="483">
        <v>14037</v>
      </c>
      <c r="L436" s="463">
        <v>124985</v>
      </c>
      <c r="M436" s="463">
        <v>0</v>
      </c>
      <c r="N436" s="463">
        <v>0</v>
      </c>
      <c r="O436" s="483">
        <v>59198</v>
      </c>
      <c r="P436" s="483">
        <v>100</v>
      </c>
      <c r="Q436" s="483">
        <v>0</v>
      </c>
      <c r="R436" s="463"/>
      <c r="S436" s="459"/>
      <c r="T436" s="450">
        <f t="shared" si="30"/>
        <v>12904</v>
      </c>
      <c r="U436" s="451">
        <f t="shared" si="31"/>
        <v>14319</v>
      </c>
      <c r="V436" s="463">
        <v>3150</v>
      </c>
      <c r="W436" s="483">
        <v>4503</v>
      </c>
      <c r="X436" s="463">
        <v>1056</v>
      </c>
      <c r="Y436" s="483">
        <v>1723</v>
      </c>
      <c r="Z436" s="463">
        <v>8698</v>
      </c>
      <c r="AA436" s="463">
        <v>0</v>
      </c>
      <c r="AB436" s="463">
        <v>0</v>
      </c>
      <c r="AC436" s="483">
        <v>8078</v>
      </c>
      <c r="AD436" s="483">
        <v>15</v>
      </c>
      <c r="AE436" s="483">
        <v>0</v>
      </c>
      <c r="AF436" s="463"/>
      <c r="AG436" s="617"/>
    </row>
    <row r="437" spans="1:33" s="14" customFormat="1" ht="15.75" customHeight="1">
      <c r="A437" s="367" t="s">
        <v>436</v>
      </c>
      <c r="B437" s="365" t="s">
        <v>766</v>
      </c>
      <c r="C437" s="448" t="s">
        <v>944</v>
      </c>
      <c r="D437" s="534">
        <v>227881</v>
      </c>
      <c r="E437" s="566">
        <v>3</v>
      </c>
      <c r="F437" s="450">
        <f t="shared" si="28"/>
        <v>478918</v>
      </c>
      <c r="G437" s="451">
        <f t="shared" si="29"/>
        <v>455344</v>
      </c>
      <c r="H437" s="463">
        <v>169547</v>
      </c>
      <c r="I437" s="459">
        <v>171110</v>
      </c>
      <c r="J437" s="463">
        <v>1788</v>
      </c>
      <c r="K437" s="483">
        <v>852</v>
      </c>
      <c r="L437" s="463">
        <v>307583</v>
      </c>
      <c r="M437" s="463">
        <v>0</v>
      </c>
      <c r="N437" s="463">
        <v>0</v>
      </c>
      <c r="O437" s="483">
        <v>283382</v>
      </c>
      <c r="P437" s="483">
        <v>0</v>
      </c>
      <c r="Q437" s="483">
        <v>0</v>
      </c>
      <c r="R437" s="463"/>
      <c r="S437" s="459"/>
      <c r="T437" s="450">
        <f t="shared" si="30"/>
        <v>43490</v>
      </c>
      <c r="U437" s="451">
        <f t="shared" si="31"/>
        <v>47613</v>
      </c>
      <c r="V437" s="463">
        <v>10805</v>
      </c>
      <c r="W437" s="483">
        <v>11292</v>
      </c>
      <c r="X437" s="463">
        <v>66</v>
      </c>
      <c r="Y437" s="483">
        <v>1149</v>
      </c>
      <c r="Z437" s="463">
        <v>32619</v>
      </c>
      <c r="AA437" s="463">
        <v>0</v>
      </c>
      <c r="AB437" s="463">
        <v>0</v>
      </c>
      <c r="AC437" s="483">
        <v>35172</v>
      </c>
      <c r="AD437" s="483">
        <v>0</v>
      </c>
      <c r="AE437" s="483">
        <v>0</v>
      </c>
      <c r="AF437" s="463"/>
      <c r="AG437" s="617"/>
    </row>
    <row r="438" spans="1:33" s="14" customFormat="1" ht="15.75" customHeight="1">
      <c r="A438" s="367" t="s">
        <v>436</v>
      </c>
      <c r="B438" s="365" t="s">
        <v>767</v>
      </c>
      <c r="C438" s="448"/>
      <c r="D438" s="534">
        <v>228431</v>
      </c>
      <c r="E438" s="566">
        <v>3</v>
      </c>
      <c r="F438" s="450">
        <f t="shared" si="28"/>
        <v>277484</v>
      </c>
      <c r="G438" s="451">
        <f t="shared" si="29"/>
        <v>273193</v>
      </c>
      <c r="H438" s="463">
        <v>113256</v>
      </c>
      <c r="I438" s="483">
        <v>71514</v>
      </c>
      <c r="J438" s="463">
        <v>5832</v>
      </c>
      <c r="K438" s="483">
        <v>6700</v>
      </c>
      <c r="L438" s="463">
        <v>156053</v>
      </c>
      <c r="M438" s="463">
        <v>1746</v>
      </c>
      <c r="N438" s="463">
        <v>597</v>
      </c>
      <c r="O438" s="483">
        <v>193130</v>
      </c>
      <c r="P438" s="483">
        <v>1456</v>
      </c>
      <c r="Q438" s="483">
        <v>393</v>
      </c>
      <c r="R438" s="463"/>
      <c r="S438" s="459"/>
      <c r="T438" s="450">
        <f t="shared" si="30"/>
        <v>25189</v>
      </c>
      <c r="U438" s="451">
        <f t="shared" si="31"/>
        <v>30309</v>
      </c>
      <c r="V438" s="463">
        <v>6287</v>
      </c>
      <c r="W438" s="483">
        <v>5449</v>
      </c>
      <c r="X438" s="463">
        <v>472</v>
      </c>
      <c r="Y438" s="483">
        <v>145</v>
      </c>
      <c r="Z438" s="463">
        <v>18360</v>
      </c>
      <c r="AA438" s="463">
        <v>16</v>
      </c>
      <c r="AB438" s="463">
        <v>54</v>
      </c>
      <c r="AC438" s="483">
        <v>24539</v>
      </c>
      <c r="AD438" s="483">
        <v>78</v>
      </c>
      <c r="AE438" s="483">
        <v>98</v>
      </c>
      <c r="AF438" s="463"/>
      <c r="AG438" s="617"/>
    </row>
    <row r="439" spans="1:33" s="14" customFormat="1" ht="15.75" customHeight="1">
      <c r="A439" s="367" t="s">
        <v>436</v>
      </c>
      <c r="B439" s="365" t="s">
        <v>768</v>
      </c>
      <c r="C439" s="448"/>
      <c r="D439" s="534">
        <v>228501</v>
      </c>
      <c r="E439" s="566">
        <v>3</v>
      </c>
      <c r="F439" s="450">
        <f t="shared" si="28"/>
        <v>28178</v>
      </c>
      <c r="G439" s="451">
        <f t="shared" si="29"/>
        <v>25670</v>
      </c>
      <c r="H439" s="463">
        <v>17397</v>
      </c>
      <c r="I439" s="483">
        <v>14071</v>
      </c>
      <c r="J439" s="463">
        <v>120</v>
      </c>
      <c r="K439" s="483">
        <v>315</v>
      </c>
      <c r="L439" s="463">
        <v>7878</v>
      </c>
      <c r="M439" s="463">
        <v>378</v>
      </c>
      <c r="N439" s="463">
        <v>2405</v>
      </c>
      <c r="O439" s="483">
        <v>11032</v>
      </c>
      <c r="P439" s="483">
        <v>252</v>
      </c>
      <c r="Q439" s="483">
        <v>0</v>
      </c>
      <c r="R439" s="463"/>
      <c r="S439" s="459"/>
      <c r="T439" s="450">
        <f t="shared" si="30"/>
        <v>6517</v>
      </c>
      <c r="U439" s="451">
        <f t="shared" si="31"/>
        <v>6371</v>
      </c>
      <c r="V439" s="463">
        <v>875</v>
      </c>
      <c r="W439" s="483">
        <v>578</v>
      </c>
      <c r="X439" s="463">
        <v>60</v>
      </c>
      <c r="Y439" s="483">
        <v>158</v>
      </c>
      <c r="Z439" s="463">
        <v>5377</v>
      </c>
      <c r="AA439" s="463">
        <v>4</v>
      </c>
      <c r="AB439" s="463">
        <v>201</v>
      </c>
      <c r="AC439" s="483">
        <v>5632</v>
      </c>
      <c r="AD439" s="483">
        <v>3</v>
      </c>
      <c r="AE439" s="483">
        <v>0</v>
      </c>
      <c r="AF439" s="463"/>
      <c r="AG439" s="617"/>
    </row>
    <row r="440" spans="1:33" s="14" customFormat="1" ht="15.75" customHeight="1">
      <c r="A440" s="367" t="s">
        <v>436</v>
      </c>
      <c r="B440" s="365" t="s">
        <v>769</v>
      </c>
      <c r="C440" s="448"/>
      <c r="D440" s="534">
        <v>228529</v>
      </c>
      <c r="E440" s="566">
        <v>3</v>
      </c>
      <c r="F440" s="450">
        <f t="shared" si="28"/>
        <v>294766</v>
      </c>
      <c r="G440" s="451">
        <f t="shared" si="29"/>
        <v>298089</v>
      </c>
      <c r="H440" s="463">
        <v>88029</v>
      </c>
      <c r="I440" s="483">
        <v>93432</v>
      </c>
      <c r="J440" s="463">
        <v>8358</v>
      </c>
      <c r="K440" s="483">
        <v>836</v>
      </c>
      <c r="L440" s="463">
        <v>198189</v>
      </c>
      <c r="M440" s="463">
        <v>190</v>
      </c>
      <c r="N440" s="463">
        <v>0</v>
      </c>
      <c r="O440" s="483">
        <v>203419</v>
      </c>
      <c r="P440" s="483">
        <v>402</v>
      </c>
      <c r="Q440" s="483">
        <v>0</v>
      </c>
      <c r="R440" s="463"/>
      <c r="S440" s="459"/>
      <c r="T440" s="450">
        <f t="shared" si="30"/>
        <v>33580</v>
      </c>
      <c r="U440" s="451">
        <f t="shared" si="31"/>
        <v>37732</v>
      </c>
      <c r="V440" s="463">
        <v>1695</v>
      </c>
      <c r="W440" s="483">
        <v>925</v>
      </c>
      <c r="X440" s="463">
        <v>1983</v>
      </c>
      <c r="Y440" s="483">
        <v>1563</v>
      </c>
      <c r="Z440" s="463">
        <v>29869</v>
      </c>
      <c r="AA440" s="463">
        <v>33</v>
      </c>
      <c r="AB440" s="463">
        <v>0</v>
      </c>
      <c r="AC440" s="483">
        <v>35199</v>
      </c>
      <c r="AD440" s="483">
        <v>45</v>
      </c>
      <c r="AE440" s="483">
        <v>0</v>
      </c>
      <c r="AF440" s="463"/>
      <c r="AG440" s="617"/>
    </row>
    <row r="441" spans="1:33" s="14" customFormat="1" ht="15.75" customHeight="1">
      <c r="A441" s="367" t="s">
        <v>436</v>
      </c>
      <c r="B441" s="365" t="s">
        <v>770</v>
      </c>
      <c r="C441" s="448"/>
      <c r="D441" s="534">
        <v>226152</v>
      </c>
      <c r="E441" s="566">
        <v>3</v>
      </c>
      <c r="F441" s="450">
        <f t="shared" si="28"/>
        <v>181203</v>
      </c>
      <c r="G441" s="451">
        <f t="shared" si="29"/>
        <v>173189</v>
      </c>
      <c r="H441" s="463">
        <v>130387</v>
      </c>
      <c r="I441" s="483">
        <v>121049</v>
      </c>
      <c r="J441" s="463">
        <v>516</v>
      </c>
      <c r="K441" s="483">
        <v>132</v>
      </c>
      <c r="L441" s="463">
        <v>50300</v>
      </c>
      <c r="M441" s="463">
        <v>0</v>
      </c>
      <c r="N441" s="463">
        <v>0</v>
      </c>
      <c r="O441" s="483">
        <v>52008</v>
      </c>
      <c r="P441" s="483">
        <v>0</v>
      </c>
      <c r="Q441" s="483">
        <v>0</v>
      </c>
      <c r="R441" s="463"/>
      <c r="S441" s="459"/>
      <c r="T441" s="450">
        <f t="shared" si="30"/>
        <v>22151</v>
      </c>
      <c r="U441" s="451">
        <f t="shared" si="31"/>
        <v>24931</v>
      </c>
      <c r="V441" s="463">
        <v>5095</v>
      </c>
      <c r="W441" s="483">
        <v>3947</v>
      </c>
      <c r="X441" s="463">
        <v>81</v>
      </c>
      <c r="Y441" s="483">
        <v>138</v>
      </c>
      <c r="Z441" s="463">
        <v>16975</v>
      </c>
      <c r="AA441" s="463">
        <v>0</v>
      </c>
      <c r="AB441" s="463">
        <v>0</v>
      </c>
      <c r="AC441" s="483">
        <v>20846</v>
      </c>
      <c r="AD441" s="483">
        <v>0</v>
      </c>
      <c r="AE441" s="483">
        <v>0</v>
      </c>
      <c r="AF441" s="463"/>
      <c r="AG441" s="617"/>
    </row>
    <row r="442" spans="1:33" s="14" customFormat="1" ht="15.75" customHeight="1">
      <c r="A442" s="367" t="s">
        <v>436</v>
      </c>
      <c r="B442" s="365" t="s">
        <v>771</v>
      </c>
      <c r="C442" s="448" t="s">
        <v>944</v>
      </c>
      <c r="D442" s="534">
        <v>224554</v>
      </c>
      <c r="E442" s="566">
        <v>3</v>
      </c>
      <c r="F442" s="450">
        <f t="shared" si="28"/>
        <v>204988</v>
      </c>
      <c r="G442" s="451">
        <f t="shared" si="29"/>
        <v>184649</v>
      </c>
      <c r="H442" s="463">
        <v>52968</v>
      </c>
      <c r="I442" s="483">
        <v>22294</v>
      </c>
      <c r="J442" s="463">
        <v>11266</v>
      </c>
      <c r="K442" s="483">
        <v>7191</v>
      </c>
      <c r="L442" s="463">
        <v>140661</v>
      </c>
      <c r="M442" s="463">
        <v>93</v>
      </c>
      <c r="N442" s="463">
        <v>0</v>
      </c>
      <c r="O442" s="483">
        <v>155109</v>
      </c>
      <c r="P442" s="483">
        <v>55</v>
      </c>
      <c r="Q442" s="483">
        <v>0</v>
      </c>
      <c r="R442" s="463"/>
      <c r="S442" s="459"/>
      <c r="T442" s="450">
        <f t="shared" si="30"/>
        <v>61837</v>
      </c>
      <c r="U442" s="451">
        <f t="shared" si="31"/>
        <v>64314</v>
      </c>
      <c r="V442" s="463">
        <v>5424</v>
      </c>
      <c r="W442" s="483">
        <v>4153</v>
      </c>
      <c r="X442" s="463">
        <v>1672</v>
      </c>
      <c r="Y442" s="483">
        <v>577</v>
      </c>
      <c r="Z442" s="463">
        <v>54726</v>
      </c>
      <c r="AA442" s="463">
        <v>15</v>
      </c>
      <c r="AB442" s="463">
        <v>0</v>
      </c>
      <c r="AC442" s="483">
        <v>59569</v>
      </c>
      <c r="AD442" s="483">
        <v>15</v>
      </c>
      <c r="AE442" s="483">
        <v>0</v>
      </c>
      <c r="AF442" s="463"/>
      <c r="AG442" s="617"/>
    </row>
    <row r="443" spans="1:33" s="14" customFormat="1" ht="15.75" customHeight="1">
      <c r="A443" s="367" t="s">
        <v>436</v>
      </c>
      <c r="B443" s="365" t="s">
        <v>772</v>
      </c>
      <c r="C443" s="448" t="s">
        <v>944</v>
      </c>
      <c r="D443" s="534">
        <v>224147</v>
      </c>
      <c r="E443" s="566">
        <v>3</v>
      </c>
      <c r="F443" s="450">
        <f t="shared" si="28"/>
        <v>224349</v>
      </c>
      <c r="G443" s="451">
        <f t="shared" si="29"/>
        <v>207923</v>
      </c>
      <c r="H443" s="463">
        <v>105385</v>
      </c>
      <c r="I443" s="483">
        <v>94743</v>
      </c>
      <c r="J443" s="463">
        <v>0</v>
      </c>
      <c r="K443" s="483">
        <v>0</v>
      </c>
      <c r="L443" s="463">
        <v>118917</v>
      </c>
      <c r="M443" s="463">
        <v>47</v>
      </c>
      <c r="N443" s="463">
        <v>0</v>
      </c>
      <c r="O443" s="483">
        <v>113084</v>
      </c>
      <c r="P443" s="483">
        <v>96</v>
      </c>
      <c r="Q443" s="483">
        <v>0</v>
      </c>
      <c r="R443" s="463"/>
      <c r="S443" s="459"/>
      <c r="T443" s="450">
        <f t="shared" si="30"/>
        <v>42530</v>
      </c>
      <c r="U443" s="451">
        <f t="shared" si="31"/>
        <v>54140</v>
      </c>
      <c r="V443" s="463">
        <v>7224</v>
      </c>
      <c r="W443" s="483">
        <v>7708</v>
      </c>
      <c r="X443" s="463">
        <v>0</v>
      </c>
      <c r="Y443" s="483">
        <v>0</v>
      </c>
      <c r="Z443" s="463">
        <v>35303</v>
      </c>
      <c r="AA443" s="463">
        <v>3</v>
      </c>
      <c r="AB443" s="463">
        <v>0</v>
      </c>
      <c r="AC443" s="483">
        <v>46429</v>
      </c>
      <c r="AD443" s="483">
        <v>3</v>
      </c>
      <c r="AE443" s="483">
        <v>0</v>
      </c>
      <c r="AF443" s="463"/>
      <c r="AG443" s="617"/>
    </row>
    <row r="444" spans="1:33" s="14" customFormat="1" ht="15.75" customHeight="1">
      <c r="A444" s="367" t="s">
        <v>436</v>
      </c>
      <c r="B444" s="365" t="s">
        <v>773</v>
      </c>
      <c r="C444" s="448"/>
      <c r="D444" s="534">
        <v>228705</v>
      </c>
      <c r="E444" s="566">
        <v>3</v>
      </c>
      <c r="F444" s="450">
        <f t="shared" si="28"/>
        <v>142771</v>
      </c>
      <c r="G444" s="451">
        <f t="shared" si="29"/>
        <v>129140</v>
      </c>
      <c r="H444" s="463">
        <v>82918</v>
      </c>
      <c r="I444" s="483">
        <v>65628</v>
      </c>
      <c r="J444" s="463">
        <v>2704</v>
      </c>
      <c r="K444" s="483">
        <v>1607</v>
      </c>
      <c r="L444" s="463">
        <v>47202</v>
      </c>
      <c r="M444" s="463">
        <v>9947</v>
      </c>
      <c r="N444" s="463">
        <v>0</v>
      </c>
      <c r="O444" s="483">
        <v>61842</v>
      </c>
      <c r="P444" s="483">
        <v>63</v>
      </c>
      <c r="Q444" s="483">
        <v>0</v>
      </c>
      <c r="R444" s="463"/>
      <c r="S444" s="459"/>
      <c r="T444" s="450">
        <f t="shared" si="30"/>
        <v>24117</v>
      </c>
      <c r="U444" s="451">
        <f t="shared" si="31"/>
        <v>25464</v>
      </c>
      <c r="V444" s="463">
        <v>12077</v>
      </c>
      <c r="W444" s="483">
        <v>10060</v>
      </c>
      <c r="X444" s="463">
        <v>75</v>
      </c>
      <c r="Y444" s="483">
        <v>0</v>
      </c>
      <c r="Z444" s="463">
        <v>10778</v>
      </c>
      <c r="AA444" s="463">
        <v>1187</v>
      </c>
      <c r="AB444" s="463">
        <v>0</v>
      </c>
      <c r="AC444" s="483">
        <v>15305</v>
      </c>
      <c r="AD444" s="483">
        <v>99</v>
      </c>
      <c r="AE444" s="483">
        <v>0</v>
      </c>
      <c r="AF444" s="463"/>
      <c r="AG444" s="617"/>
    </row>
    <row r="445" spans="1:33" s="14" customFormat="1" ht="15.75" customHeight="1">
      <c r="A445" s="367" t="s">
        <v>436</v>
      </c>
      <c r="B445" s="365" t="s">
        <v>774</v>
      </c>
      <c r="C445" s="448"/>
      <c r="D445" s="534">
        <v>229063</v>
      </c>
      <c r="E445" s="566">
        <v>3</v>
      </c>
      <c r="F445" s="450">
        <f t="shared" si="28"/>
        <v>157667</v>
      </c>
      <c r="G445" s="451">
        <f t="shared" si="29"/>
        <v>148823</v>
      </c>
      <c r="H445" s="463">
        <v>91243</v>
      </c>
      <c r="I445" s="483">
        <v>89286</v>
      </c>
      <c r="J445" s="463">
        <v>48</v>
      </c>
      <c r="K445" s="483">
        <v>54</v>
      </c>
      <c r="L445" s="463">
        <v>0</v>
      </c>
      <c r="M445" s="463">
        <v>0</v>
      </c>
      <c r="N445" s="463">
        <v>66376</v>
      </c>
      <c r="O445" s="483">
        <v>0</v>
      </c>
      <c r="P445" s="483">
        <v>0</v>
      </c>
      <c r="Q445" s="483">
        <v>59483</v>
      </c>
      <c r="R445" s="463"/>
      <c r="S445" s="459"/>
      <c r="T445" s="450">
        <f t="shared" si="30"/>
        <v>41935</v>
      </c>
      <c r="U445" s="451">
        <f t="shared" si="31"/>
        <v>41514</v>
      </c>
      <c r="V445" s="463">
        <v>29399</v>
      </c>
      <c r="W445" s="483">
        <v>30351</v>
      </c>
      <c r="X445" s="463">
        <v>0</v>
      </c>
      <c r="Y445" s="483">
        <v>0</v>
      </c>
      <c r="Z445" s="463">
        <v>0</v>
      </c>
      <c r="AA445" s="463">
        <v>0</v>
      </c>
      <c r="AB445" s="463">
        <v>12536</v>
      </c>
      <c r="AC445" s="483">
        <v>0</v>
      </c>
      <c r="AD445" s="483">
        <v>0</v>
      </c>
      <c r="AE445" s="483">
        <v>11163</v>
      </c>
      <c r="AF445" s="463"/>
      <c r="AG445" s="617"/>
    </row>
    <row r="446" spans="1:33" s="14" customFormat="1" ht="15.75" customHeight="1">
      <c r="A446" s="367" t="s">
        <v>436</v>
      </c>
      <c r="B446" s="365" t="s">
        <v>775</v>
      </c>
      <c r="C446" s="448"/>
      <c r="D446" s="534">
        <v>225414</v>
      </c>
      <c r="E446" s="566">
        <v>3</v>
      </c>
      <c r="F446" s="450">
        <f t="shared" si="28"/>
        <v>151280</v>
      </c>
      <c r="G446" s="451">
        <f t="shared" si="29"/>
        <v>152629</v>
      </c>
      <c r="H446" s="463">
        <v>51744</v>
      </c>
      <c r="I446" s="483">
        <v>45769</v>
      </c>
      <c r="J446" s="463">
        <v>4557</v>
      </c>
      <c r="K446" s="483">
        <v>2577</v>
      </c>
      <c r="L446" s="463">
        <v>94979</v>
      </c>
      <c r="M446" s="463">
        <v>0</v>
      </c>
      <c r="N446" s="463">
        <v>0</v>
      </c>
      <c r="O446" s="483">
        <v>104283</v>
      </c>
      <c r="P446" s="483">
        <v>0</v>
      </c>
      <c r="Q446" s="483">
        <v>0</v>
      </c>
      <c r="R446" s="463"/>
      <c r="S446" s="459"/>
      <c r="T446" s="450">
        <f t="shared" si="30"/>
        <v>41126</v>
      </c>
      <c r="U446" s="451">
        <f t="shared" si="31"/>
        <v>40137</v>
      </c>
      <c r="V446" s="463">
        <v>10572</v>
      </c>
      <c r="W446" s="483">
        <v>7763</v>
      </c>
      <c r="X446" s="463">
        <v>4194</v>
      </c>
      <c r="Y446" s="483">
        <v>2151</v>
      </c>
      <c r="Z446" s="463">
        <v>26360</v>
      </c>
      <c r="AA446" s="463">
        <v>0</v>
      </c>
      <c r="AB446" s="463">
        <v>0</v>
      </c>
      <c r="AC446" s="483">
        <v>30223</v>
      </c>
      <c r="AD446" s="483">
        <v>0</v>
      </c>
      <c r="AE446" s="483">
        <v>0</v>
      </c>
      <c r="AF446" s="463"/>
      <c r="AG446" s="617"/>
    </row>
    <row r="447" spans="1:33" s="14" customFormat="1" ht="15.75" customHeight="1">
      <c r="A447" s="367" t="s">
        <v>436</v>
      </c>
      <c r="B447" s="365" t="s">
        <v>776</v>
      </c>
      <c r="C447" s="448"/>
      <c r="D447" s="534">
        <v>228802</v>
      </c>
      <c r="E447" s="566">
        <v>3</v>
      </c>
      <c r="F447" s="450">
        <f t="shared" si="28"/>
        <v>179820</v>
      </c>
      <c r="G447" s="451">
        <f t="shared" si="29"/>
        <v>176525</v>
      </c>
      <c r="H447" s="463">
        <v>55022</v>
      </c>
      <c r="I447" s="483">
        <v>51716</v>
      </c>
      <c r="J447" s="463">
        <v>8697</v>
      </c>
      <c r="K447" s="483">
        <v>7613</v>
      </c>
      <c r="L447" s="463">
        <v>115077</v>
      </c>
      <c r="M447" s="463">
        <v>1024</v>
      </c>
      <c r="N447" s="463">
        <v>0</v>
      </c>
      <c r="O447" s="483">
        <v>115961</v>
      </c>
      <c r="P447" s="483">
        <v>1235</v>
      </c>
      <c r="Q447" s="483">
        <v>0</v>
      </c>
      <c r="R447" s="463"/>
      <c r="S447" s="459"/>
      <c r="T447" s="450">
        <f t="shared" si="30"/>
        <v>38854</v>
      </c>
      <c r="U447" s="451">
        <f t="shared" si="31"/>
        <v>38455</v>
      </c>
      <c r="V447" s="463">
        <v>3651</v>
      </c>
      <c r="W447" s="483">
        <v>4086</v>
      </c>
      <c r="X447" s="463">
        <v>18</v>
      </c>
      <c r="Y447" s="483">
        <v>12</v>
      </c>
      <c r="Z447" s="463">
        <v>35122</v>
      </c>
      <c r="AA447" s="463">
        <v>63</v>
      </c>
      <c r="AB447" s="463">
        <v>0</v>
      </c>
      <c r="AC447" s="483">
        <v>34291</v>
      </c>
      <c r="AD447" s="483">
        <v>66</v>
      </c>
      <c r="AE447" s="483">
        <v>0</v>
      </c>
      <c r="AF447" s="463"/>
      <c r="AG447" s="617"/>
    </row>
    <row r="448" spans="1:33" s="14" customFormat="1" ht="15.75" customHeight="1">
      <c r="A448" s="367" t="s">
        <v>436</v>
      </c>
      <c r="B448" s="382" t="s">
        <v>777</v>
      </c>
      <c r="C448" s="448"/>
      <c r="D448" s="534">
        <v>229018</v>
      </c>
      <c r="E448" s="566">
        <v>3</v>
      </c>
      <c r="F448" s="450">
        <f t="shared" si="28"/>
        <v>102741</v>
      </c>
      <c r="G448" s="451">
        <f t="shared" si="29"/>
        <v>101003</v>
      </c>
      <c r="H448" s="463">
        <v>31108</v>
      </c>
      <c r="I448" s="483">
        <v>33979</v>
      </c>
      <c r="J448" s="463">
        <v>81</v>
      </c>
      <c r="K448" s="483">
        <v>213</v>
      </c>
      <c r="L448" s="463">
        <v>71552</v>
      </c>
      <c r="M448" s="463">
        <v>0</v>
      </c>
      <c r="N448" s="463">
        <v>0</v>
      </c>
      <c r="O448" s="483">
        <v>66811</v>
      </c>
      <c r="P448" s="483">
        <v>0</v>
      </c>
      <c r="Q448" s="483">
        <v>0</v>
      </c>
      <c r="R448" s="463"/>
      <c r="S448" s="459"/>
      <c r="T448" s="450">
        <f t="shared" si="30"/>
        <v>15981</v>
      </c>
      <c r="U448" s="451">
        <f t="shared" si="31"/>
        <v>17820</v>
      </c>
      <c r="V448" s="463">
        <v>1716</v>
      </c>
      <c r="W448" s="483">
        <v>1588</v>
      </c>
      <c r="X448" s="463">
        <v>0</v>
      </c>
      <c r="Y448" s="483">
        <v>0</v>
      </c>
      <c r="Z448" s="463">
        <v>14265</v>
      </c>
      <c r="AA448" s="463">
        <v>0</v>
      </c>
      <c r="AB448" s="463">
        <v>0</v>
      </c>
      <c r="AC448" s="483">
        <v>16232</v>
      </c>
      <c r="AD448" s="483">
        <v>0</v>
      </c>
      <c r="AE448" s="483">
        <v>0</v>
      </c>
      <c r="AF448" s="463"/>
      <c r="AG448" s="617"/>
    </row>
    <row r="449" spans="1:33" s="14" customFormat="1" ht="15.75" customHeight="1">
      <c r="A449" s="421" t="s">
        <v>436</v>
      </c>
      <c r="B449" s="380" t="s">
        <v>778</v>
      </c>
      <c r="C449" s="448" t="s">
        <v>944</v>
      </c>
      <c r="D449" s="534">
        <v>227368</v>
      </c>
      <c r="E449" s="566">
        <v>3</v>
      </c>
      <c r="F449" s="450">
        <f t="shared" si="28"/>
        <v>722418</v>
      </c>
      <c r="G449" s="451">
        <f t="shared" si="29"/>
        <v>688467</v>
      </c>
      <c r="H449" s="463">
        <v>198346</v>
      </c>
      <c r="I449" s="483">
        <v>184788</v>
      </c>
      <c r="J449" s="463">
        <v>2653</v>
      </c>
      <c r="K449" s="483">
        <v>4264</v>
      </c>
      <c r="L449" s="463">
        <v>514775</v>
      </c>
      <c r="M449" s="463">
        <v>6644</v>
      </c>
      <c r="N449" s="463">
        <v>0</v>
      </c>
      <c r="O449" s="483">
        <v>495454</v>
      </c>
      <c r="P449" s="483">
        <v>3961</v>
      </c>
      <c r="Q449" s="483">
        <v>0</v>
      </c>
      <c r="R449" s="463"/>
      <c r="S449" s="459"/>
      <c r="T449" s="450">
        <f t="shared" si="30"/>
        <v>89493</v>
      </c>
      <c r="U449" s="451">
        <f t="shared" si="31"/>
        <v>110798</v>
      </c>
      <c r="V449" s="463">
        <v>14757</v>
      </c>
      <c r="W449" s="483">
        <v>18981</v>
      </c>
      <c r="X449" s="463">
        <v>456</v>
      </c>
      <c r="Y449" s="483">
        <v>478</v>
      </c>
      <c r="Z449" s="463">
        <v>72742</v>
      </c>
      <c r="AA449" s="463">
        <v>1538</v>
      </c>
      <c r="AB449" s="463">
        <v>0</v>
      </c>
      <c r="AC449" s="483">
        <v>90565</v>
      </c>
      <c r="AD449" s="483">
        <v>774</v>
      </c>
      <c r="AE449" s="483">
        <v>0</v>
      </c>
      <c r="AF449" s="463"/>
      <c r="AG449" s="617"/>
    </row>
    <row r="450" spans="1:33" s="14" customFormat="1" ht="15.75" customHeight="1">
      <c r="A450" s="367" t="s">
        <v>436</v>
      </c>
      <c r="B450" s="365" t="s">
        <v>779</v>
      </c>
      <c r="C450" s="448"/>
      <c r="D450" s="534">
        <v>229814</v>
      </c>
      <c r="E450" s="566">
        <v>3</v>
      </c>
      <c r="F450" s="450">
        <f t="shared" si="28"/>
        <v>187090</v>
      </c>
      <c r="G450" s="451">
        <f t="shared" si="29"/>
        <v>177055</v>
      </c>
      <c r="H450" s="463">
        <v>113689</v>
      </c>
      <c r="I450" s="483">
        <v>100997</v>
      </c>
      <c r="J450" s="463">
        <v>303</v>
      </c>
      <c r="K450" s="483">
        <v>33</v>
      </c>
      <c r="L450" s="463">
        <v>73098</v>
      </c>
      <c r="M450" s="463">
        <v>0</v>
      </c>
      <c r="N450" s="463">
        <v>0</v>
      </c>
      <c r="O450" s="483">
        <v>76025</v>
      </c>
      <c r="P450" s="483">
        <v>0</v>
      </c>
      <c r="Q450" s="483">
        <v>0</v>
      </c>
      <c r="R450" s="463"/>
      <c r="S450" s="459"/>
      <c r="T450" s="450">
        <f t="shared" si="30"/>
        <v>38575</v>
      </c>
      <c r="U450" s="451">
        <f t="shared" si="31"/>
        <v>37951</v>
      </c>
      <c r="V450" s="463">
        <v>5400</v>
      </c>
      <c r="W450" s="483">
        <v>4637</v>
      </c>
      <c r="X450" s="463">
        <v>0</v>
      </c>
      <c r="Y450" s="483">
        <v>0</v>
      </c>
      <c r="Z450" s="463">
        <v>33175</v>
      </c>
      <c r="AA450" s="463">
        <v>0</v>
      </c>
      <c r="AB450" s="463">
        <v>0</v>
      </c>
      <c r="AC450" s="483">
        <v>33314</v>
      </c>
      <c r="AD450" s="483">
        <v>0</v>
      </c>
      <c r="AE450" s="483">
        <v>0</v>
      </c>
      <c r="AF450" s="463"/>
      <c r="AG450" s="617"/>
    </row>
    <row r="451" spans="1:33" s="14" customFormat="1" ht="15.75" customHeight="1">
      <c r="A451" s="367" t="s">
        <v>436</v>
      </c>
      <c r="B451" s="365" t="s">
        <v>780</v>
      </c>
      <c r="C451" s="448" t="s">
        <v>945</v>
      </c>
      <c r="D451" s="534">
        <v>224545</v>
      </c>
      <c r="E451" s="566">
        <v>4</v>
      </c>
      <c r="F451" s="450">
        <f t="shared" si="28"/>
        <v>43513</v>
      </c>
      <c r="G451" s="451">
        <f t="shared" si="29"/>
        <v>41165</v>
      </c>
      <c r="H451" s="463">
        <v>14065</v>
      </c>
      <c r="I451" s="483">
        <v>12297</v>
      </c>
      <c r="J451" s="463">
        <v>772</v>
      </c>
      <c r="K451" s="483">
        <v>522</v>
      </c>
      <c r="L451" s="463">
        <v>28544</v>
      </c>
      <c r="M451" s="463">
        <v>132</v>
      </c>
      <c r="N451" s="463">
        <v>0</v>
      </c>
      <c r="O451" s="483">
        <v>28157</v>
      </c>
      <c r="P451" s="483">
        <v>189</v>
      </c>
      <c r="Q451" s="483">
        <v>0</v>
      </c>
      <c r="R451" s="463"/>
      <c r="S451" s="459"/>
      <c r="T451" s="450">
        <f t="shared" si="30"/>
        <v>5528</v>
      </c>
      <c r="U451" s="451">
        <f t="shared" si="31"/>
        <v>5390</v>
      </c>
      <c r="V451" s="463">
        <v>433</v>
      </c>
      <c r="W451" s="483">
        <v>375</v>
      </c>
      <c r="X451" s="463">
        <v>75</v>
      </c>
      <c r="Y451" s="483">
        <v>0</v>
      </c>
      <c r="Z451" s="463">
        <v>5020</v>
      </c>
      <c r="AA451" s="463">
        <v>0</v>
      </c>
      <c r="AB451" s="463">
        <v>0</v>
      </c>
      <c r="AC451" s="483">
        <v>5015</v>
      </c>
      <c r="AD451" s="483">
        <v>0</v>
      </c>
      <c r="AE451" s="483">
        <v>0</v>
      </c>
      <c r="AF451" s="463"/>
      <c r="AG451" s="617"/>
    </row>
    <row r="452" spans="1:33" s="14" customFormat="1" ht="15.75" customHeight="1">
      <c r="A452" s="367" t="s">
        <v>436</v>
      </c>
      <c r="B452" s="365" t="s">
        <v>781</v>
      </c>
      <c r="C452" s="448"/>
      <c r="D452" s="567">
        <v>483036</v>
      </c>
      <c r="E452" s="41">
        <v>3</v>
      </c>
      <c r="F452" s="450">
        <f t="shared" si="28"/>
        <v>39440</v>
      </c>
      <c r="G452" s="451">
        <f t="shared" si="29"/>
        <v>36958</v>
      </c>
      <c r="H452" s="463">
        <v>10185</v>
      </c>
      <c r="I452" s="483">
        <v>2595</v>
      </c>
      <c r="J452" s="463">
        <v>444</v>
      </c>
      <c r="K452" s="483">
        <v>342</v>
      </c>
      <c r="L452" s="463">
        <v>27142</v>
      </c>
      <c r="M452" s="463">
        <v>1669</v>
      </c>
      <c r="N452" s="463">
        <v>0</v>
      </c>
      <c r="O452" s="483">
        <v>32397</v>
      </c>
      <c r="P452" s="483">
        <v>1624</v>
      </c>
      <c r="Q452" s="483">
        <v>0</v>
      </c>
      <c r="R452" s="463"/>
      <c r="S452" s="459"/>
      <c r="T452" s="450">
        <f t="shared" si="30"/>
        <v>7891</v>
      </c>
      <c r="U452" s="451">
        <f t="shared" si="31"/>
        <v>7961</v>
      </c>
      <c r="V452" s="463">
        <v>2134</v>
      </c>
      <c r="W452" s="483">
        <v>312</v>
      </c>
      <c r="X452" s="463">
        <v>0</v>
      </c>
      <c r="Y452" s="483">
        <v>0</v>
      </c>
      <c r="Z452" s="463">
        <v>5508</v>
      </c>
      <c r="AA452" s="463">
        <v>249</v>
      </c>
      <c r="AB452" s="463">
        <v>0</v>
      </c>
      <c r="AC452" s="483">
        <v>6710</v>
      </c>
      <c r="AD452" s="483">
        <v>939</v>
      </c>
      <c r="AE452" s="483">
        <v>0</v>
      </c>
      <c r="AF452" s="463"/>
      <c r="AG452" s="617"/>
    </row>
    <row r="453" spans="1:33" s="14" customFormat="1" ht="15.75" customHeight="1">
      <c r="A453" s="367" t="s">
        <v>436</v>
      </c>
      <c r="B453" s="365" t="s">
        <v>782</v>
      </c>
      <c r="C453" s="448" t="s">
        <v>945</v>
      </c>
      <c r="D453" s="534">
        <v>225432</v>
      </c>
      <c r="E453" s="566">
        <v>4</v>
      </c>
      <c r="F453" s="450">
        <f t="shared" si="28"/>
        <v>293542</v>
      </c>
      <c r="G453" s="451">
        <f t="shared" si="29"/>
        <v>295433</v>
      </c>
      <c r="H453" s="463">
        <v>55135</v>
      </c>
      <c r="I453" s="483">
        <v>33511</v>
      </c>
      <c r="J453" s="463">
        <v>3035</v>
      </c>
      <c r="K453" s="483">
        <v>1966</v>
      </c>
      <c r="L453" s="463">
        <v>235043</v>
      </c>
      <c r="M453" s="463">
        <v>329</v>
      </c>
      <c r="N453" s="463">
        <v>0</v>
      </c>
      <c r="O453" s="483">
        <v>259465</v>
      </c>
      <c r="P453" s="483">
        <v>491</v>
      </c>
      <c r="Q453" s="483">
        <v>0</v>
      </c>
      <c r="R453" s="463"/>
      <c r="S453" s="459"/>
      <c r="T453" s="450">
        <f t="shared" si="30"/>
        <v>27336</v>
      </c>
      <c r="U453" s="451">
        <f t="shared" si="31"/>
        <v>26950</v>
      </c>
      <c r="V453" s="463">
        <v>1077</v>
      </c>
      <c r="W453" s="483">
        <v>837</v>
      </c>
      <c r="X453" s="463">
        <v>0</v>
      </c>
      <c r="Y453" s="483">
        <v>0</v>
      </c>
      <c r="Z453" s="463">
        <v>26220</v>
      </c>
      <c r="AA453" s="463">
        <v>39</v>
      </c>
      <c r="AB453" s="463">
        <v>0</v>
      </c>
      <c r="AC453" s="483">
        <v>26062</v>
      </c>
      <c r="AD453" s="483">
        <v>51</v>
      </c>
      <c r="AE453" s="483">
        <v>0</v>
      </c>
      <c r="AF453" s="463"/>
      <c r="AG453" s="617"/>
    </row>
    <row r="454" spans="1:33" s="14" customFormat="1" ht="15.75" customHeight="1">
      <c r="A454" s="367" t="s">
        <v>436</v>
      </c>
      <c r="B454" s="365" t="s">
        <v>783</v>
      </c>
      <c r="C454" s="448" t="s">
        <v>945</v>
      </c>
      <c r="D454" s="534">
        <v>225502</v>
      </c>
      <c r="E454" s="566">
        <v>4</v>
      </c>
      <c r="F454" s="450">
        <f t="shared" si="28"/>
        <v>75176</v>
      </c>
      <c r="G454" s="451">
        <f t="shared" si="29"/>
        <v>71106</v>
      </c>
      <c r="H454" s="463">
        <v>10029</v>
      </c>
      <c r="I454" s="483">
        <v>5479</v>
      </c>
      <c r="J454" s="463">
        <v>1404</v>
      </c>
      <c r="K454" s="483">
        <v>885</v>
      </c>
      <c r="L454" s="463">
        <v>61964</v>
      </c>
      <c r="M454" s="463">
        <v>1779</v>
      </c>
      <c r="N454" s="463">
        <v>0</v>
      </c>
      <c r="O454" s="483">
        <v>64184</v>
      </c>
      <c r="P454" s="483">
        <v>558</v>
      </c>
      <c r="Q454" s="483">
        <v>0</v>
      </c>
      <c r="R454" s="463"/>
      <c r="S454" s="459"/>
      <c r="T454" s="450">
        <f t="shared" si="30"/>
        <v>24568</v>
      </c>
      <c r="U454" s="451">
        <f t="shared" si="31"/>
        <v>21280</v>
      </c>
      <c r="V454" s="463">
        <v>127</v>
      </c>
      <c r="W454" s="483">
        <v>90</v>
      </c>
      <c r="X454" s="463">
        <v>769</v>
      </c>
      <c r="Y454" s="483">
        <v>405</v>
      </c>
      <c r="Z454" s="463">
        <v>22997</v>
      </c>
      <c r="AA454" s="463">
        <v>675</v>
      </c>
      <c r="AB454" s="463">
        <v>0</v>
      </c>
      <c r="AC454" s="483">
        <v>20374</v>
      </c>
      <c r="AD454" s="483">
        <v>411</v>
      </c>
      <c r="AE454" s="483">
        <v>0</v>
      </c>
      <c r="AF454" s="463"/>
      <c r="AG454" s="617"/>
    </row>
    <row r="455" spans="1:33" s="14" customFormat="1" ht="15.75" customHeight="1">
      <c r="A455" s="367" t="s">
        <v>436</v>
      </c>
      <c r="B455" s="365" t="s">
        <v>784</v>
      </c>
      <c r="C455" s="448" t="s">
        <v>946</v>
      </c>
      <c r="D455" s="534" t="s">
        <v>785</v>
      </c>
      <c r="E455" s="566">
        <v>5</v>
      </c>
      <c r="F455" s="450">
        <f t="shared" si="28"/>
        <v>14314</v>
      </c>
      <c r="G455" s="451">
        <f t="shared" si="29"/>
        <v>13433</v>
      </c>
      <c r="H455" s="463">
        <v>629</v>
      </c>
      <c r="I455" s="483">
        <v>726</v>
      </c>
      <c r="J455" s="463">
        <v>168</v>
      </c>
      <c r="K455" s="483">
        <v>144</v>
      </c>
      <c r="L455" s="463">
        <v>9309</v>
      </c>
      <c r="M455" s="463">
        <v>2142</v>
      </c>
      <c r="N455" s="463">
        <v>2066</v>
      </c>
      <c r="O455" s="483">
        <v>11441</v>
      </c>
      <c r="P455" s="483">
        <v>1122</v>
      </c>
      <c r="Q455" s="483">
        <v>0</v>
      </c>
      <c r="R455" s="463"/>
      <c r="S455" s="459"/>
      <c r="T455" s="450">
        <f t="shared" si="30"/>
        <v>1512</v>
      </c>
      <c r="U455" s="451">
        <f t="shared" si="31"/>
        <v>1596</v>
      </c>
      <c r="V455" s="463">
        <v>192</v>
      </c>
      <c r="W455" s="483">
        <v>6</v>
      </c>
      <c r="X455" s="463">
        <v>120</v>
      </c>
      <c r="Y455" s="483">
        <v>174</v>
      </c>
      <c r="Z455" s="463">
        <v>948</v>
      </c>
      <c r="AA455" s="463">
        <v>90</v>
      </c>
      <c r="AB455" s="463">
        <v>162</v>
      </c>
      <c r="AC455" s="483">
        <v>1398</v>
      </c>
      <c r="AD455" s="483">
        <v>18</v>
      </c>
      <c r="AE455" s="483">
        <v>0</v>
      </c>
      <c r="AF455" s="463"/>
      <c r="AG455" s="617"/>
    </row>
    <row r="456" spans="1:33" s="14" customFormat="1" ht="15.75" customHeight="1">
      <c r="A456" s="367" t="s">
        <v>436</v>
      </c>
      <c r="B456" s="365" t="s">
        <v>786</v>
      </c>
      <c r="C456" s="448" t="s">
        <v>946</v>
      </c>
      <c r="D456" s="534">
        <v>228714</v>
      </c>
      <c r="E456" s="566">
        <v>5</v>
      </c>
      <c r="F456" s="450">
        <f t="shared" ref="F456:F519" si="32">SUM(H456,J456,L456,M456,N456,R456)</f>
        <v>50583</v>
      </c>
      <c r="G456" s="451">
        <f t="shared" ref="G456:G519" si="33">SUM(I456,K456,O456,P456,Q456,S456)</f>
        <v>49604</v>
      </c>
      <c r="H456" s="463">
        <v>28418</v>
      </c>
      <c r="I456" s="483">
        <v>42548</v>
      </c>
      <c r="J456" s="463">
        <v>5621</v>
      </c>
      <c r="K456" s="483">
        <v>3041</v>
      </c>
      <c r="L456" s="463">
        <v>16475</v>
      </c>
      <c r="M456" s="463">
        <v>9</v>
      </c>
      <c r="N456" s="463">
        <v>60</v>
      </c>
      <c r="O456" s="483">
        <v>3915</v>
      </c>
      <c r="P456" s="483">
        <v>0</v>
      </c>
      <c r="Q456" s="483">
        <v>100</v>
      </c>
      <c r="R456" s="463"/>
      <c r="S456" s="459"/>
      <c r="T456" s="450">
        <f t="shared" ref="T456:T519" si="34">SUM(V456,X456,Z456,AA456,AB456,AF456)</f>
        <v>2949</v>
      </c>
      <c r="U456" s="451">
        <f t="shared" ref="U456:U519" si="35">SUM(W456,Y456,AC456,AD456,AE456,AG456)</f>
        <v>3330</v>
      </c>
      <c r="V456" s="463">
        <v>1326</v>
      </c>
      <c r="W456" s="483">
        <v>2040</v>
      </c>
      <c r="X456" s="463">
        <v>143</v>
      </c>
      <c r="Y456" s="483">
        <v>219</v>
      </c>
      <c r="Z456" s="463">
        <v>1446</v>
      </c>
      <c r="AA456" s="463">
        <v>0</v>
      </c>
      <c r="AB456" s="463">
        <v>34</v>
      </c>
      <c r="AC456" s="483">
        <v>1070</v>
      </c>
      <c r="AD456" s="483">
        <v>0</v>
      </c>
      <c r="AE456" s="483">
        <v>1</v>
      </c>
      <c r="AF456" s="463"/>
      <c r="AG456" s="617"/>
    </row>
    <row r="457" spans="1:33" s="14" customFormat="1" ht="15.75" customHeight="1">
      <c r="A457" s="367" t="s">
        <v>436</v>
      </c>
      <c r="B457" s="365" t="s">
        <v>787</v>
      </c>
      <c r="C457" s="448" t="s">
        <v>946</v>
      </c>
      <c r="D457" s="567">
        <v>870501</v>
      </c>
      <c r="E457" s="41">
        <v>4</v>
      </c>
      <c r="F457" s="450">
        <f t="shared" si="32"/>
        <v>134983</v>
      </c>
      <c r="G457" s="451">
        <f t="shared" si="33"/>
        <v>133102</v>
      </c>
      <c r="H457" s="463">
        <v>45530</v>
      </c>
      <c r="I457" s="483">
        <v>25164</v>
      </c>
      <c r="J457" s="463">
        <v>807</v>
      </c>
      <c r="K457" s="483">
        <v>0</v>
      </c>
      <c r="L457" s="463">
        <v>88493</v>
      </c>
      <c r="M457" s="463">
        <v>0</v>
      </c>
      <c r="N457" s="463">
        <v>153</v>
      </c>
      <c r="O457" s="483">
        <v>107489</v>
      </c>
      <c r="P457" s="483">
        <v>0</v>
      </c>
      <c r="Q457" s="483">
        <v>449</v>
      </c>
      <c r="R457" s="463"/>
      <c r="S457" s="459"/>
      <c r="T457" s="450">
        <f t="shared" si="34"/>
        <v>10713</v>
      </c>
      <c r="U457" s="451">
        <f t="shared" si="35"/>
        <v>8326</v>
      </c>
      <c r="V457" s="463">
        <v>2115</v>
      </c>
      <c r="W457" s="483">
        <v>1063</v>
      </c>
      <c r="X457" s="463">
        <v>0</v>
      </c>
      <c r="Y457" s="483">
        <v>0</v>
      </c>
      <c r="Z457" s="463">
        <v>7482</v>
      </c>
      <c r="AA457" s="463">
        <v>0</v>
      </c>
      <c r="AB457" s="463">
        <v>1116</v>
      </c>
      <c r="AC457" s="483">
        <v>7263</v>
      </c>
      <c r="AD457" s="483">
        <v>0</v>
      </c>
      <c r="AE457" s="483">
        <v>0</v>
      </c>
      <c r="AF457" s="463"/>
      <c r="AG457" s="617"/>
    </row>
    <row r="458" spans="1:33" s="14" customFormat="1" ht="15.75" customHeight="1">
      <c r="A458" s="367" t="s">
        <v>436</v>
      </c>
      <c r="B458" s="365" t="s">
        <v>788</v>
      </c>
      <c r="C458" s="568" t="s">
        <v>947</v>
      </c>
      <c r="D458" s="534">
        <v>223506</v>
      </c>
      <c r="E458" s="566">
        <v>7</v>
      </c>
      <c r="F458" s="450">
        <f t="shared" si="32"/>
        <v>66819</v>
      </c>
      <c r="G458" s="451">
        <f t="shared" si="33"/>
        <v>66450</v>
      </c>
      <c r="H458" s="463">
        <v>22631</v>
      </c>
      <c r="I458" s="483">
        <v>14106</v>
      </c>
      <c r="J458" s="463">
        <v>1074</v>
      </c>
      <c r="K458" s="483">
        <v>991</v>
      </c>
      <c r="L458" s="463">
        <v>43114</v>
      </c>
      <c r="M458" s="463">
        <v>0</v>
      </c>
      <c r="N458" s="463">
        <v>0</v>
      </c>
      <c r="O458" s="483">
        <v>51353</v>
      </c>
      <c r="P458" s="483">
        <v>0</v>
      </c>
      <c r="Q458" s="483">
        <v>0</v>
      </c>
      <c r="R458" s="463"/>
      <c r="S458" s="459"/>
      <c r="T458" s="450">
        <f t="shared" si="34"/>
        <v>0</v>
      </c>
      <c r="U458" s="451">
        <f t="shared" si="35"/>
        <v>0</v>
      </c>
      <c r="V458" s="463">
        <v>0</v>
      </c>
      <c r="W458" s="483">
        <v>0</v>
      </c>
      <c r="X458" s="463">
        <v>0</v>
      </c>
      <c r="Y458" s="483">
        <v>0</v>
      </c>
      <c r="Z458" s="463">
        <v>0</v>
      </c>
      <c r="AA458" s="463">
        <v>0</v>
      </c>
      <c r="AB458" s="463">
        <v>0</v>
      </c>
      <c r="AC458" s="483">
        <v>0</v>
      </c>
      <c r="AD458" s="483">
        <v>0</v>
      </c>
      <c r="AE458" s="483">
        <v>0</v>
      </c>
      <c r="AF458" s="463"/>
      <c r="AG458" s="617"/>
    </row>
    <row r="459" spans="1:33" s="14" customFormat="1" ht="15.75" customHeight="1">
      <c r="A459" s="367" t="s">
        <v>436</v>
      </c>
      <c r="B459" s="365" t="s">
        <v>789</v>
      </c>
      <c r="C459" s="568" t="s">
        <v>947</v>
      </c>
      <c r="D459" s="534">
        <v>226806</v>
      </c>
      <c r="E459" s="566">
        <v>7</v>
      </c>
      <c r="F459" s="450">
        <f t="shared" si="32"/>
        <v>87722</v>
      </c>
      <c r="G459" s="451">
        <f t="shared" si="33"/>
        <v>86243</v>
      </c>
      <c r="H459" s="463">
        <v>28881</v>
      </c>
      <c r="I459" s="483">
        <v>30732</v>
      </c>
      <c r="J459" s="463">
        <v>9972</v>
      </c>
      <c r="K459" s="483">
        <v>10367</v>
      </c>
      <c r="L459" s="463">
        <v>48230</v>
      </c>
      <c r="M459" s="463">
        <v>639</v>
      </c>
      <c r="N459" s="463">
        <v>0</v>
      </c>
      <c r="O459" s="483">
        <v>44670</v>
      </c>
      <c r="P459" s="483">
        <v>474</v>
      </c>
      <c r="Q459" s="483">
        <v>0</v>
      </c>
      <c r="R459" s="463"/>
      <c r="S459" s="459"/>
      <c r="T459" s="450">
        <f t="shared" si="34"/>
        <v>0</v>
      </c>
      <c r="U459" s="451">
        <f t="shared" si="35"/>
        <v>0</v>
      </c>
      <c r="V459" s="463">
        <v>0</v>
      </c>
      <c r="W459" s="483">
        <v>0</v>
      </c>
      <c r="X459" s="463">
        <v>0</v>
      </c>
      <c r="Y459" s="483">
        <v>0</v>
      </c>
      <c r="Z459" s="463">
        <v>0</v>
      </c>
      <c r="AA459" s="463">
        <v>0</v>
      </c>
      <c r="AB459" s="463">
        <v>0</v>
      </c>
      <c r="AC459" s="483">
        <v>0</v>
      </c>
      <c r="AD459" s="483">
        <v>0</v>
      </c>
      <c r="AE459" s="483">
        <v>0</v>
      </c>
      <c r="AF459" s="463"/>
      <c r="AG459" s="617"/>
    </row>
    <row r="460" spans="1:33" s="14" customFormat="1" ht="15.75" customHeight="1">
      <c r="A460" s="367" t="s">
        <v>436</v>
      </c>
      <c r="B460" s="365" t="s">
        <v>790</v>
      </c>
      <c r="C460" s="568" t="s">
        <v>948</v>
      </c>
      <c r="D460" s="534">
        <v>409315</v>
      </c>
      <c r="E460" s="566">
        <v>7</v>
      </c>
      <c r="F460" s="450">
        <f t="shared" si="32"/>
        <v>591272</v>
      </c>
      <c r="G460" s="451">
        <f t="shared" si="33"/>
        <v>524265</v>
      </c>
      <c r="H460" s="463">
        <v>213381</v>
      </c>
      <c r="I460" s="483">
        <v>119684</v>
      </c>
      <c r="J460" s="463">
        <v>0</v>
      </c>
      <c r="K460" s="483">
        <v>0</v>
      </c>
      <c r="L460" s="463">
        <v>377891</v>
      </c>
      <c r="M460" s="463">
        <v>0</v>
      </c>
      <c r="N460" s="463">
        <v>0</v>
      </c>
      <c r="O460" s="483">
        <v>404581</v>
      </c>
      <c r="P460" s="483">
        <v>0</v>
      </c>
      <c r="Q460" s="483">
        <v>0</v>
      </c>
      <c r="R460" s="463"/>
      <c r="S460" s="459"/>
      <c r="T460" s="450">
        <f t="shared" si="34"/>
        <v>0</v>
      </c>
      <c r="U460" s="451">
        <f t="shared" si="35"/>
        <v>0</v>
      </c>
      <c r="V460" s="463">
        <v>0</v>
      </c>
      <c r="W460" s="483">
        <v>0</v>
      </c>
      <c r="X460" s="463">
        <v>0</v>
      </c>
      <c r="Y460" s="483">
        <v>0</v>
      </c>
      <c r="Z460" s="463">
        <v>0</v>
      </c>
      <c r="AA460" s="463">
        <v>0</v>
      </c>
      <c r="AB460" s="463">
        <v>0</v>
      </c>
      <c r="AC460" s="483">
        <v>0</v>
      </c>
      <c r="AD460" s="483">
        <v>0</v>
      </c>
      <c r="AE460" s="483">
        <v>0</v>
      </c>
      <c r="AF460" s="463"/>
      <c r="AG460" s="617"/>
    </row>
    <row r="461" spans="1:33" s="14" customFormat="1" ht="15.75" customHeight="1">
      <c r="A461" s="367" t="s">
        <v>436</v>
      </c>
      <c r="B461" s="365" t="s">
        <v>791</v>
      </c>
      <c r="C461" s="569"/>
      <c r="D461" s="534">
        <v>222576</v>
      </c>
      <c r="E461" s="566">
        <v>8</v>
      </c>
      <c r="F461" s="450">
        <f t="shared" si="32"/>
        <v>166868</v>
      </c>
      <c r="G461" s="451">
        <f t="shared" si="33"/>
        <v>160783</v>
      </c>
      <c r="H461" s="463">
        <v>77187</v>
      </c>
      <c r="I461" s="483">
        <v>67059</v>
      </c>
      <c r="J461" s="463">
        <v>7069</v>
      </c>
      <c r="K461" s="483">
        <v>9694</v>
      </c>
      <c r="L461" s="463">
        <v>82306</v>
      </c>
      <c r="M461" s="463">
        <v>306</v>
      </c>
      <c r="N461" s="463">
        <v>0</v>
      </c>
      <c r="O461" s="483">
        <v>83922</v>
      </c>
      <c r="P461" s="483">
        <v>108</v>
      </c>
      <c r="Q461" s="483">
        <v>0</v>
      </c>
      <c r="R461" s="463"/>
      <c r="S461" s="459"/>
      <c r="T461" s="450">
        <f t="shared" si="34"/>
        <v>0</v>
      </c>
      <c r="U461" s="451">
        <f t="shared" si="35"/>
        <v>0</v>
      </c>
      <c r="V461" s="463">
        <v>0</v>
      </c>
      <c r="W461" s="483">
        <v>0</v>
      </c>
      <c r="X461" s="463">
        <v>0</v>
      </c>
      <c r="Y461" s="483">
        <v>0</v>
      </c>
      <c r="Z461" s="463">
        <v>0</v>
      </c>
      <c r="AA461" s="463">
        <v>0</v>
      </c>
      <c r="AB461" s="463">
        <v>0</v>
      </c>
      <c r="AC461" s="483">
        <v>0</v>
      </c>
      <c r="AD461" s="483">
        <v>0</v>
      </c>
      <c r="AE461" s="483">
        <v>0</v>
      </c>
      <c r="AF461" s="463"/>
      <c r="AG461" s="617"/>
    </row>
    <row r="462" spans="1:33" s="14" customFormat="1" ht="15.75" customHeight="1">
      <c r="A462" s="367" t="s">
        <v>436</v>
      </c>
      <c r="B462" s="365" t="s">
        <v>792</v>
      </c>
      <c r="C462" s="569"/>
      <c r="D462" s="534">
        <v>222992</v>
      </c>
      <c r="E462" s="566">
        <v>8</v>
      </c>
      <c r="F462" s="450">
        <f t="shared" si="32"/>
        <v>722940</v>
      </c>
      <c r="G462" s="451">
        <f t="shared" si="33"/>
        <v>674400</v>
      </c>
      <c r="H462" s="463">
        <v>231307</v>
      </c>
      <c r="I462" s="483">
        <v>73995</v>
      </c>
      <c r="J462" s="463">
        <v>20846</v>
      </c>
      <c r="K462" s="483">
        <v>18690</v>
      </c>
      <c r="L462" s="463">
        <v>470787</v>
      </c>
      <c r="M462" s="463">
        <v>0</v>
      </c>
      <c r="N462" s="463">
        <v>0</v>
      </c>
      <c r="O462" s="483">
        <v>581715</v>
      </c>
      <c r="P462" s="483">
        <v>0</v>
      </c>
      <c r="Q462" s="483">
        <v>0</v>
      </c>
      <c r="R462" s="463"/>
      <c r="S462" s="459"/>
      <c r="T462" s="450">
        <f t="shared" si="34"/>
        <v>0</v>
      </c>
      <c r="U462" s="451">
        <f t="shared" si="35"/>
        <v>0</v>
      </c>
      <c r="V462" s="463">
        <v>0</v>
      </c>
      <c r="W462" s="483">
        <v>0</v>
      </c>
      <c r="X462" s="463">
        <v>0</v>
      </c>
      <c r="Y462" s="483">
        <v>0</v>
      </c>
      <c r="Z462" s="463">
        <v>0</v>
      </c>
      <c r="AA462" s="463">
        <v>0</v>
      </c>
      <c r="AB462" s="463">
        <v>0</v>
      </c>
      <c r="AC462" s="483">
        <v>0</v>
      </c>
      <c r="AD462" s="483">
        <v>0</v>
      </c>
      <c r="AE462" s="483">
        <v>0</v>
      </c>
      <c r="AF462" s="463"/>
      <c r="AG462" s="617"/>
    </row>
    <row r="463" spans="1:33" s="14" customFormat="1" ht="15.75" customHeight="1">
      <c r="A463" s="367" t="s">
        <v>436</v>
      </c>
      <c r="B463" s="365" t="s">
        <v>794</v>
      </c>
      <c r="C463" s="569" t="s">
        <v>949</v>
      </c>
      <c r="D463" s="534">
        <v>223427</v>
      </c>
      <c r="E463" s="566">
        <v>8</v>
      </c>
      <c r="F463" s="450">
        <f t="shared" si="32"/>
        <v>408413</v>
      </c>
      <c r="G463" s="451">
        <f t="shared" si="33"/>
        <v>361863</v>
      </c>
      <c r="H463" s="463">
        <v>25308</v>
      </c>
      <c r="I463" s="483">
        <v>20582</v>
      </c>
      <c r="J463" s="463">
        <v>107915</v>
      </c>
      <c r="K463" s="483">
        <v>89735</v>
      </c>
      <c r="L463" s="463">
        <v>265522</v>
      </c>
      <c r="M463" s="463">
        <v>9665</v>
      </c>
      <c r="N463" s="463">
        <v>3</v>
      </c>
      <c r="O463" s="483">
        <v>230622</v>
      </c>
      <c r="P463" s="483">
        <v>16607</v>
      </c>
      <c r="Q463" s="483">
        <v>4317</v>
      </c>
      <c r="R463" s="463"/>
      <c r="S463" s="459"/>
      <c r="T463" s="450">
        <f t="shared" si="34"/>
        <v>0</v>
      </c>
      <c r="U463" s="451">
        <f t="shared" si="35"/>
        <v>0</v>
      </c>
      <c r="V463" s="463">
        <v>0</v>
      </c>
      <c r="W463" s="483">
        <v>0</v>
      </c>
      <c r="X463" s="463">
        <v>0</v>
      </c>
      <c r="Y463" s="483">
        <v>0</v>
      </c>
      <c r="Z463" s="463">
        <v>0</v>
      </c>
      <c r="AA463" s="463">
        <v>0</v>
      </c>
      <c r="AB463" s="463">
        <v>0</v>
      </c>
      <c r="AC463" s="483">
        <v>0</v>
      </c>
      <c r="AD463" s="483">
        <v>0</v>
      </c>
      <c r="AE463" s="483">
        <v>0</v>
      </c>
      <c r="AF463" s="463"/>
      <c r="AG463" s="617"/>
    </row>
    <row r="464" spans="1:33" s="14" customFormat="1" ht="15.75" customHeight="1">
      <c r="A464" s="367" t="s">
        <v>436</v>
      </c>
      <c r="B464" s="365" t="s">
        <v>795</v>
      </c>
      <c r="C464" s="568"/>
      <c r="D464" s="534">
        <v>223524</v>
      </c>
      <c r="E464" s="566">
        <v>8</v>
      </c>
      <c r="F464" s="450">
        <f t="shared" si="32"/>
        <v>135968</v>
      </c>
      <c r="G464" s="451">
        <f t="shared" si="33"/>
        <v>0</v>
      </c>
      <c r="H464" s="463">
        <v>50660</v>
      </c>
      <c r="I464" s="459"/>
      <c r="J464" s="463">
        <v>4186</v>
      </c>
      <c r="K464" s="459"/>
      <c r="L464" s="463">
        <v>81122</v>
      </c>
      <c r="M464" s="463">
        <v>0</v>
      </c>
      <c r="N464" s="463">
        <v>0</v>
      </c>
      <c r="O464" s="459"/>
      <c r="P464" s="459"/>
      <c r="Q464" s="459"/>
      <c r="R464" s="463"/>
      <c r="S464" s="459"/>
      <c r="T464" s="450">
        <f t="shared" si="34"/>
        <v>0</v>
      </c>
      <c r="U464" s="451">
        <f t="shared" si="35"/>
        <v>0</v>
      </c>
      <c r="V464" s="463">
        <v>0</v>
      </c>
      <c r="W464" s="483">
        <v>0</v>
      </c>
      <c r="X464" s="463">
        <v>0</v>
      </c>
      <c r="Y464" s="483">
        <v>0</v>
      </c>
      <c r="Z464" s="463">
        <v>0</v>
      </c>
      <c r="AA464" s="463">
        <v>0</v>
      </c>
      <c r="AB464" s="463">
        <v>0</v>
      </c>
      <c r="AC464" s="483">
        <v>0</v>
      </c>
      <c r="AD464" s="483">
        <v>0</v>
      </c>
      <c r="AE464" s="483">
        <v>0</v>
      </c>
      <c r="AF464" s="463"/>
      <c r="AG464" s="617"/>
    </row>
    <row r="465" spans="1:33" s="14" customFormat="1" ht="15.75" customHeight="1">
      <c r="A465" s="367" t="s">
        <v>436</v>
      </c>
      <c r="B465" s="365" t="s">
        <v>796</v>
      </c>
      <c r="C465" s="569"/>
      <c r="D465" s="534">
        <v>223816</v>
      </c>
      <c r="E465" s="566">
        <v>8</v>
      </c>
      <c r="F465" s="450">
        <f t="shared" si="32"/>
        <v>201609</v>
      </c>
      <c r="G465" s="451">
        <f t="shared" si="33"/>
        <v>168756</v>
      </c>
      <c r="H465" s="463">
        <v>32259</v>
      </c>
      <c r="I465" s="483">
        <v>21547</v>
      </c>
      <c r="J465" s="463">
        <v>13078</v>
      </c>
      <c r="K465" s="483">
        <v>5786</v>
      </c>
      <c r="L465" s="463">
        <v>136438</v>
      </c>
      <c r="M465" s="463">
        <v>19647</v>
      </c>
      <c r="N465" s="463">
        <v>187</v>
      </c>
      <c r="O465" s="483">
        <v>122333</v>
      </c>
      <c r="P465" s="483">
        <v>18838</v>
      </c>
      <c r="Q465" s="483">
        <v>252</v>
      </c>
      <c r="R465" s="463"/>
      <c r="S465" s="459"/>
      <c r="T465" s="450">
        <f t="shared" si="34"/>
        <v>0</v>
      </c>
      <c r="U465" s="451">
        <f t="shared" si="35"/>
        <v>0</v>
      </c>
      <c r="V465" s="463">
        <v>0</v>
      </c>
      <c r="W465" s="483">
        <v>0</v>
      </c>
      <c r="X465" s="463">
        <v>0</v>
      </c>
      <c r="Y465" s="483">
        <v>0</v>
      </c>
      <c r="Z465" s="463">
        <v>0</v>
      </c>
      <c r="AA465" s="463">
        <v>0</v>
      </c>
      <c r="AB465" s="463">
        <v>0</v>
      </c>
      <c r="AC465" s="483">
        <v>0</v>
      </c>
      <c r="AD465" s="483">
        <v>0</v>
      </c>
      <c r="AE465" s="483">
        <v>0</v>
      </c>
      <c r="AF465" s="463"/>
      <c r="AG465" s="617"/>
    </row>
    <row r="466" spans="1:33" s="14" customFormat="1" ht="15.75" customHeight="1">
      <c r="A466" s="367" t="s">
        <v>436</v>
      </c>
      <c r="B466" s="365" t="s">
        <v>797</v>
      </c>
      <c r="C466" s="569"/>
      <c r="D466" s="534">
        <v>247834</v>
      </c>
      <c r="E466" s="566">
        <v>8</v>
      </c>
      <c r="F466" s="450">
        <f t="shared" si="32"/>
        <v>640606</v>
      </c>
      <c r="G466" s="451">
        <f t="shared" si="33"/>
        <v>627448</v>
      </c>
      <c r="H466" s="463">
        <v>208802</v>
      </c>
      <c r="I466" s="483">
        <v>181981</v>
      </c>
      <c r="J466" s="463">
        <v>41879</v>
      </c>
      <c r="K466" s="483">
        <v>40409</v>
      </c>
      <c r="L466" s="463">
        <v>389835</v>
      </c>
      <c r="M466" s="463">
        <v>0</v>
      </c>
      <c r="N466" s="463">
        <v>90</v>
      </c>
      <c r="O466" s="483">
        <v>405058</v>
      </c>
      <c r="P466" s="483">
        <v>0</v>
      </c>
      <c r="Q466" s="483">
        <v>0</v>
      </c>
      <c r="R466" s="463"/>
      <c r="S466" s="459"/>
      <c r="T466" s="450">
        <f t="shared" si="34"/>
        <v>0</v>
      </c>
      <c r="U466" s="451">
        <f t="shared" si="35"/>
        <v>0</v>
      </c>
      <c r="V466" s="463">
        <v>0</v>
      </c>
      <c r="W466" s="483">
        <v>0</v>
      </c>
      <c r="X466" s="463">
        <v>0</v>
      </c>
      <c r="Y466" s="483">
        <v>0</v>
      </c>
      <c r="Z466" s="463">
        <v>0</v>
      </c>
      <c r="AA466" s="463">
        <v>0</v>
      </c>
      <c r="AB466" s="463">
        <v>0</v>
      </c>
      <c r="AC466" s="483">
        <v>0</v>
      </c>
      <c r="AD466" s="483">
        <v>0</v>
      </c>
      <c r="AE466" s="483">
        <v>0</v>
      </c>
      <c r="AF466" s="463"/>
      <c r="AG466" s="617"/>
    </row>
    <row r="467" spans="1:33" s="14" customFormat="1" ht="15.75" customHeight="1">
      <c r="A467" s="367" t="s">
        <v>436</v>
      </c>
      <c r="B467" s="365" t="s">
        <v>798</v>
      </c>
      <c r="C467" s="569"/>
      <c r="D467" s="534">
        <v>224350</v>
      </c>
      <c r="E467" s="566">
        <v>8</v>
      </c>
      <c r="F467" s="450">
        <f t="shared" si="32"/>
        <v>193052</v>
      </c>
      <c r="G467" s="451">
        <f t="shared" si="33"/>
        <v>193040</v>
      </c>
      <c r="H467" s="463">
        <v>95810</v>
      </c>
      <c r="I467" s="483">
        <v>57901</v>
      </c>
      <c r="J467" s="463">
        <v>4207</v>
      </c>
      <c r="K467" s="483">
        <v>3175</v>
      </c>
      <c r="L467" s="463">
        <v>91076</v>
      </c>
      <c r="M467" s="463">
        <v>1959</v>
      </c>
      <c r="N467" s="463">
        <v>0</v>
      </c>
      <c r="O467" s="483">
        <v>130374</v>
      </c>
      <c r="P467" s="483">
        <v>1590</v>
      </c>
      <c r="Q467" s="483">
        <v>0</v>
      </c>
      <c r="R467" s="463"/>
      <c r="S467" s="459"/>
      <c r="T467" s="450">
        <f t="shared" si="34"/>
        <v>0</v>
      </c>
      <c r="U467" s="451">
        <f t="shared" si="35"/>
        <v>0</v>
      </c>
      <c r="V467" s="463">
        <v>0</v>
      </c>
      <c r="W467" s="483">
        <v>0</v>
      </c>
      <c r="X467" s="463">
        <v>0</v>
      </c>
      <c r="Y467" s="483">
        <v>0</v>
      </c>
      <c r="Z467" s="463">
        <v>0</v>
      </c>
      <c r="AA467" s="463">
        <v>0</v>
      </c>
      <c r="AB467" s="463">
        <v>0</v>
      </c>
      <c r="AC467" s="483">
        <v>0</v>
      </c>
      <c r="AD467" s="483">
        <v>0</v>
      </c>
      <c r="AE467" s="483">
        <v>0</v>
      </c>
      <c r="AF467" s="463"/>
      <c r="AG467" s="617"/>
    </row>
    <row r="468" spans="1:33" s="14" customFormat="1" ht="15.75" customHeight="1">
      <c r="A468" s="367" t="s">
        <v>436</v>
      </c>
      <c r="B468" s="365" t="s">
        <v>799</v>
      </c>
      <c r="C468" s="569" t="s">
        <v>950</v>
      </c>
      <c r="D468" s="534">
        <v>224572</v>
      </c>
      <c r="E468" s="566">
        <v>8</v>
      </c>
      <c r="F468" s="450">
        <f t="shared" si="32"/>
        <v>193615</v>
      </c>
      <c r="G468" s="451">
        <f t="shared" si="33"/>
        <v>0</v>
      </c>
      <c r="H468" s="463">
        <v>70359</v>
      </c>
      <c r="I468" s="459"/>
      <c r="J468" s="463">
        <v>21301</v>
      </c>
      <c r="K468" s="459"/>
      <c r="L468" s="463">
        <v>101834</v>
      </c>
      <c r="M468" s="463">
        <v>0</v>
      </c>
      <c r="N468" s="463">
        <v>121</v>
      </c>
      <c r="O468" s="459"/>
      <c r="P468" s="459"/>
      <c r="Q468" s="459"/>
      <c r="R468" s="463"/>
      <c r="S468" s="459"/>
      <c r="T468" s="450">
        <f t="shared" si="34"/>
        <v>0</v>
      </c>
      <c r="U468" s="451">
        <f t="shared" si="35"/>
        <v>0</v>
      </c>
      <c r="V468" s="463">
        <v>0</v>
      </c>
      <c r="W468" s="483">
        <v>0</v>
      </c>
      <c r="X468" s="463">
        <v>0</v>
      </c>
      <c r="Y468" s="483">
        <v>0</v>
      </c>
      <c r="Z468" s="463">
        <v>0</v>
      </c>
      <c r="AA468" s="463">
        <v>0</v>
      </c>
      <c r="AB468" s="463">
        <v>0</v>
      </c>
      <c r="AC468" s="483">
        <v>0</v>
      </c>
      <c r="AD468" s="483">
        <v>0</v>
      </c>
      <c r="AE468" s="483">
        <v>0</v>
      </c>
      <c r="AF468" s="463"/>
      <c r="AG468" s="617"/>
    </row>
    <row r="469" spans="1:33" s="14" customFormat="1" ht="15.75" customHeight="1">
      <c r="A469" s="367" t="s">
        <v>436</v>
      </c>
      <c r="B469" s="365" t="s">
        <v>800</v>
      </c>
      <c r="C469" s="569" t="s">
        <v>950</v>
      </c>
      <c r="D469" s="534">
        <v>224615</v>
      </c>
      <c r="E469" s="566">
        <v>8</v>
      </c>
      <c r="F469" s="450">
        <f t="shared" si="32"/>
        <v>107210</v>
      </c>
      <c r="G469" s="451">
        <f t="shared" si="33"/>
        <v>0</v>
      </c>
      <c r="H469" s="463">
        <v>39319</v>
      </c>
      <c r="I469" s="459"/>
      <c r="J469" s="463">
        <v>7960</v>
      </c>
      <c r="K469" s="459"/>
      <c r="L469" s="463">
        <v>59931</v>
      </c>
      <c r="M469" s="463">
        <v>0</v>
      </c>
      <c r="N469" s="463">
        <v>0</v>
      </c>
      <c r="O469" s="459"/>
      <c r="P469" s="459"/>
      <c r="Q469" s="459"/>
      <c r="R469" s="463"/>
      <c r="S469" s="459"/>
      <c r="T469" s="450">
        <f t="shared" si="34"/>
        <v>0</v>
      </c>
      <c r="U469" s="451">
        <f t="shared" si="35"/>
        <v>0</v>
      </c>
      <c r="V469" s="463">
        <v>0</v>
      </c>
      <c r="W469" s="483">
        <v>0</v>
      </c>
      <c r="X469" s="463">
        <v>0</v>
      </c>
      <c r="Y469" s="483">
        <v>0</v>
      </c>
      <c r="Z469" s="463">
        <v>0</v>
      </c>
      <c r="AA469" s="463">
        <v>0</v>
      </c>
      <c r="AB469" s="463">
        <v>0</v>
      </c>
      <c r="AC469" s="483">
        <v>0</v>
      </c>
      <c r="AD469" s="483">
        <v>0</v>
      </c>
      <c r="AE469" s="483">
        <v>0</v>
      </c>
      <c r="AF469" s="463"/>
      <c r="AG469" s="617"/>
    </row>
    <row r="470" spans="1:33" s="14" customFormat="1" ht="15.75" customHeight="1">
      <c r="A470" s="367" t="s">
        <v>436</v>
      </c>
      <c r="B470" s="365" t="s">
        <v>801</v>
      </c>
      <c r="C470" s="569"/>
      <c r="D470" s="534">
        <v>224642</v>
      </c>
      <c r="E470" s="566">
        <v>8</v>
      </c>
      <c r="F470" s="450">
        <f t="shared" si="32"/>
        <v>489541</v>
      </c>
      <c r="G470" s="451">
        <f t="shared" si="33"/>
        <v>420247</v>
      </c>
      <c r="H470" s="463">
        <v>144491</v>
      </c>
      <c r="I470" s="483">
        <v>25421</v>
      </c>
      <c r="J470" s="463">
        <v>34137</v>
      </c>
      <c r="K470" s="483">
        <v>37999</v>
      </c>
      <c r="L470" s="463">
        <v>310913</v>
      </c>
      <c r="M470" s="463">
        <v>0</v>
      </c>
      <c r="N470" s="463">
        <v>0</v>
      </c>
      <c r="O470" s="483">
        <v>356827</v>
      </c>
      <c r="P470" s="483">
        <v>0</v>
      </c>
      <c r="Q470" s="483">
        <v>0</v>
      </c>
      <c r="R470" s="463"/>
      <c r="S470" s="459"/>
      <c r="T470" s="450">
        <f t="shared" si="34"/>
        <v>0</v>
      </c>
      <c r="U470" s="451">
        <f t="shared" si="35"/>
        <v>0</v>
      </c>
      <c r="V470" s="463">
        <v>0</v>
      </c>
      <c r="W470" s="483">
        <v>0</v>
      </c>
      <c r="X470" s="463">
        <v>0</v>
      </c>
      <c r="Y470" s="483">
        <v>0</v>
      </c>
      <c r="Z470" s="463">
        <v>0</v>
      </c>
      <c r="AA470" s="463">
        <v>0</v>
      </c>
      <c r="AB470" s="463">
        <v>0</v>
      </c>
      <c r="AC470" s="483">
        <v>0</v>
      </c>
      <c r="AD470" s="483">
        <v>0</v>
      </c>
      <c r="AE470" s="483">
        <v>0</v>
      </c>
      <c r="AF470" s="463"/>
      <c r="AG470" s="617"/>
    </row>
    <row r="471" spans="1:33" s="14" customFormat="1" ht="15.75" customHeight="1">
      <c r="A471" s="421" t="s">
        <v>436</v>
      </c>
      <c r="B471" s="365" t="s">
        <v>802</v>
      </c>
      <c r="C471" s="569"/>
      <c r="D471" s="534">
        <v>225423</v>
      </c>
      <c r="E471" s="566">
        <v>8</v>
      </c>
      <c r="F471" s="450">
        <f t="shared" si="32"/>
        <v>955174</v>
      </c>
      <c r="G471" s="451">
        <f t="shared" si="33"/>
        <v>866165</v>
      </c>
      <c r="H471" s="463">
        <v>223918</v>
      </c>
      <c r="I471" s="483">
        <v>57821</v>
      </c>
      <c r="J471" s="463">
        <v>75957</v>
      </c>
      <c r="K471" s="483">
        <v>26518</v>
      </c>
      <c r="L471" s="463">
        <v>655299</v>
      </c>
      <c r="M471" s="463">
        <v>0</v>
      </c>
      <c r="N471" s="463">
        <v>0</v>
      </c>
      <c r="O471" s="483">
        <v>781826</v>
      </c>
      <c r="P471" s="483">
        <v>0</v>
      </c>
      <c r="Q471" s="483">
        <v>0</v>
      </c>
      <c r="R471" s="463"/>
      <c r="S471" s="459"/>
      <c r="T471" s="450">
        <f t="shared" si="34"/>
        <v>0</v>
      </c>
      <c r="U471" s="451">
        <f t="shared" si="35"/>
        <v>0</v>
      </c>
      <c r="V471" s="463">
        <v>0</v>
      </c>
      <c r="W471" s="483">
        <v>0</v>
      </c>
      <c r="X471" s="463">
        <v>0</v>
      </c>
      <c r="Y471" s="483">
        <v>0</v>
      </c>
      <c r="Z471" s="463">
        <v>0</v>
      </c>
      <c r="AA471" s="463">
        <v>0</v>
      </c>
      <c r="AB471" s="463">
        <v>0</v>
      </c>
      <c r="AC471" s="483">
        <v>0</v>
      </c>
      <c r="AD471" s="483">
        <v>0</v>
      </c>
      <c r="AE471" s="483">
        <v>0</v>
      </c>
      <c r="AF471" s="463"/>
      <c r="AG471" s="617"/>
    </row>
    <row r="472" spans="1:33" s="14" customFormat="1" ht="15.75" customHeight="1">
      <c r="A472" s="421" t="s">
        <v>436</v>
      </c>
      <c r="B472" s="365" t="s">
        <v>803</v>
      </c>
      <c r="C472" s="569"/>
      <c r="D472" s="534">
        <v>226134</v>
      </c>
      <c r="E472" s="566">
        <v>8</v>
      </c>
      <c r="F472" s="450">
        <f t="shared" si="32"/>
        <v>145391</v>
      </c>
      <c r="G472" s="451">
        <f t="shared" si="33"/>
        <v>183455</v>
      </c>
      <c r="H472" s="463">
        <v>47717</v>
      </c>
      <c r="I472" s="483">
        <v>19501</v>
      </c>
      <c r="J472" s="463">
        <v>23119</v>
      </c>
      <c r="K472" s="483">
        <v>18873</v>
      </c>
      <c r="L472" s="463">
        <v>74246</v>
      </c>
      <c r="M472" s="463">
        <v>309</v>
      </c>
      <c r="N472" s="463">
        <v>0</v>
      </c>
      <c r="O472" s="483">
        <v>142284</v>
      </c>
      <c r="P472" s="483">
        <v>2797</v>
      </c>
      <c r="Q472" s="483">
        <v>0</v>
      </c>
      <c r="R472" s="463"/>
      <c r="S472" s="459"/>
      <c r="T472" s="450">
        <f t="shared" si="34"/>
        <v>0</v>
      </c>
      <c r="U472" s="451">
        <f t="shared" si="35"/>
        <v>0</v>
      </c>
      <c r="V472" s="463">
        <v>0</v>
      </c>
      <c r="W472" s="483">
        <v>0</v>
      </c>
      <c r="X472" s="463">
        <v>0</v>
      </c>
      <c r="Y472" s="483">
        <v>0</v>
      </c>
      <c r="Z472" s="463">
        <v>0</v>
      </c>
      <c r="AA472" s="463">
        <v>0</v>
      </c>
      <c r="AB472" s="463">
        <v>0</v>
      </c>
      <c r="AC472" s="483">
        <v>0</v>
      </c>
      <c r="AD472" s="483">
        <v>0</v>
      </c>
      <c r="AE472" s="483">
        <v>0</v>
      </c>
      <c r="AF472" s="463"/>
      <c r="AG472" s="617"/>
    </row>
    <row r="473" spans="1:33" s="14" customFormat="1" ht="15.75" customHeight="1">
      <c r="A473" s="421" t="s">
        <v>436</v>
      </c>
      <c r="B473" s="365" t="s">
        <v>804</v>
      </c>
      <c r="C473" s="569"/>
      <c r="D473" s="534">
        <v>227182</v>
      </c>
      <c r="E473" s="566">
        <v>8</v>
      </c>
      <c r="F473" s="450">
        <f t="shared" si="32"/>
        <v>1236648</v>
      </c>
      <c r="G473" s="451">
        <f t="shared" si="33"/>
        <v>1268558</v>
      </c>
      <c r="H473" s="463">
        <v>314472</v>
      </c>
      <c r="I473" s="483">
        <v>86904</v>
      </c>
      <c r="J473" s="463">
        <v>90811</v>
      </c>
      <c r="K473" s="483">
        <v>72123</v>
      </c>
      <c r="L473" s="463">
        <v>831365</v>
      </c>
      <c r="M473" s="463">
        <v>0</v>
      </c>
      <c r="N473" s="463">
        <v>0</v>
      </c>
      <c r="O473" s="483">
        <v>1109531</v>
      </c>
      <c r="P473" s="483">
        <v>0</v>
      </c>
      <c r="Q473" s="483">
        <v>0</v>
      </c>
      <c r="R473" s="463"/>
      <c r="S473" s="459"/>
      <c r="T473" s="450">
        <f t="shared" si="34"/>
        <v>0</v>
      </c>
      <c r="U473" s="451">
        <f t="shared" si="35"/>
        <v>0</v>
      </c>
      <c r="V473" s="463">
        <v>0</v>
      </c>
      <c r="W473" s="483">
        <v>0</v>
      </c>
      <c r="X473" s="463">
        <v>0</v>
      </c>
      <c r="Y473" s="483">
        <v>0</v>
      </c>
      <c r="Z473" s="463">
        <v>0</v>
      </c>
      <c r="AA473" s="463">
        <v>0</v>
      </c>
      <c r="AB473" s="463">
        <v>0</v>
      </c>
      <c r="AC473" s="483">
        <v>0</v>
      </c>
      <c r="AD473" s="483">
        <v>0</v>
      </c>
      <c r="AE473" s="483">
        <v>0</v>
      </c>
      <c r="AF473" s="463"/>
      <c r="AG473" s="617"/>
    </row>
    <row r="474" spans="1:33" s="14" customFormat="1" ht="15.75" customHeight="1">
      <c r="A474" s="421" t="s">
        <v>436</v>
      </c>
      <c r="B474" s="365" t="s">
        <v>805</v>
      </c>
      <c r="C474" s="569"/>
      <c r="D474" s="534">
        <v>226578</v>
      </c>
      <c r="E474" s="566">
        <v>8</v>
      </c>
      <c r="F474" s="450">
        <f t="shared" si="32"/>
        <v>168316</v>
      </c>
      <c r="G474" s="451">
        <f t="shared" si="33"/>
        <v>151035</v>
      </c>
      <c r="H474" s="463">
        <v>41760</v>
      </c>
      <c r="I474" s="483">
        <v>24926</v>
      </c>
      <c r="J474" s="463">
        <v>0</v>
      </c>
      <c r="K474" s="483">
        <v>0</v>
      </c>
      <c r="L474" s="463">
        <v>126385</v>
      </c>
      <c r="M474" s="463">
        <v>171</v>
      </c>
      <c r="N474" s="463">
        <v>0</v>
      </c>
      <c r="O474" s="483">
        <v>126109</v>
      </c>
      <c r="P474" s="483">
        <v>0</v>
      </c>
      <c r="Q474" s="483">
        <v>0</v>
      </c>
      <c r="R474" s="463"/>
      <c r="S474" s="459"/>
      <c r="T474" s="450">
        <f t="shared" si="34"/>
        <v>0</v>
      </c>
      <c r="U474" s="451">
        <f t="shared" si="35"/>
        <v>0</v>
      </c>
      <c r="V474" s="463">
        <v>0</v>
      </c>
      <c r="W474" s="483">
        <v>0</v>
      </c>
      <c r="X474" s="463">
        <v>0</v>
      </c>
      <c r="Y474" s="483">
        <v>0</v>
      </c>
      <c r="Z474" s="463">
        <v>0</v>
      </c>
      <c r="AA474" s="463">
        <v>0</v>
      </c>
      <c r="AB474" s="463">
        <v>0</v>
      </c>
      <c r="AC474" s="483">
        <v>0</v>
      </c>
      <c r="AD474" s="483">
        <v>0</v>
      </c>
      <c r="AE474" s="483">
        <v>0</v>
      </c>
      <c r="AF474" s="463"/>
      <c r="AG474" s="617"/>
    </row>
    <row r="475" spans="1:33" s="14" customFormat="1" ht="15.75" customHeight="1">
      <c r="A475" s="421" t="s">
        <v>436</v>
      </c>
      <c r="B475" s="365" t="s">
        <v>806</v>
      </c>
      <c r="C475" s="570" t="s">
        <v>950</v>
      </c>
      <c r="D475" s="534">
        <v>226930</v>
      </c>
      <c r="E475" s="566">
        <v>8</v>
      </c>
      <c r="F475" s="450">
        <f t="shared" si="32"/>
        <v>119701</v>
      </c>
      <c r="G475" s="451">
        <f t="shared" si="33"/>
        <v>0</v>
      </c>
      <c r="H475" s="463">
        <v>45733</v>
      </c>
      <c r="I475" s="459"/>
      <c r="J475" s="463">
        <v>6261</v>
      </c>
      <c r="K475" s="459"/>
      <c r="L475" s="463">
        <v>67707</v>
      </c>
      <c r="M475" s="463">
        <v>0</v>
      </c>
      <c r="N475" s="463">
        <v>0</v>
      </c>
      <c r="O475" s="459"/>
      <c r="P475" s="459"/>
      <c r="Q475" s="459"/>
      <c r="R475" s="463"/>
      <c r="S475" s="459"/>
      <c r="T475" s="450">
        <f t="shared" si="34"/>
        <v>0</v>
      </c>
      <c r="U475" s="451">
        <f t="shared" si="35"/>
        <v>0</v>
      </c>
      <c r="V475" s="463">
        <v>0</v>
      </c>
      <c r="W475" s="483">
        <v>0</v>
      </c>
      <c r="X475" s="463">
        <v>0</v>
      </c>
      <c r="Y475" s="483">
        <v>0</v>
      </c>
      <c r="Z475" s="463">
        <v>0</v>
      </c>
      <c r="AA475" s="463">
        <v>0</v>
      </c>
      <c r="AB475" s="463">
        <v>0</v>
      </c>
      <c r="AC475" s="483">
        <v>0</v>
      </c>
      <c r="AD475" s="483">
        <v>0</v>
      </c>
      <c r="AE475" s="483">
        <v>0</v>
      </c>
      <c r="AF475" s="463"/>
      <c r="AG475" s="617"/>
    </row>
    <row r="476" spans="1:33" s="14" customFormat="1" ht="15.75" customHeight="1">
      <c r="A476" s="421" t="s">
        <v>436</v>
      </c>
      <c r="B476" s="365" t="s">
        <v>807</v>
      </c>
      <c r="C476" s="569" t="s">
        <v>951</v>
      </c>
      <c r="D476" s="534">
        <v>227146</v>
      </c>
      <c r="E476" s="566">
        <v>8</v>
      </c>
      <c r="F476" s="450">
        <f t="shared" si="32"/>
        <v>151825</v>
      </c>
      <c r="G476" s="451">
        <f t="shared" si="33"/>
        <v>134849</v>
      </c>
      <c r="H476" s="463">
        <v>35423</v>
      </c>
      <c r="I476" s="483">
        <v>26353</v>
      </c>
      <c r="J476" s="463">
        <v>54239</v>
      </c>
      <c r="K476" s="483">
        <v>35440</v>
      </c>
      <c r="L476" s="463">
        <v>62163</v>
      </c>
      <c r="M476" s="463">
        <v>0</v>
      </c>
      <c r="N476" s="463">
        <v>0</v>
      </c>
      <c r="O476" s="483">
        <v>72960</v>
      </c>
      <c r="P476" s="483">
        <v>96</v>
      </c>
      <c r="Q476" s="483">
        <v>0</v>
      </c>
      <c r="R476" s="463"/>
      <c r="S476" s="459"/>
      <c r="T476" s="450">
        <f t="shared" si="34"/>
        <v>0</v>
      </c>
      <c r="U476" s="451">
        <f t="shared" si="35"/>
        <v>0</v>
      </c>
      <c r="V476" s="463">
        <v>0</v>
      </c>
      <c r="W476" s="483">
        <v>0</v>
      </c>
      <c r="X476" s="463">
        <v>0</v>
      </c>
      <c r="Y476" s="483">
        <v>0</v>
      </c>
      <c r="Z476" s="463">
        <v>0</v>
      </c>
      <c r="AA476" s="463">
        <v>0</v>
      </c>
      <c r="AB476" s="463">
        <v>0</v>
      </c>
      <c r="AC476" s="483">
        <v>0</v>
      </c>
      <c r="AD476" s="483">
        <v>0</v>
      </c>
      <c r="AE476" s="483">
        <v>0</v>
      </c>
      <c r="AF476" s="463"/>
      <c r="AG476" s="617"/>
    </row>
    <row r="477" spans="1:33" s="14" customFormat="1" ht="15.75" customHeight="1">
      <c r="A477" s="421" t="s">
        <v>436</v>
      </c>
      <c r="B477" s="365" t="s">
        <v>808</v>
      </c>
      <c r="C477" s="569"/>
      <c r="D477" s="534">
        <v>224110</v>
      </c>
      <c r="E477" s="566">
        <v>8</v>
      </c>
      <c r="F477" s="450">
        <f t="shared" si="32"/>
        <v>168484</v>
      </c>
      <c r="G477" s="451">
        <f t="shared" si="33"/>
        <v>150323</v>
      </c>
      <c r="H477" s="463">
        <v>12104</v>
      </c>
      <c r="I477" s="483">
        <v>10326</v>
      </c>
      <c r="J477" s="463">
        <v>42060</v>
      </c>
      <c r="K477" s="483">
        <v>23801</v>
      </c>
      <c r="L477" s="463">
        <v>114155</v>
      </c>
      <c r="M477" s="463">
        <v>150</v>
      </c>
      <c r="N477" s="463">
        <v>15</v>
      </c>
      <c r="O477" s="483">
        <v>116022</v>
      </c>
      <c r="P477" s="483">
        <v>171</v>
      </c>
      <c r="Q477" s="483">
        <v>3</v>
      </c>
      <c r="R477" s="463"/>
      <c r="S477" s="459"/>
      <c r="T477" s="450">
        <f t="shared" si="34"/>
        <v>0</v>
      </c>
      <c r="U477" s="451">
        <f t="shared" si="35"/>
        <v>0</v>
      </c>
      <c r="V477" s="463">
        <v>0</v>
      </c>
      <c r="W477" s="483">
        <v>0</v>
      </c>
      <c r="X477" s="463">
        <v>0</v>
      </c>
      <c r="Y477" s="483">
        <v>0</v>
      </c>
      <c r="Z477" s="463">
        <v>0</v>
      </c>
      <c r="AA477" s="463">
        <v>0</v>
      </c>
      <c r="AB477" s="463">
        <v>0</v>
      </c>
      <c r="AC477" s="483">
        <v>0</v>
      </c>
      <c r="AD477" s="483">
        <v>0</v>
      </c>
      <c r="AE477" s="483">
        <v>0</v>
      </c>
      <c r="AF477" s="463"/>
      <c r="AG477" s="617"/>
    </row>
    <row r="478" spans="1:33" s="14" customFormat="1" ht="15.75" customHeight="1">
      <c r="A478" s="421" t="s">
        <v>436</v>
      </c>
      <c r="B478" s="365" t="s">
        <v>809</v>
      </c>
      <c r="C478" s="569" t="s">
        <v>950</v>
      </c>
      <c r="D478" s="534">
        <v>227191</v>
      </c>
      <c r="E478" s="566">
        <v>8</v>
      </c>
      <c r="F478" s="450">
        <f t="shared" si="32"/>
        <v>123876</v>
      </c>
      <c r="G478" s="451">
        <f t="shared" si="33"/>
        <v>0</v>
      </c>
      <c r="H478" s="463">
        <v>39947</v>
      </c>
      <c r="I478" s="459"/>
      <c r="J478" s="463">
        <v>2483</v>
      </c>
      <c r="K478" s="459"/>
      <c r="L478" s="463">
        <v>81446</v>
      </c>
      <c r="M478" s="463">
        <v>0</v>
      </c>
      <c r="N478" s="463">
        <v>0</v>
      </c>
      <c r="O478" s="459"/>
      <c r="P478" s="459"/>
      <c r="Q478" s="459"/>
      <c r="R478" s="463"/>
      <c r="S478" s="459"/>
      <c r="T478" s="450">
        <f t="shared" si="34"/>
        <v>0</v>
      </c>
      <c r="U478" s="451">
        <f t="shared" si="35"/>
        <v>0</v>
      </c>
      <c r="V478" s="463">
        <v>0</v>
      </c>
      <c r="W478" s="483">
        <v>0</v>
      </c>
      <c r="X478" s="463">
        <v>0</v>
      </c>
      <c r="Y478" s="483">
        <v>0</v>
      </c>
      <c r="Z478" s="463">
        <v>0</v>
      </c>
      <c r="AA478" s="463">
        <v>0</v>
      </c>
      <c r="AB478" s="463">
        <v>0</v>
      </c>
      <c r="AC478" s="483">
        <v>0</v>
      </c>
      <c r="AD478" s="483">
        <v>0</v>
      </c>
      <c r="AE478" s="483">
        <v>0</v>
      </c>
      <c r="AF478" s="463"/>
      <c r="AG478" s="617"/>
    </row>
    <row r="479" spans="1:33" s="14" customFormat="1" ht="15.75" customHeight="1">
      <c r="A479" s="421" t="s">
        <v>436</v>
      </c>
      <c r="B479" s="365" t="s">
        <v>810</v>
      </c>
      <c r="C479" s="569"/>
      <c r="D479" s="534">
        <v>420398</v>
      </c>
      <c r="E479" s="566">
        <v>8</v>
      </c>
      <c r="F479" s="450">
        <f t="shared" si="32"/>
        <v>286134</v>
      </c>
      <c r="G479" s="451">
        <f t="shared" si="33"/>
        <v>252191</v>
      </c>
      <c r="H479" s="463">
        <v>153586</v>
      </c>
      <c r="I479" s="483">
        <v>20267</v>
      </c>
      <c r="J479" s="463">
        <v>41752</v>
      </c>
      <c r="K479" s="483">
        <v>39361</v>
      </c>
      <c r="L479" s="463">
        <v>90796</v>
      </c>
      <c r="M479" s="463">
        <v>0</v>
      </c>
      <c r="N479" s="463">
        <v>0</v>
      </c>
      <c r="O479" s="483">
        <v>100079</v>
      </c>
      <c r="P479" s="483">
        <v>0</v>
      </c>
      <c r="Q479" s="483">
        <v>92484</v>
      </c>
      <c r="R479" s="463"/>
      <c r="S479" s="459"/>
      <c r="T479" s="450">
        <f t="shared" si="34"/>
        <v>0</v>
      </c>
      <c r="U479" s="451">
        <f t="shared" si="35"/>
        <v>0</v>
      </c>
      <c r="V479" s="463">
        <v>0</v>
      </c>
      <c r="W479" s="483">
        <v>0</v>
      </c>
      <c r="X479" s="463">
        <v>0</v>
      </c>
      <c r="Y479" s="483">
        <v>0</v>
      </c>
      <c r="Z479" s="463">
        <v>0</v>
      </c>
      <c r="AA479" s="463">
        <v>0</v>
      </c>
      <c r="AB479" s="463">
        <v>0</v>
      </c>
      <c r="AC479" s="483">
        <v>0</v>
      </c>
      <c r="AD479" s="483">
        <v>0</v>
      </c>
      <c r="AE479" s="483">
        <v>0</v>
      </c>
      <c r="AF479" s="463"/>
      <c r="AG479" s="617"/>
    </row>
    <row r="480" spans="1:33" s="14" customFormat="1" ht="15.75" customHeight="1">
      <c r="A480" s="421" t="s">
        <v>436</v>
      </c>
      <c r="B480" s="365" t="s">
        <v>811</v>
      </c>
      <c r="C480" s="569" t="s">
        <v>951</v>
      </c>
      <c r="D480" s="534">
        <v>246354</v>
      </c>
      <c r="E480" s="566">
        <v>8</v>
      </c>
      <c r="F480" s="450">
        <f t="shared" si="32"/>
        <v>163134</v>
      </c>
      <c r="G480" s="451">
        <f t="shared" si="33"/>
        <v>145243</v>
      </c>
      <c r="H480" s="463">
        <v>77970</v>
      </c>
      <c r="I480" s="483">
        <v>20943</v>
      </c>
      <c r="J480" s="463">
        <v>10838</v>
      </c>
      <c r="K480" s="483">
        <v>12685</v>
      </c>
      <c r="L480" s="463">
        <v>74326</v>
      </c>
      <c r="M480" s="463">
        <v>0</v>
      </c>
      <c r="N480" s="463">
        <v>0</v>
      </c>
      <c r="O480" s="483">
        <v>72871</v>
      </c>
      <c r="P480" s="483">
        <v>0</v>
      </c>
      <c r="Q480" s="483">
        <v>38744</v>
      </c>
      <c r="R480" s="463"/>
      <c r="S480" s="459"/>
      <c r="T480" s="450">
        <f t="shared" si="34"/>
        <v>0</v>
      </c>
      <c r="U480" s="451">
        <f t="shared" si="35"/>
        <v>0</v>
      </c>
      <c r="V480" s="463">
        <v>0</v>
      </c>
      <c r="W480" s="483">
        <v>0</v>
      </c>
      <c r="X480" s="463">
        <v>0</v>
      </c>
      <c r="Y480" s="483">
        <v>0</v>
      </c>
      <c r="Z480" s="463">
        <v>0</v>
      </c>
      <c r="AA480" s="463">
        <v>0</v>
      </c>
      <c r="AB480" s="463">
        <v>0</v>
      </c>
      <c r="AC480" s="483">
        <v>0</v>
      </c>
      <c r="AD480" s="483">
        <v>0</v>
      </c>
      <c r="AE480" s="483">
        <v>0</v>
      </c>
      <c r="AF480" s="463"/>
      <c r="AG480" s="617"/>
    </row>
    <row r="481" spans="1:33" s="14" customFormat="1" ht="15.75" customHeight="1">
      <c r="A481" s="421" t="s">
        <v>436</v>
      </c>
      <c r="B481" s="365" t="s">
        <v>812</v>
      </c>
      <c r="C481" s="569" t="s">
        <v>950</v>
      </c>
      <c r="D481" s="534">
        <v>227766</v>
      </c>
      <c r="E481" s="566">
        <v>8</v>
      </c>
      <c r="F481" s="450">
        <f t="shared" si="32"/>
        <v>220780</v>
      </c>
      <c r="G481" s="451">
        <f t="shared" si="33"/>
        <v>0</v>
      </c>
      <c r="H481" s="463">
        <v>79724</v>
      </c>
      <c r="I481" s="459"/>
      <c r="J481" s="463">
        <v>13223</v>
      </c>
      <c r="K481" s="459"/>
      <c r="L481" s="463">
        <v>127833</v>
      </c>
      <c r="M481" s="463">
        <v>0</v>
      </c>
      <c r="N481" s="463">
        <v>0</v>
      </c>
      <c r="O481" s="459"/>
      <c r="P481" s="459"/>
      <c r="Q481" s="459"/>
      <c r="R481" s="463"/>
      <c r="S481" s="459"/>
      <c r="T481" s="450">
        <f t="shared" si="34"/>
        <v>0</v>
      </c>
      <c r="U481" s="451">
        <f t="shared" si="35"/>
        <v>0</v>
      </c>
      <c r="V481" s="463">
        <v>0</v>
      </c>
      <c r="W481" s="483">
        <v>0</v>
      </c>
      <c r="X481" s="463">
        <v>0</v>
      </c>
      <c r="Y481" s="483">
        <v>0</v>
      </c>
      <c r="Z481" s="463">
        <v>0</v>
      </c>
      <c r="AA481" s="463">
        <v>0</v>
      </c>
      <c r="AB481" s="463">
        <v>0</v>
      </c>
      <c r="AC481" s="483">
        <v>0</v>
      </c>
      <c r="AD481" s="483">
        <v>0</v>
      </c>
      <c r="AE481" s="483">
        <v>0</v>
      </c>
      <c r="AF481" s="463"/>
      <c r="AG481" s="617"/>
    </row>
    <row r="482" spans="1:33" s="14" customFormat="1" ht="15.75" customHeight="1">
      <c r="A482" s="421" t="s">
        <v>436</v>
      </c>
      <c r="B482" s="365" t="s">
        <v>813</v>
      </c>
      <c r="C482" s="569"/>
      <c r="D482" s="534">
        <v>227924</v>
      </c>
      <c r="E482" s="566">
        <v>8</v>
      </c>
      <c r="F482" s="450">
        <f t="shared" si="32"/>
        <v>303452</v>
      </c>
      <c r="G482" s="451">
        <f t="shared" si="33"/>
        <v>268707</v>
      </c>
      <c r="H482" s="463">
        <v>160935</v>
      </c>
      <c r="I482" s="483">
        <v>57061</v>
      </c>
      <c r="J482" s="463">
        <v>15653</v>
      </c>
      <c r="K482" s="483">
        <v>12837</v>
      </c>
      <c r="L482" s="463">
        <v>126864</v>
      </c>
      <c r="M482" s="463">
        <v>0</v>
      </c>
      <c r="N482" s="463">
        <v>0</v>
      </c>
      <c r="O482" s="483">
        <v>133632</v>
      </c>
      <c r="P482" s="483">
        <v>0</v>
      </c>
      <c r="Q482" s="483">
        <v>65177</v>
      </c>
      <c r="R482" s="463"/>
      <c r="S482" s="459"/>
      <c r="T482" s="450">
        <f t="shared" si="34"/>
        <v>0</v>
      </c>
      <c r="U482" s="451">
        <f t="shared" si="35"/>
        <v>0</v>
      </c>
      <c r="V482" s="463">
        <v>0</v>
      </c>
      <c r="W482" s="483">
        <v>0</v>
      </c>
      <c r="X482" s="463">
        <v>0</v>
      </c>
      <c r="Y482" s="483">
        <v>0</v>
      </c>
      <c r="Z482" s="463">
        <v>0</v>
      </c>
      <c r="AA482" s="463">
        <v>0</v>
      </c>
      <c r="AB482" s="463">
        <v>0</v>
      </c>
      <c r="AC482" s="483">
        <v>0</v>
      </c>
      <c r="AD482" s="483">
        <v>0</v>
      </c>
      <c r="AE482" s="483">
        <v>0</v>
      </c>
      <c r="AF482" s="463"/>
      <c r="AG482" s="617"/>
    </row>
    <row r="483" spans="1:33" s="14" customFormat="1" ht="15.75" customHeight="1">
      <c r="A483" s="421" t="s">
        <v>436</v>
      </c>
      <c r="B483" s="365" t="s">
        <v>814</v>
      </c>
      <c r="C483" s="569"/>
      <c r="D483" s="534">
        <v>227979</v>
      </c>
      <c r="E483" s="566">
        <v>8</v>
      </c>
      <c r="F483" s="450">
        <f t="shared" si="32"/>
        <v>589014</v>
      </c>
      <c r="G483" s="451">
        <f t="shared" si="33"/>
        <v>575198</v>
      </c>
      <c r="H483" s="463">
        <v>192338</v>
      </c>
      <c r="I483" s="483">
        <v>143253</v>
      </c>
      <c r="J483" s="463">
        <v>7029</v>
      </c>
      <c r="K483" s="483">
        <v>7289</v>
      </c>
      <c r="L483" s="463">
        <v>389623</v>
      </c>
      <c r="M483" s="463">
        <v>24</v>
      </c>
      <c r="N483" s="463">
        <v>0</v>
      </c>
      <c r="O483" s="483">
        <v>424656</v>
      </c>
      <c r="P483" s="483">
        <v>0</v>
      </c>
      <c r="Q483" s="483">
        <v>0</v>
      </c>
      <c r="R483" s="463"/>
      <c r="S483" s="459"/>
      <c r="T483" s="450">
        <f t="shared" si="34"/>
        <v>0</v>
      </c>
      <c r="U483" s="451">
        <f t="shared" si="35"/>
        <v>0</v>
      </c>
      <c r="V483" s="463">
        <v>0</v>
      </c>
      <c r="W483" s="483">
        <v>0</v>
      </c>
      <c r="X483" s="463">
        <v>0</v>
      </c>
      <c r="Y483" s="483">
        <v>0</v>
      </c>
      <c r="Z483" s="463">
        <v>0</v>
      </c>
      <c r="AA483" s="463">
        <v>0</v>
      </c>
      <c r="AB483" s="463">
        <v>0</v>
      </c>
      <c r="AC483" s="483">
        <v>0</v>
      </c>
      <c r="AD483" s="483">
        <v>0</v>
      </c>
      <c r="AE483" s="483">
        <v>0</v>
      </c>
      <c r="AF483" s="463"/>
      <c r="AG483" s="617"/>
    </row>
    <row r="484" spans="1:33" s="14" customFormat="1" ht="15.75" customHeight="1">
      <c r="A484" s="421" t="s">
        <v>436</v>
      </c>
      <c r="B484" s="365" t="s">
        <v>815</v>
      </c>
      <c r="C484" s="569"/>
      <c r="D484" s="534">
        <v>228158</v>
      </c>
      <c r="E484" s="566">
        <v>8</v>
      </c>
      <c r="F484" s="450">
        <f t="shared" si="32"/>
        <v>178439</v>
      </c>
      <c r="G484" s="451">
        <f t="shared" si="33"/>
        <v>173949</v>
      </c>
      <c r="H484" s="463">
        <v>51481</v>
      </c>
      <c r="I484" s="483">
        <v>49501</v>
      </c>
      <c r="J484" s="463">
        <v>46399</v>
      </c>
      <c r="K484" s="483">
        <v>42490</v>
      </c>
      <c r="L484" s="463">
        <v>78021</v>
      </c>
      <c r="M484" s="463">
        <v>2538</v>
      </c>
      <c r="N484" s="463">
        <v>0</v>
      </c>
      <c r="O484" s="483">
        <v>80761</v>
      </c>
      <c r="P484" s="483">
        <v>1197</v>
      </c>
      <c r="Q484" s="483">
        <v>0</v>
      </c>
      <c r="R484" s="463"/>
      <c r="S484" s="459"/>
      <c r="T484" s="450">
        <f t="shared" si="34"/>
        <v>0</v>
      </c>
      <c r="U484" s="451">
        <f t="shared" si="35"/>
        <v>0</v>
      </c>
      <c r="V484" s="463">
        <v>0</v>
      </c>
      <c r="W484" s="483">
        <v>0</v>
      </c>
      <c r="X484" s="463">
        <v>0</v>
      </c>
      <c r="Y484" s="483">
        <v>0</v>
      </c>
      <c r="Z484" s="463">
        <v>0</v>
      </c>
      <c r="AA484" s="463">
        <v>0</v>
      </c>
      <c r="AB484" s="463">
        <v>0</v>
      </c>
      <c r="AC484" s="483">
        <v>0</v>
      </c>
      <c r="AD484" s="483">
        <v>0</v>
      </c>
      <c r="AE484" s="483">
        <v>0</v>
      </c>
      <c r="AF484" s="463"/>
      <c r="AG484" s="617"/>
    </row>
    <row r="485" spans="1:33" s="14" customFormat="1" ht="15.75" customHeight="1">
      <c r="A485" s="421" t="s">
        <v>436</v>
      </c>
      <c r="B485" s="365" t="s">
        <v>816</v>
      </c>
      <c r="C485" s="569"/>
      <c r="D485" s="534">
        <v>227854</v>
      </c>
      <c r="E485" s="566">
        <v>8</v>
      </c>
      <c r="F485" s="450">
        <f t="shared" si="32"/>
        <v>183846</v>
      </c>
      <c r="G485" s="451">
        <f t="shared" si="33"/>
        <v>177159</v>
      </c>
      <c r="H485" s="463">
        <v>81995</v>
      </c>
      <c r="I485" s="483">
        <v>27888</v>
      </c>
      <c r="J485" s="463">
        <v>28339</v>
      </c>
      <c r="K485" s="483">
        <v>23955</v>
      </c>
      <c r="L485" s="463">
        <v>73512</v>
      </c>
      <c r="M485" s="463">
        <v>0</v>
      </c>
      <c r="N485" s="463">
        <v>0</v>
      </c>
      <c r="O485" s="483">
        <v>70773</v>
      </c>
      <c r="P485" s="483">
        <v>0</v>
      </c>
      <c r="Q485" s="483">
        <v>54543</v>
      </c>
      <c r="R485" s="463"/>
      <c r="S485" s="459"/>
      <c r="T485" s="450">
        <f t="shared" si="34"/>
        <v>0</v>
      </c>
      <c r="U485" s="451">
        <f t="shared" si="35"/>
        <v>0</v>
      </c>
      <c r="V485" s="463">
        <v>0</v>
      </c>
      <c r="W485" s="483">
        <v>0</v>
      </c>
      <c r="X485" s="463">
        <v>0</v>
      </c>
      <c r="Y485" s="483">
        <v>0</v>
      </c>
      <c r="Z485" s="463">
        <v>0</v>
      </c>
      <c r="AA485" s="463">
        <v>0</v>
      </c>
      <c r="AB485" s="463">
        <v>0</v>
      </c>
      <c r="AC485" s="483">
        <v>0</v>
      </c>
      <c r="AD485" s="483">
        <v>0</v>
      </c>
      <c r="AE485" s="483">
        <v>0</v>
      </c>
      <c r="AF485" s="463"/>
      <c r="AG485" s="617"/>
    </row>
    <row r="486" spans="1:33" s="14" customFormat="1" ht="15.75" customHeight="1">
      <c r="A486" s="421" t="s">
        <v>436</v>
      </c>
      <c r="B486" s="365" t="s">
        <v>817</v>
      </c>
      <c r="C486" s="569"/>
      <c r="D486" s="534">
        <v>228547</v>
      </c>
      <c r="E486" s="566">
        <v>8</v>
      </c>
      <c r="F486" s="450">
        <f t="shared" si="32"/>
        <v>892273</v>
      </c>
      <c r="G486" s="451">
        <f t="shared" si="33"/>
        <v>777956</v>
      </c>
      <c r="H486" s="463">
        <v>661403</v>
      </c>
      <c r="I486" s="483">
        <v>233999</v>
      </c>
      <c r="J486" s="463">
        <v>37574</v>
      </c>
      <c r="K486" s="483">
        <v>28617</v>
      </c>
      <c r="L486" s="463">
        <v>193296</v>
      </c>
      <c r="M486" s="463">
        <v>0</v>
      </c>
      <c r="N486" s="463">
        <v>0</v>
      </c>
      <c r="O486" s="483">
        <v>515340</v>
      </c>
      <c r="P486" s="483">
        <v>0</v>
      </c>
      <c r="Q486" s="483">
        <v>0</v>
      </c>
      <c r="R486" s="463"/>
      <c r="S486" s="459"/>
      <c r="T486" s="450">
        <f t="shared" si="34"/>
        <v>0</v>
      </c>
      <c r="U486" s="451">
        <f t="shared" si="35"/>
        <v>0</v>
      </c>
      <c r="V486" s="463">
        <v>0</v>
      </c>
      <c r="W486" s="483">
        <v>0</v>
      </c>
      <c r="X486" s="463">
        <v>0</v>
      </c>
      <c r="Y486" s="483">
        <v>0</v>
      </c>
      <c r="Z486" s="463">
        <v>0</v>
      </c>
      <c r="AA486" s="463">
        <v>0</v>
      </c>
      <c r="AB486" s="463">
        <v>0</v>
      </c>
      <c r="AC486" s="483">
        <v>0</v>
      </c>
      <c r="AD486" s="483">
        <v>0</v>
      </c>
      <c r="AE486" s="483">
        <v>0</v>
      </c>
      <c r="AF486" s="463"/>
      <c r="AG486" s="617"/>
    </row>
    <row r="487" spans="1:33" s="14" customFormat="1" ht="15.75" customHeight="1">
      <c r="A487" s="421" t="s">
        <v>436</v>
      </c>
      <c r="B487" s="365" t="s">
        <v>818</v>
      </c>
      <c r="C487" s="569" t="s">
        <v>951</v>
      </c>
      <c r="D487" s="534">
        <v>225308</v>
      </c>
      <c r="E487" s="535">
        <v>8</v>
      </c>
      <c r="F487" s="450">
        <f t="shared" si="32"/>
        <v>119610</v>
      </c>
      <c r="G487" s="451">
        <f t="shared" si="33"/>
        <v>111238</v>
      </c>
      <c r="H487" s="463">
        <v>20933</v>
      </c>
      <c r="I487" s="483">
        <v>21106</v>
      </c>
      <c r="J487" s="463">
        <v>12142</v>
      </c>
      <c r="K487" s="483">
        <v>13309</v>
      </c>
      <c r="L487" s="463">
        <v>80902</v>
      </c>
      <c r="M487" s="463">
        <v>5633</v>
      </c>
      <c r="N487" s="463">
        <v>0</v>
      </c>
      <c r="O487" s="483">
        <v>73448</v>
      </c>
      <c r="P487" s="483">
        <v>3375</v>
      </c>
      <c r="Q487" s="483">
        <v>0</v>
      </c>
      <c r="R487" s="463"/>
      <c r="S487" s="459"/>
      <c r="T487" s="450">
        <f t="shared" si="34"/>
        <v>0</v>
      </c>
      <c r="U487" s="451">
        <f t="shared" si="35"/>
        <v>0</v>
      </c>
      <c r="V487" s="463">
        <v>0</v>
      </c>
      <c r="W487" s="483">
        <v>0</v>
      </c>
      <c r="X487" s="463">
        <v>0</v>
      </c>
      <c r="Y487" s="483">
        <v>0</v>
      </c>
      <c r="Z487" s="463">
        <v>0</v>
      </c>
      <c r="AA487" s="463">
        <v>0</v>
      </c>
      <c r="AB487" s="463">
        <v>0</v>
      </c>
      <c r="AC487" s="483">
        <v>0</v>
      </c>
      <c r="AD487" s="483">
        <v>0</v>
      </c>
      <c r="AE487" s="483">
        <v>0</v>
      </c>
      <c r="AF487" s="463"/>
      <c r="AG487" s="617"/>
    </row>
    <row r="488" spans="1:33" s="14" customFormat="1" ht="15.75" customHeight="1">
      <c r="A488" s="421" t="s">
        <v>436</v>
      </c>
      <c r="B488" s="365" t="s">
        <v>819</v>
      </c>
      <c r="C488" s="569"/>
      <c r="D488" s="534">
        <v>229355</v>
      </c>
      <c r="E488" s="535">
        <v>8</v>
      </c>
      <c r="F488" s="450">
        <f t="shared" si="32"/>
        <v>247920</v>
      </c>
      <c r="G488" s="451">
        <f t="shared" si="33"/>
        <v>238589</v>
      </c>
      <c r="H488" s="463">
        <v>104136</v>
      </c>
      <c r="I488" s="483">
        <v>98796</v>
      </c>
      <c r="J488" s="463">
        <v>13223</v>
      </c>
      <c r="K488" s="483">
        <v>15841</v>
      </c>
      <c r="L488" s="463">
        <v>130561</v>
      </c>
      <c r="M488" s="463">
        <v>0</v>
      </c>
      <c r="N488" s="463">
        <v>0</v>
      </c>
      <c r="O488" s="483">
        <v>123952</v>
      </c>
      <c r="P488" s="483">
        <v>0</v>
      </c>
      <c r="Q488" s="483">
        <v>0</v>
      </c>
      <c r="R488" s="463"/>
      <c r="S488" s="459"/>
      <c r="T488" s="450">
        <f t="shared" si="34"/>
        <v>0</v>
      </c>
      <c r="U488" s="451">
        <f t="shared" si="35"/>
        <v>0</v>
      </c>
      <c r="V488" s="463">
        <v>0</v>
      </c>
      <c r="W488" s="483">
        <v>0</v>
      </c>
      <c r="X488" s="463">
        <v>0</v>
      </c>
      <c r="Y488" s="483">
        <v>0</v>
      </c>
      <c r="Z488" s="463">
        <v>0</v>
      </c>
      <c r="AA488" s="463">
        <v>0</v>
      </c>
      <c r="AB488" s="463">
        <v>0</v>
      </c>
      <c r="AC488" s="483">
        <v>0</v>
      </c>
      <c r="AD488" s="483">
        <v>0</v>
      </c>
      <c r="AE488" s="483">
        <v>0</v>
      </c>
      <c r="AF488" s="463"/>
      <c r="AG488" s="617"/>
    </row>
    <row r="489" spans="1:33" s="14" customFormat="1" ht="15.75" customHeight="1">
      <c r="A489" s="421" t="s">
        <v>436</v>
      </c>
      <c r="B489" s="365" t="s">
        <v>820</v>
      </c>
      <c r="C489" s="569"/>
      <c r="D489" s="534">
        <v>222567</v>
      </c>
      <c r="E489" s="535">
        <v>9</v>
      </c>
      <c r="F489" s="450">
        <f t="shared" si="32"/>
        <v>101159</v>
      </c>
      <c r="G489" s="451">
        <f t="shared" si="33"/>
        <v>90181</v>
      </c>
      <c r="H489" s="463">
        <v>27836</v>
      </c>
      <c r="I489" s="483">
        <v>15931</v>
      </c>
      <c r="J489" s="463">
        <v>19998</v>
      </c>
      <c r="K489" s="483">
        <v>12867</v>
      </c>
      <c r="L489" s="463">
        <v>29107</v>
      </c>
      <c r="M489" s="463">
        <v>24218</v>
      </c>
      <c r="N489" s="463">
        <v>0</v>
      </c>
      <c r="O489" s="483">
        <v>36312</v>
      </c>
      <c r="P489" s="483">
        <v>25071</v>
      </c>
      <c r="Q489" s="483">
        <v>0</v>
      </c>
      <c r="R489" s="463"/>
      <c r="S489" s="459"/>
      <c r="T489" s="450">
        <f t="shared" si="34"/>
        <v>0</v>
      </c>
      <c r="U489" s="451">
        <f t="shared" si="35"/>
        <v>0</v>
      </c>
      <c r="V489" s="463">
        <v>0</v>
      </c>
      <c r="W489" s="483">
        <v>0</v>
      </c>
      <c r="X489" s="463">
        <v>0</v>
      </c>
      <c r="Y489" s="483">
        <v>0</v>
      </c>
      <c r="Z489" s="463">
        <v>0</v>
      </c>
      <c r="AA489" s="463">
        <v>0</v>
      </c>
      <c r="AB489" s="463">
        <v>0</v>
      </c>
      <c r="AC489" s="483">
        <v>0</v>
      </c>
      <c r="AD489" s="483">
        <v>0</v>
      </c>
      <c r="AE489" s="483">
        <v>0</v>
      </c>
      <c r="AF489" s="463"/>
      <c r="AG489" s="617"/>
    </row>
    <row r="490" spans="1:33" s="14" customFormat="1" ht="15.75" customHeight="1">
      <c r="A490" s="421" t="s">
        <v>436</v>
      </c>
      <c r="B490" s="365" t="s">
        <v>821</v>
      </c>
      <c r="C490" s="569"/>
      <c r="D490" s="534">
        <v>222822</v>
      </c>
      <c r="E490" s="535">
        <v>9</v>
      </c>
      <c r="F490" s="450">
        <f t="shared" si="32"/>
        <v>77650</v>
      </c>
      <c r="G490" s="451">
        <f t="shared" si="33"/>
        <v>73448</v>
      </c>
      <c r="H490" s="463">
        <v>17455</v>
      </c>
      <c r="I490" s="483">
        <v>12126</v>
      </c>
      <c r="J490" s="463">
        <v>6627</v>
      </c>
      <c r="K490" s="483">
        <v>8485</v>
      </c>
      <c r="L490" s="463">
        <v>53480</v>
      </c>
      <c r="M490" s="463">
        <v>70</v>
      </c>
      <c r="N490" s="463">
        <v>18</v>
      </c>
      <c r="O490" s="483">
        <v>52837</v>
      </c>
      <c r="P490" s="483">
        <v>0</v>
      </c>
      <c r="Q490" s="483">
        <v>0</v>
      </c>
      <c r="R490" s="463"/>
      <c r="S490" s="459"/>
      <c r="T490" s="450">
        <f t="shared" si="34"/>
        <v>0</v>
      </c>
      <c r="U490" s="451">
        <f t="shared" si="35"/>
        <v>0</v>
      </c>
      <c r="V490" s="463">
        <v>0</v>
      </c>
      <c r="W490" s="483">
        <v>0</v>
      </c>
      <c r="X490" s="463">
        <v>0</v>
      </c>
      <c r="Y490" s="483">
        <v>0</v>
      </c>
      <c r="Z490" s="463">
        <v>0</v>
      </c>
      <c r="AA490" s="463">
        <v>0</v>
      </c>
      <c r="AB490" s="463">
        <v>0</v>
      </c>
      <c r="AC490" s="483">
        <v>0</v>
      </c>
      <c r="AD490" s="483">
        <v>0</v>
      </c>
      <c r="AE490" s="483">
        <v>0</v>
      </c>
      <c r="AF490" s="463"/>
      <c r="AG490" s="617"/>
    </row>
    <row r="491" spans="1:33" s="14" customFormat="1" ht="15.75" customHeight="1">
      <c r="A491" s="421" t="s">
        <v>436</v>
      </c>
      <c r="B491" s="365" t="s">
        <v>822</v>
      </c>
      <c r="C491" s="569" t="s">
        <v>950</v>
      </c>
      <c r="D491" s="534">
        <v>223773</v>
      </c>
      <c r="E491" s="535">
        <v>9</v>
      </c>
      <c r="F491" s="450">
        <f t="shared" si="32"/>
        <v>95881</v>
      </c>
      <c r="G491" s="451">
        <f t="shared" si="33"/>
        <v>0</v>
      </c>
      <c r="H491" s="463">
        <v>22988</v>
      </c>
      <c r="I491" s="459"/>
      <c r="J491" s="463">
        <v>7267</v>
      </c>
      <c r="K491" s="459"/>
      <c r="L491" s="463">
        <v>65626</v>
      </c>
      <c r="M491" s="463">
        <v>0</v>
      </c>
      <c r="N491" s="463">
        <v>0</v>
      </c>
      <c r="O491" s="459"/>
      <c r="P491" s="459"/>
      <c r="Q491" s="459"/>
      <c r="R491" s="463"/>
      <c r="S491" s="459"/>
      <c r="T491" s="450">
        <f t="shared" si="34"/>
        <v>0</v>
      </c>
      <c r="U491" s="451">
        <f t="shared" si="35"/>
        <v>0</v>
      </c>
      <c r="V491" s="463">
        <v>0</v>
      </c>
      <c r="W491" s="483">
        <v>0</v>
      </c>
      <c r="X491" s="463">
        <v>0</v>
      </c>
      <c r="Y491" s="483">
        <v>0</v>
      </c>
      <c r="Z491" s="463">
        <v>0</v>
      </c>
      <c r="AA491" s="463">
        <v>0</v>
      </c>
      <c r="AB491" s="463">
        <v>0</v>
      </c>
      <c r="AC491" s="483">
        <v>0</v>
      </c>
      <c r="AD491" s="483">
        <v>0</v>
      </c>
      <c r="AE491" s="483">
        <v>0</v>
      </c>
      <c r="AF491" s="463"/>
      <c r="AG491" s="617"/>
    </row>
    <row r="492" spans="1:33" s="14" customFormat="1" ht="15.75" customHeight="1">
      <c r="A492" s="421" t="s">
        <v>436</v>
      </c>
      <c r="B492" s="380" t="s">
        <v>823</v>
      </c>
      <c r="C492" s="569"/>
      <c r="D492" s="534">
        <v>223898</v>
      </c>
      <c r="E492" s="535">
        <v>9</v>
      </c>
      <c r="F492" s="450">
        <f t="shared" si="32"/>
        <v>66147</v>
      </c>
      <c r="G492" s="451">
        <f t="shared" si="33"/>
        <v>61493</v>
      </c>
      <c r="H492" s="463">
        <v>792</v>
      </c>
      <c r="I492" s="483">
        <v>5140</v>
      </c>
      <c r="J492" s="463">
        <v>1784</v>
      </c>
      <c r="K492" s="483">
        <v>12019</v>
      </c>
      <c r="L492" s="463">
        <v>63487</v>
      </c>
      <c r="M492" s="463">
        <v>84</v>
      </c>
      <c r="N492" s="463">
        <v>0</v>
      </c>
      <c r="O492" s="483">
        <v>42667</v>
      </c>
      <c r="P492" s="483">
        <v>231</v>
      </c>
      <c r="Q492" s="483">
        <v>1436</v>
      </c>
      <c r="R492" s="463"/>
      <c r="S492" s="459"/>
      <c r="T492" s="450">
        <f t="shared" si="34"/>
        <v>0</v>
      </c>
      <c r="U492" s="451">
        <f t="shared" si="35"/>
        <v>0</v>
      </c>
      <c r="V492" s="463">
        <v>0</v>
      </c>
      <c r="W492" s="483">
        <v>0</v>
      </c>
      <c r="X492" s="463">
        <v>0</v>
      </c>
      <c r="Y492" s="483">
        <v>0</v>
      </c>
      <c r="Z492" s="463">
        <v>0</v>
      </c>
      <c r="AA492" s="463">
        <v>0</v>
      </c>
      <c r="AB492" s="463">
        <v>0</v>
      </c>
      <c r="AC492" s="483">
        <v>0</v>
      </c>
      <c r="AD492" s="483">
        <v>0</v>
      </c>
      <c r="AE492" s="483">
        <v>0</v>
      </c>
      <c r="AF492" s="463"/>
      <c r="AG492" s="617"/>
    </row>
    <row r="493" spans="1:33" s="14" customFormat="1" ht="15.75" customHeight="1">
      <c r="A493" s="421" t="s">
        <v>436</v>
      </c>
      <c r="B493" s="365" t="s">
        <v>824</v>
      </c>
      <c r="C493" s="569"/>
      <c r="D493" s="534">
        <v>223320</v>
      </c>
      <c r="E493" s="535">
        <v>9</v>
      </c>
      <c r="F493" s="450">
        <f t="shared" si="32"/>
        <v>76389</v>
      </c>
      <c r="G493" s="451">
        <f t="shared" si="33"/>
        <v>64245</v>
      </c>
      <c r="H493" s="463">
        <v>6750</v>
      </c>
      <c r="I493" s="483">
        <v>6560</v>
      </c>
      <c r="J493" s="463">
        <v>15128</v>
      </c>
      <c r="K493" s="483">
        <v>11378</v>
      </c>
      <c r="L493" s="463">
        <v>51377</v>
      </c>
      <c r="M493" s="463">
        <v>2813</v>
      </c>
      <c r="N493" s="463">
        <v>321</v>
      </c>
      <c r="O493" s="483">
        <v>45029</v>
      </c>
      <c r="P493" s="483">
        <v>351</v>
      </c>
      <c r="Q493" s="483">
        <v>927</v>
      </c>
      <c r="R493" s="463"/>
      <c r="S493" s="459"/>
      <c r="T493" s="450">
        <f t="shared" si="34"/>
        <v>0</v>
      </c>
      <c r="U493" s="451">
        <f t="shared" si="35"/>
        <v>0</v>
      </c>
      <c r="V493" s="463">
        <v>0</v>
      </c>
      <c r="W493" s="483">
        <v>0</v>
      </c>
      <c r="X493" s="463">
        <v>0</v>
      </c>
      <c r="Y493" s="483">
        <v>0</v>
      </c>
      <c r="Z493" s="463">
        <v>0</v>
      </c>
      <c r="AA493" s="463">
        <v>0</v>
      </c>
      <c r="AB493" s="463">
        <v>0</v>
      </c>
      <c r="AC493" s="483">
        <v>0</v>
      </c>
      <c r="AD493" s="483">
        <v>0</v>
      </c>
      <c r="AE493" s="483">
        <v>0</v>
      </c>
      <c r="AF493" s="463"/>
      <c r="AG493" s="617"/>
    </row>
    <row r="494" spans="1:33" s="14" customFormat="1" ht="15.75" customHeight="1">
      <c r="A494" s="421" t="s">
        <v>436</v>
      </c>
      <c r="B494" s="365" t="s">
        <v>825</v>
      </c>
      <c r="C494" s="569"/>
      <c r="D494" s="534">
        <v>226408</v>
      </c>
      <c r="E494" s="535">
        <v>9</v>
      </c>
      <c r="F494" s="450">
        <f t="shared" si="32"/>
        <v>85885</v>
      </c>
      <c r="G494" s="451">
        <f t="shared" si="33"/>
        <v>76165</v>
      </c>
      <c r="H494" s="463">
        <v>50038</v>
      </c>
      <c r="I494" s="483">
        <v>32638</v>
      </c>
      <c r="J494" s="463">
        <v>3140</v>
      </c>
      <c r="K494" s="483">
        <v>2528</v>
      </c>
      <c r="L494" s="463">
        <v>32707</v>
      </c>
      <c r="M494" s="463">
        <v>0</v>
      </c>
      <c r="N494" s="463">
        <v>0</v>
      </c>
      <c r="O494" s="483">
        <v>40999</v>
      </c>
      <c r="P494" s="483">
        <v>0</v>
      </c>
      <c r="Q494" s="483">
        <v>0</v>
      </c>
      <c r="R494" s="463"/>
      <c r="S494" s="459"/>
      <c r="T494" s="450">
        <f t="shared" si="34"/>
        <v>0</v>
      </c>
      <c r="U494" s="451">
        <f t="shared" si="35"/>
        <v>0</v>
      </c>
      <c r="V494" s="463">
        <v>0</v>
      </c>
      <c r="W494" s="483">
        <v>0</v>
      </c>
      <c r="X494" s="463">
        <v>0</v>
      </c>
      <c r="Y494" s="483">
        <v>0</v>
      </c>
      <c r="Z494" s="463">
        <v>0</v>
      </c>
      <c r="AA494" s="463">
        <v>0</v>
      </c>
      <c r="AB494" s="463">
        <v>0</v>
      </c>
      <c r="AC494" s="483">
        <v>0</v>
      </c>
      <c r="AD494" s="483">
        <v>0</v>
      </c>
      <c r="AE494" s="483">
        <v>0</v>
      </c>
      <c r="AF494" s="463"/>
      <c r="AG494" s="617"/>
    </row>
    <row r="495" spans="1:33" s="14" customFormat="1" ht="15.75" customHeight="1">
      <c r="A495" s="421" t="s">
        <v>436</v>
      </c>
      <c r="B495" s="380" t="s">
        <v>826</v>
      </c>
      <c r="C495" s="569"/>
      <c r="D495" s="534">
        <v>225070</v>
      </c>
      <c r="E495" s="535">
        <v>9</v>
      </c>
      <c r="F495" s="450">
        <f t="shared" si="32"/>
        <v>76820</v>
      </c>
      <c r="G495" s="451">
        <f t="shared" si="33"/>
        <v>70406</v>
      </c>
      <c r="H495" s="463">
        <v>25184</v>
      </c>
      <c r="I495" s="483">
        <v>24599</v>
      </c>
      <c r="J495" s="463">
        <v>0</v>
      </c>
      <c r="K495" s="483">
        <v>0</v>
      </c>
      <c r="L495" s="463">
        <v>51126</v>
      </c>
      <c r="M495" s="463">
        <v>366</v>
      </c>
      <c r="N495" s="463">
        <v>144</v>
      </c>
      <c r="O495" s="483">
        <v>45557</v>
      </c>
      <c r="P495" s="483">
        <v>250</v>
      </c>
      <c r="Q495" s="483">
        <v>0</v>
      </c>
      <c r="R495" s="463"/>
      <c r="S495" s="459"/>
      <c r="T495" s="450">
        <f t="shared" si="34"/>
        <v>0</v>
      </c>
      <c r="U495" s="451">
        <f t="shared" si="35"/>
        <v>0</v>
      </c>
      <c r="V495" s="463">
        <v>0</v>
      </c>
      <c r="W495" s="483">
        <v>0</v>
      </c>
      <c r="X495" s="463">
        <v>0</v>
      </c>
      <c r="Y495" s="483">
        <v>0</v>
      </c>
      <c r="Z495" s="463">
        <v>0</v>
      </c>
      <c r="AA495" s="463">
        <v>0</v>
      </c>
      <c r="AB495" s="463">
        <v>0</v>
      </c>
      <c r="AC495" s="483">
        <v>0</v>
      </c>
      <c r="AD495" s="483">
        <v>0</v>
      </c>
      <c r="AE495" s="483">
        <v>0</v>
      </c>
      <c r="AF495" s="463"/>
      <c r="AG495" s="617"/>
    </row>
    <row r="496" spans="1:33" s="14" customFormat="1" ht="15.75" customHeight="1">
      <c r="A496" s="421" t="s">
        <v>436</v>
      </c>
      <c r="B496" s="365" t="s">
        <v>827</v>
      </c>
      <c r="C496" s="569"/>
      <c r="D496" s="534">
        <v>225371</v>
      </c>
      <c r="E496" s="535">
        <v>9</v>
      </c>
      <c r="F496" s="450">
        <f t="shared" si="32"/>
        <v>81875</v>
      </c>
      <c r="G496" s="451">
        <f t="shared" si="33"/>
        <v>74411</v>
      </c>
      <c r="H496" s="463">
        <v>12834</v>
      </c>
      <c r="I496" s="483">
        <v>15620</v>
      </c>
      <c r="J496" s="463">
        <v>22198</v>
      </c>
      <c r="K496" s="483">
        <v>12394</v>
      </c>
      <c r="L496" s="463">
        <v>46402</v>
      </c>
      <c r="M496" s="463">
        <v>441</v>
      </c>
      <c r="N496" s="463">
        <v>0</v>
      </c>
      <c r="O496" s="483">
        <v>46009</v>
      </c>
      <c r="P496" s="483">
        <v>388</v>
      </c>
      <c r="Q496" s="483">
        <v>0</v>
      </c>
      <c r="R496" s="463"/>
      <c r="S496" s="459"/>
      <c r="T496" s="450">
        <f t="shared" si="34"/>
        <v>0</v>
      </c>
      <c r="U496" s="451">
        <f t="shared" si="35"/>
        <v>0</v>
      </c>
      <c r="V496" s="463">
        <v>0</v>
      </c>
      <c r="W496" s="483">
        <v>0</v>
      </c>
      <c r="X496" s="463">
        <v>0</v>
      </c>
      <c r="Y496" s="483">
        <v>0</v>
      </c>
      <c r="Z496" s="463">
        <v>0</v>
      </c>
      <c r="AA496" s="463">
        <v>0</v>
      </c>
      <c r="AB496" s="463">
        <v>0</v>
      </c>
      <c r="AC496" s="483">
        <v>0</v>
      </c>
      <c r="AD496" s="483">
        <v>0</v>
      </c>
      <c r="AE496" s="483">
        <v>0</v>
      </c>
      <c r="AF496" s="463"/>
      <c r="AG496" s="617"/>
    </row>
    <row r="497" spans="1:33" s="14" customFormat="1" ht="15.75" customHeight="1">
      <c r="A497" s="421" t="s">
        <v>436</v>
      </c>
      <c r="B497" s="365" t="s">
        <v>828</v>
      </c>
      <c r="C497" s="569"/>
      <c r="D497" s="534">
        <v>225520</v>
      </c>
      <c r="E497" s="535">
        <v>9</v>
      </c>
      <c r="F497" s="450">
        <f t="shared" si="32"/>
        <v>59738</v>
      </c>
      <c r="G497" s="451">
        <f t="shared" si="33"/>
        <v>58065</v>
      </c>
      <c r="H497" s="463">
        <v>2345</v>
      </c>
      <c r="I497" s="483">
        <v>7982</v>
      </c>
      <c r="J497" s="463">
        <v>11837</v>
      </c>
      <c r="K497" s="483">
        <v>18178</v>
      </c>
      <c r="L497" s="463">
        <v>44800</v>
      </c>
      <c r="M497" s="463">
        <v>756</v>
      </c>
      <c r="N497" s="463">
        <v>0</v>
      </c>
      <c r="O497" s="483">
        <v>31167</v>
      </c>
      <c r="P497" s="483">
        <v>738</v>
      </c>
      <c r="Q497" s="483">
        <v>0</v>
      </c>
      <c r="R497" s="463"/>
      <c r="S497" s="459"/>
      <c r="T497" s="450">
        <f t="shared" si="34"/>
        <v>0</v>
      </c>
      <c r="U497" s="451">
        <f t="shared" si="35"/>
        <v>0</v>
      </c>
      <c r="V497" s="463">
        <v>0</v>
      </c>
      <c r="W497" s="483">
        <v>0</v>
      </c>
      <c r="X497" s="463">
        <v>0</v>
      </c>
      <c r="Y497" s="483">
        <v>0</v>
      </c>
      <c r="Z497" s="463">
        <v>0</v>
      </c>
      <c r="AA497" s="463">
        <v>0</v>
      </c>
      <c r="AB497" s="463">
        <v>0</v>
      </c>
      <c r="AC497" s="483">
        <v>0</v>
      </c>
      <c r="AD497" s="483">
        <v>0</v>
      </c>
      <c r="AE497" s="483">
        <v>0</v>
      </c>
      <c r="AF497" s="463"/>
      <c r="AG497" s="617"/>
    </row>
    <row r="498" spans="1:33" s="14" customFormat="1" ht="15.75" customHeight="1">
      <c r="A498" s="421" t="s">
        <v>436</v>
      </c>
      <c r="B498" s="365" t="s">
        <v>829</v>
      </c>
      <c r="C498" s="569"/>
      <c r="D498" s="534">
        <v>226019</v>
      </c>
      <c r="E498" s="535">
        <v>9</v>
      </c>
      <c r="F498" s="450">
        <f t="shared" si="32"/>
        <v>120776</v>
      </c>
      <c r="G498" s="451">
        <f t="shared" si="33"/>
        <v>97841</v>
      </c>
      <c r="H498" s="463">
        <v>37493</v>
      </c>
      <c r="I498" s="483">
        <v>23882</v>
      </c>
      <c r="J498" s="463">
        <v>26883</v>
      </c>
      <c r="K498" s="483">
        <v>22464</v>
      </c>
      <c r="L498" s="463">
        <v>56400</v>
      </c>
      <c r="M498" s="463">
        <v>0</v>
      </c>
      <c r="N498" s="463">
        <v>0</v>
      </c>
      <c r="O498" s="483">
        <v>51495</v>
      </c>
      <c r="P498" s="483">
        <v>0</v>
      </c>
      <c r="Q498" s="483">
        <v>0</v>
      </c>
      <c r="R498" s="463"/>
      <c r="S498" s="459"/>
      <c r="T498" s="450">
        <f t="shared" si="34"/>
        <v>0</v>
      </c>
      <c r="U498" s="451">
        <f t="shared" si="35"/>
        <v>0</v>
      </c>
      <c r="V498" s="463">
        <v>0</v>
      </c>
      <c r="W498" s="483">
        <v>0</v>
      </c>
      <c r="X498" s="463">
        <v>0</v>
      </c>
      <c r="Y498" s="483">
        <v>0</v>
      </c>
      <c r="Z498" s="463">
        <v>0</v>
      </c>
      <c r="AA498" s="463">
        <v>0</v>
      </c>
      <c r="AB498" s="463">
        <v>0</v>
      </c>
      <c r="AC498" s="483">
        <v>0</v>
      </c>
      <c r="AD498" s="483">
        <v>0</v>
      </c>
      <c r="AE498" s="483">
        <v>0</v>
      </c>
      <c r="AF498" s="463"/>
      <c r="AG498" s="617"/>
    </row>
    <row r="499" spans="1:33" s="14" customFormat="1" ht="15.75" customHeight="1">
      <c r="A499" s="367" t="s">
        <v>436</v>
      </c>
      <c r="B499" s="365" t="s">
        <v>830</v>
      </c>
      <c r="C499" s="569"/>
      <c r="D499" s="534">
        <v>441760</v>
      </c>
      <c r="E499" s="535">
        <v>9</v>
      </c>
      <c r="F499" s="450">
        <f t="shared" si="32"/>
        <v>77358</v>
      </c>
      <c r="G499" s="451">
        <f t="shared" si="33"/>
        <v>78719</v>
      </c>
      <c r="H499" s="463">
        <v>39512</v>
      </c>
      <c r="I499" s="483">
        <v>34894</v>
      </c>
      <c r="J499" s="463">
        <v>7089</v>
      </c>
      <c r="K499" s="483">
        <v>10398</v>
      </c>
      <c r="L499" s="463">
        <v>30727</v>
      </c>
      <c r="M499" s="463">
        <v>30</v>
      </c>
      <c r="N499" s="463">
        <v>0</v>
      </c>
      <c r="O499" s="483">
        <v>33400</v>
      </c>
      <c r="P499" s="483">
        <v>27</v>
      </c>
      <c r="Q499" s="483">
        <v>0</v>
      </c>
      <c r="R499" s="463"/>
      <c r="S499" s="459"/>
      <c r="T499" s="450">
        <f t="shared" si="34"/>
        <v>0</v>
      </c>
      <c r="U499" s="451">
        <f t="shared" si="35"/>
        <v>0</v>
      </c>
      <c r="V499" s="463">
        <v>0</v>
      </c>
      <c r="W499" s="483">
        <v>0</v>
      </c>
      <c r="X499" s="463">
        <v>0</v>
      </c>
      <c r="Y499" s="483">
        <v>0</v>
      </c>
      <c r="Z499" s="463">
        <v>0</v>
      </c>
      <c r="AA499" s="463">
        <v>0</v>
      </c>
      <c r="AB499" s="463">
        <v>0</v>
      </c>
      <c r="AC499" s="483">
        <v>0</v>
      </c>
      <c r="AD499" s="483">
        <v>0</v>
      </c>
      <c r="AE499" s="483">
        <v>0</v>
      </c>
      <c r="AF499" s="463"/>
      <c r="AG499" s="617"/>
    </row>
    <row r="500" spans="1:33" s="14" customFormat="1" ht="15.75" customHeight="1">
      <c r="A500" s="367" t="s">
        <v>436</v>
      </c>
      <c r="B500" s="365" t="s">
        <v>831</v>
      </c>
      <c r="C500" s="569" t="s">
        <v>952</v>
      </c>
      <c r="D500" s="534">
        <v>226204</v>
      </c>
      <c r="E500" s="535">
        <v>9</v>
      </c>
      <c r="F500" s="450">
        <f t="shared" si="32"/>
        <v>130215</v>
      </c>
      <c r="G500" s="451">
        <f t="shared" si="33"/>
        <v>162054</v>
      </c>
      <c r="H500" s="463">
        <v>31383</v>
      </c>
      <c r="I500" s="483">
        <v>22880</v>
      </c>
      <c r="J500" s="463">
        <v>30578</v>
      </c>
      <c r="K500" s="483">
        <v>46950</v>
      </c>
      <c r="L500" s="463">
        <v>68254</v>
      </c>
      <c r="M500" s="463">
        <v>0</v>
      </c>
      <c r="N500" s="463">
        <v>0</v>
      </c>
      <c r="O500" s="483">
        <v>92224</v>
      </c>
      <c r="P500" s="483">
        <v>0</v>
      </c>
      <c r="Q500" s="483">
        <v>0</v>
      </c>
      <c r="R500" s="463"/>
      <c r="S500" s="459"/>
      <c r="T500" s="450">
        <f t="shared" si="34"/>
        <v>0</v>
      </c>
      <c r="U500" s="451">
        <f t="shared" si="35"/>
        <v>0</v>
      </c>
      <c r="V500" s="463">
        <v>0</v>
      </c>
      <c r="W500" s="483">
        <v>0</v>
      </c>
      <c r="X500" s="463">
        <v>0</v>
      </c>
      <c r="Y500" s="483">
        <v>0</v>
      </c>
      <c r="Z500" s="463">
        <v>0</v>
      </c>
      <c r="AA500" s="463">
        <v>0</v>
      </c>
      <c r="AB500" s="463">
        <v>0</v>
      </c>
      <c r="AC500" s="483">
        <v>0</v>
      </c>
      <c r="AD500" s="483">
        <v>0</v>
      </c>
      <c r="AE500" s="483">
        <v>0</v>
      </c>
      <c r="AF500" s="463"/>
      <c r="AG500" s="617"/>
    </row>
    <row r="501" spans="1:33" s="14" customFormat="1" ht="15" customHeight="1">
      <c r="A501" s="367" t="s">
        <v>436</v>
      </c>
      <c r="B501" s="365" t="s">
        <v>832</v>
      </c>
      <c r="C501" s="571" t="s">
        <v>953</v>
      </c>
      <c r="D501" s="534">
        <v>227225</v>
      </c>
      <c r="E501" s="535">
        <v>9</v>
      </c>
      <c r="F501" s="450">
        <f t="shared" si="32"/>
        <v>58522</v>
      </c>
      <c r="G501" s="451">
        <f t="shared" si="33"/>
        <v>56068</v>
      </c>
      <c r="H501" s="463">
        <v>15087</v>
      </c>
      <c r="I501" s="483">
        <v>15423</v>
      </c>
      <c r="J501" s="463">
        <v>3657</v>
      </c>
      <c r="K501" s="483">
        <v>4424</v>
      </c>
      <c r="L501" s="463">
        <v>39778</v>
      </c>
      <c r="M501" s="463">
        <v>0</v>
      </c>
      <c r="N501" s="463">
        <v>0</v>
      </c>
      <c r="O501" s="483">
        <v>36221</v>
      </c>
      <c r="P501" s="483">
        <v>0</v>
      </c>
      <c r="Q501" s="483">
        <v>0</v>
      </c>
      <c r="R501" s="463"/>
      <c r="S501" s="459"/>
      <c r="T501" s="450">
        <f t="shared" si="34"/>
        <v>0</v>
      </c>
      <c r="U501" s="451">
        <f t="shared" si="35"/>
        <v>0</v>
      </c>
      <c r="V501" s="463">
        <v>0</v>
      </c>
      <c r="W501" s="483">
        <v>0</v>
      </c>
      <c r="X501" s="463">
        <v>0</v>
      </c>
      <c r="Y501" s="483">
        <v>0</v>
      </c>
      <c r="Z501" s="463">
        <v>0</v>
      </c>
      <c r="AA501" s="463">
        <v>0</v>
      </c>
      <c r="AB501" s="463">
        <v>0</v>
      </c>
      <c r="AC501" s="483">
        <v>0</v>
      </c>
      <c r="AD501" s="483">
        <v>0</v>
      </c>
      <c r="AE501" s="483">
        <v>0</v>
      </c>
      <c r="AF501" s="463"/>
      <c r="AG501" s="617"/>
    </row>
    <row r="502" spans="1:33" s="14" customFormat="1" ht="15" customHeight="1">
      <c r="A502" s="367" t="s">
        <v>436</v>
      </c>
      <c r="B502" s="365" t="s">
        <v>833</v>
      </c>
      <c r="C502" s="533"/>
      <c r="D502" s="534">
        <v>227304</v>
      </c>
      <c r="E502" s="535">
        <v>9</v>
      </c>
      <c r="F502" s="450">
        <f t="shared" si="32"/>
        <v>128094</v>
      </c>
      <c r="G502" s="451">
        <f t="shared" si="33"/>
        <v>138005</v>
      </c>
      <c r="H502" s="463">
        <v>47960</v>
      </c>
      <c r="I502" s="483">
        <v>44372</v>
      </c>
      <c r="J502" s="463">
        <v>11892</v>
      </c>
      <c r="K502" s="483">
        <v>12935</v>
      </c>
      <c r="L502" s="463">
        <v>68242</v>
      </c>
      <c r="M502" s="463">
        <v>0</v>
      </c>
      <c r="N502" s="463">
        <v>0</v>
      </c>
      <c r="O502" s="483">
        <v>80698</v>
      </c>
      <c r="P502" s="483">
        <v>0</v>
      </c>
      <c r="Q502" s="483">
        <v>0</v>
      </c>
      <c r="R502" s="463"/>
      <c r="S502" s="459"/>
      <c r="T502" s="450">
        <f t="shared" si="34"/>
        <v>0</v>
      </c>
      <c r="U502" s="451">
        <f t="shared" si="35"/>
        <v>0</v>
      </c>
      <c r="V502" s="463">
        <v>0</v>
      </c>
      <c r="W502" s="483">
        <v>0</v>
      </c>
      <c r="X502" s="463">
        <v>0</v>
      </c>
      <c r="Y502" s="483">
        <v>0</v>
      </c>
      <c r="Z502" s="463">
        <v>0</v>
      </c>
      <c r="AA502" s="463">
        <v>0</v>
      </c>
      <c r="AB502" s="463">
        <v>0</v>
      </c>
      <c r="AC502" s="483">
        <v>0</v>
      </c>
      <c r="AD502" s="483">
        <v>0</v>
      </c>
      <c r="AE502" s="483">
        <v>0</v>
      </c>
      <c r="AF502" s="463"/>
      <c r="AG502" s="617"/>
    </row>
    <row r="503" spans="1:33" s="14" customFormat="1" ht="15" customHeight="1">
      <c r="A503" s="367" t="s">
        <v>436</v>
      </c>
      <c r="B503" s="365" t="s">
        <v>834</v>
      </c>
      <c r="C503" s="533"/>
      <c r="D503" s="534">
        <v>227401</v>
      </c>
      <c r="E503" s="535">
        <v>9</v>
      </c>
      <c r="F503" s="450">
        <f t="shared" si="32"/>
        <v>88913</v>
      </c>
      <c r="G503" s="451">
        <f t="shared" si="33"/>
        <v>83214</v>
      </c>
      <c r="H503" s="463">
        <v>27875</v>
      </c>
      <c r="I503" s="483">
        <v>27770</v>
      </c>
      <c r="J503" s="463">
        <v>10861</v>
      </c>
      <c r="K503" s="483">
        <v>7770</v>
      </c>
      <c r="L503" s="463">
        <v>47453</v>
      </c>
      <c r="M503" s="463">
        <v>2724</v>
      </c>
      <c r="N503" s="463">
        <v>0</v>
      </c>
      <c r="O503" s="483">
        <v>44472</v>
      </c>
      <c r="P503" s="483">
        <v>3202</v>
      </c>
      <c r="Q503" s="483">
        <v>0</v>
      </c>
      <c r="R503" s="463"/>
      <c r="S503" s="459"/>
      <c r="T503" s="450">
        <f t="shared" si="34"/>
        <v>0</v>
      </c>
      <c r="U503" s="451">
        <f t="shared" si="35"/>
        <v>0</v>
      </c>
      <c r="V503" s="463">
        <v>0</v>
      </c>
      <c r="W503" s="483">
        <v>0</v>
      </c>
      <c r="X503" s="463">
        <v>0</v>
      </c>
      <c r="Y503" s="483">
        <v>0</v>
      </c>
      <c r="Z503" s="463">
        <v>0</v>
      </c>
      <c r="AA503" s="463">
        <v>0</v>
      </c>
      <c r="AB503" s="463">
        <v>0</v>
      </c>
      <c r="AC503" s="483">
        <v>0</v>
      </c>
      <c r="AD503" s="483">
        <v>0</v>
      </c>
      <c r="AE503" s="483">
        <v>0</v>
      </c>
      <c r="AF503" s="463"/>
      <c r="AG503" s="617"/>
    </row>
    <row r="504" spans="1:33" s="14" customFormat="1" ht="15" customHeight="1">
      <c r="A504" s="367" t="s">
        <v>436</v>
      </c>
      <c r="B504" s="365" t="s">
        <v>835</v>
      </c>
      <c r="C504" s="533"/>
      <c r="D504" s="534">
        <v>228316</v>
      </c>
      <c r="E504" s="535">
        <v>9</v>
      </c>
      <c r="F504" s="450">
        <f t="shared" si="32"/>
        <v>121546</v>
      </c>
      <c r="G504" s="451">
        <f t="shared" si="33"/>
        <v>108250</v>
      </c>
      <c r="H504" s="463">
        <v>12406</v>
      </c>
      <c r="I504" s="483">
        <v>8099</v>
      </c>
      <c r="J504" s="463">
        <v>46543</v>
      </c>
      <c r="K504" s="483">
        <v>33818</v>
      </c>
      <c r="L504" s="463">
        <v>27752</v>
      </c>
      <c r="M504" s="463">
        <v>34845</v>
      </c>
      <c r="N504" s="463">
        <v>0</v>
      </c>
      <c r="O504" s="483">
        <v>24713</v>
      </c>
      <c r="P504" s="483">
        <v>41620</v>
      </c>
      <c r="Q504" s="483">
        <v>0</v>
      </c>
      <c r="R504" s="463"/>
      <c r="S504" s="459"/>
      <c r="T504" s="450">
        <f t="shared" si="34"/>
        <v>0</v>
      </c>
      <c r="U504" s="451">
        <f t="shared" si="35"/>
        <v>0</v>
      </c>
      <c r="V504" s="463">
        <v>0</v>
      </c>
      <c r="W504" s="483">
        <v>0</v>
      </c>
      <c r="X504" s="463">
        <v>0</v>
      </c>
      <c r="Y504" s="483">
        <v>0</v>
      </c>
      <c r="Z504" s="463">
        <v>0</v>
      </c>
      <c r="AA504" s="463">
        <v>0</v>
      </c>
      <c r="AB504" s="463">
        <v>0</v>
      </c>
      <c r="AC504" s="483">
        <v>0</v>
      </c>
      <c r="AD504" s="483">
        <v>0</v>
      </c>
      <c r="AE504" s="483">
        <v>0</v>
      </c>
      <c r="AF504" s="463"/>
      <c r="AG504" s="617"/>
    </row>
    <row r="505" spans="1:33" s="14" customFormat="1" ht="15" customHeight="1">
      <c r="A505" s="367" t="s">
        <v>436</v>
      </c>
      <c r="B505" s="365" t="s">
        <v>836</v>
      </c>
      <c r="C505" s="533"/>
      <c r="D505" s="534">
        <v>228608</v>
      </c>
      <c r="E505" s="535">
        <v>9</v>
      </c>
      <c r="F505" s="450">
        <f t="shared" si="32"/>
        <v>85093</v>
      </c>
      <c r="G505" s="451">
        <f t="shared" si="33"/>
        <v>85453</v>
      </c>
      <c r="H505" s="463">
        <v>30319</v>
      </c>
      <c r="I505" s="483">
        <v>23943</v>
      </c>
      <c r="J505" s="463">
        <v>7820</v>
      </c>
      <c r="K505" s="483">
        <v>4417</v>
      </c>
      <c r="L505" s="463">
        <v>46954</v>
      </c>
      <c r="M505" s="463">
        <v>0</v>
      </c>
      <c r="N505" s="463">
        <v>0</v>
      </c>
      <c r="O505" s="483">
        <v>57093</v>
      </c>
      <c r="P505" s="483">
        <v>0</v>
      </c>
      <c r="Q505" s="483">
        <v>0</v>
      </c>
      <c r="R505" s="463"/>
      <c r="S505" s="459"/>
      <c r="T505" s="450">
        <f t="shared" si="34"/>
        <v>0</v>
      </c>
      <c r="U505" s="451">
        <f t="shared" si="35"/>
        <v>0</v>
      </c>
      <c r="V505" s="463">
        <v>0</v>
      </c>
      <c r="W505" s="483">
        <v>0</v>
      </c>
      <c r="X505" s="463">
        <v>0</v>
      </c>
      <c r="Y505" s="483">
        <v>0</v>
      </c>
      <c r="Z505" s="463">
        <v>0</v>
      </c>
      <c r="AA505" s="463">
        <v>0</v>
      </c>
      <c r="AB505" s="463">
        <v>0</v>
      </c>
      <c r="AC505" s="483">
        <v>0</v>
      </c>
      <c r="AD505" s="483">
        <v>0</v>
      </c>
      <c r="AE505" s="483">
        <v>0</v>
      </c>
      <c r="AF505" s="463"/>
      <c r="AG505" s="617"/>
    </row>
    <row r="506" spans="1:33" s="14" customFormat="1" ht="15" customHeight="1">
      <c r="A506" s="367" t="s">
        <v>436</v>
      </c>
      <c r="B506" s="365" t="s">
        <v>837</v>
      </c>
      <c r="C506" s="533"/>
      <c r="D506" s="534">
        <v>228699</v>
      </c>
      <c r="E506" s="535">
        <v>9</v>
      </c>
      <c r="F506" s="450">
        <f t="shared" si="32"/>
        <v>71649</v>
      </c>
      <c r="G506" s="451">
        <f t="shared" si="33"/>
        <v>63787</v>
      </c>
      <c r="H506" s="463">
        <v>19490</v>
      </c>
      <c r="I506" s="483">
        <v>12188</v>
      </c>
      <c r="J506" s="463">
        <v>4951</v>
      </c>
      <c r="K506" s="483">
        <v>7867</v>
      </c>
      <c r="L506" s="463">
        <v>47169</v>
      </c>
      <c r="M506" s="463">
        <v>0</v>
      </c>
      <c r="N506" s="463">
        <v>39</v>
      </c>
      <c r="O506" s="483">
        <v>43708</v>
      </c>
      <c r="P506" s="483">
        <v>0</v>
      </c>
      <c r="Q506" s="483">
        <v>24</v>
      </c>
      <c r="R506" s="463"/>
      <c r="S506" s="459"/>
      <c r="T506" s="450">
        <f t="shared" si="34"/>
        <v>0</v>
      </c>
      <c r="U506" s="451">
        <f t="shared" si="35"/>
        <v>0</v>
      </c>
      <c r="V506" s="463">
        <v>0</v>
      </c>
      <c r="W506" s="483">
        <v>0</v>
      </c>
      <c r="X506" s="463">
        <v>0</v>
      </c>
      <c r="Y506" s="483">
        <v>0</v>
      </c>
      <c r="Z506" s="463">
        <v>0</v>
      </c>
      <c r="AA506" s="463">
        <v>0</v>
      </c>
      <c r="AB506" s="463">
        <v>0</v>
      </c>
      <c r="AC506" s="483">
        <v>0</v>
      </c>
      <c r="AD506" s="483">
        <v>0</v>
      </c>
      <c r="AE506" s="483">
        <v>0</v>
      </c>
      <c r="AF506" s="463"/>
      <c r="AG506" s="617"/>
    </row>
    <row r="507" spans="1:33" s="14" customFormat="1" ht="15" customHeight="1">
      <c r="A507" s="367" t="s">
        <v>436</v>
      </c>
      <c r="B507" s="365" t="s">
        <v>838</v>
      </c>
      <c r="C507" s="533" t="s">
        <v>839</v>
      </c>
      <c r="D507" s="534">
        <v>227377</v>
      </c>
      <c r="E507" s="535">
        <v>9</v>
      </c>
      <c r="F507" s="450">
        <f t="shared" si="32"/>
        <v>144896</v>
      </c>
      <c r="G507" s="451">
        <f t="shared" si="33"/>
        <v>133610</v>
      </c>
      <c r="H507" s="463">
        <v>37270</v>
      </c>
      <c r="I507" s="483">
        <v>62998</v>
      </c>
      <c r="J507" s="463">
        <v>24982</v>
      </c>
      <c r="K507" s="483">
        <v>17244</v>
      </c>
      <c r="L507" s="463">
        <v>82644</v>
      </c>
      <c r="M507" s="463">
        <v>0</v>
      </c>
      <c r="N507" s="463">
        <v>0</v>
      </c>
      <c r="O507" s="483">
        <v>53368</v>
      </c>
      <c r="P507" s="483">
        <v>0</v>
      </c>
      <c r="Q507" s="483">
        <v>0</v>
      </c>
      <c r="R507" s="463"/>
      <c r="S507" s="459"/>
      <c r="T507" s="450">
        <f t="shared" si="34"/>
        <v>0</v>
      </c>
      <c r="U507" s="451">
        <f t="shared" si="35"/>
        <v>0</v>
      </c>
      <c r="V507" s="463">
        <v>0</v>
      </c>
      <c r="W507" s="483">
        <v>0</v>
      </c>
      <c r="X507" s="463">
        <v>0</v>
      </c>
      <c r="Y507" s="483">
        <v>0</v>
      </c>
      <c r="Z507" s="463">
        <v>0</v>
      </c>
      <c r="AA507" s="463">
        <v>0</v>
      </c>
      <c r="AB507" s="463">
        <v>0</v>
      </c>
      <c r="AC507" s="483">
        <v>0</v>
      </c>
      <c r="AD507" s="483">
        <v>0</v>
      </c>
      <c r="AE507" s="483">
        <v>0</v>
      </c>
      <c r="AF507" s="463"/>
      <c r="AG507" s="617"/>
    </row>
    <row r="508" spans="1:33" s="14" customFormat="1" ht="15" customHeight="1">
      <c r="A508" s="367" t="s">
        <v>436</v>
      </c>
      <c r="B508" s="365" t="s">
        <v>840</v>
      </c>
      <c r="C508" s="572"/>
      <c r="D508" s="534">
        <v>229319</v>
      </c>
      <c r="E508" s="535">
        <v>9</v>
      </c>
      <c r="F508" s="450">
        <f t="shared" si="32"/>
        <v>80431</v>
      </c>
      <c r="G508" s="451">
        <f t="shared" si="33"/>
        <v>73586</v>
      </c>
      <c r="H508" s="463">
        <v>1776</v>
      </c>
      <c r="I508" s="483">
        <v>164</v>
      </c>
      <c r="J508" s="463">
        <v>1339</v>
      </c>
      <c r="K508" s="483">
        <v>1503</v>
      </c>
      <c r="L508" s="463">
        <v>75270</v>
      </c>
      <c r="M508" s="463">
        <v>0</v>
      </c>
      <c r="N508" s="463">
        <v>2046</v>
      </c>
      <c r="O508" s="483">
        <v>50951</v>
      </c>
      <c r="P508" s="483">
        <v>0</v>
      </c>
      <c r="Q508" s="483">
        <v>20968</v>
      </c>
      <c r="R508" s="463"/>
      <c r="S508" s="459"/>
      <c r="T508" s="450">
        <f t="shared" si="34"/>
        <v>0</v>
      </c>
      <c r="U508" s="451">
        <f t="shared" si="35"/>
        <v>0</v>
      </c>
      <c r="V508" s="463">
        <v>0</v>
      </c>
      <c r="W508" s="483">
        <v>0</v>
      </c>
      <c r="X508" s="463">
        <v>0</v>
      </c>
      <c r="Y508" s="483">
        <v>0</v>
      </c>
      <c r="Z508" s="463">
        <v>0</v>
      </c>
      <c r="AA508" s="463">
        <v>0</v>
      </c>
      <c r="AB508" s="463">
        <v>0</v>
      </c>
      <c r="AC508" s="483">
        <v>0</v>
      </c>
      <c r="AD508" s="483">
        <v>0</v>
      </c>
      <c r="AE508" s="483">
        <v>0</v>
      </c>
      <c r="AF508" s="463"/>
      <c r="AG508" s="617"/>
    </row>
    <row r="509" spans="1:33" s="14" customFormat="1" ht="15" customHeight="1">
      <c r="A509" s="367" t="s">
        <v>436</v>
      </c>
      <c r="B509" s="365" t="s">
        <v>841</v>
      </c>
      <c r="C509" s="572"/>
      <c r="D509" s="534">
        <v>228680</v>
      </c>
      <c r="E509" s="535">
        <v>9</v>
      </c>
      <c r="F509" s="450">
        <f t="shared" si="32"/>
        <v>88872</v>
      </c>
      <c r="G509" s="451">
        <f t="shared" si="33"/>
        <v>80136</v>
      </c>
      <c r="H509" s="463">
        <v>3185</v>
      </c>
      <c r="I509" s="483">
        <v>354</v>
      </c>
      <c r="J509" s="463">
        <v>977</v>
      </c>
      <c r="K509" s="483">
        <v>1137</v>
      </c>
      <c r="L509" s="463">
        <v>81911</v>
      </c>
      <c r="M509" s="463">
        <v>0</v>
      </c>
      <c r="N509" s="463">
        <v>2799</v>
      </c>
      <c r="O509" s="483">
        <v>27697</v>
      </c>
      <c r="P509" s="483">
        <v>0</v>
      </c>
      <c r="Q509" s="483">
        <v>50948</v>
      </c>
      <c r="R509" s="463"/>
      <c r="S509" s="459"/>
      <c r="T509" s="450">
        <f t="shared" si="34"/>
        <v>0</v>
      </c>
      <c r="U509" s="451">
        <f t="shared" si="35"/>
        <v>0</v>
      </c>
      <c r="V509" s="463">
        <v>0</v>
      </c>
      <c r="W509" s="483">
        <v>0</v>
      </c>
      <c r="X509" s="463">
        <v>0</v>
      </c>
      <c r="Y509" s="483">
        <v>0</v>
      </c>
      <c r="Z509" s="463">
        <v>0</v>
      </c>
      <c r="AA509" s="463">
        <v>0</v>
      </c>
      <c r="AB509" s="463">
        <v>0</v>
      </c>
      <c r="AC509" s="483">
        <v>0</v>
      </c>
      <c r="AD509" s="483">
        <v>0</v>
      </c>
      <c r="AE509" s="483">
        <v>0</v>
      </c>
      <c r="AF509" s="463"/>
      <c r="AG509" s="617"/>
    </row>
    <row r="510" spans="1:33" s="14" customFormat="1" ht="15" customHeight="1">
      <c r="A510" s="367" t="s">
        <v>436</v>
      </c>
      <c r="B510" s="365" t="s">
        <v>842</v>
      </c>
      <c r="C510" s="571" t="s">
        <v>953</v>
      </c>
      <c r="D510" s="534">
        <v>229504</v>
      </c>
      <c r="E510" s="535">
        <v>9</v>
      </c>
      <c r="F510" s="450">
        <f t="shared" si="32"/>
        <v>53493</v>
      </c>
      <c r="G510" s="451">
        <f t="shared" si="33"/>
        <v>45830</v>
      </c>
      <c r="H510" s="463">
        <v>7083</v>
      </c>
      <c r="I510" s="483">
        <v>5272</v>
      </c>
      <c r="J510" s="463">
        <v>25906</v>
      </c>
      <c r="K510" s="483">
        <v>18942</v>
      </c>
      <c r="L510" s="463">
        <v>18529</v>
      </c>
      <c r="M510" s="463">
        <v>1975</v>
      </c>
      <c r="N510" s="463">
        <v>0</v>
      </c>
      <c r="O510" s="483">
        <v>19884</v>
      </c>
      <c r="P510" s="483">
        <v>1726</v>
      </c>
      <c r="Q510" s="483">
        <v>6</v>
      </c>
      <c r="R510" s="463"/>
      <c r="S510" s="459"/>
      <c r="T510" s="450">
        <f t="shared" si="34"/>
        <v>0</v>
      </c>
      <c r="U510" s="451">
        <f t="shared" si="35"/>
        <v>0</v>
      </c>
      <c r="V510" s="463">
        <v>0</v>
      </c>
      <c r="W510" s="483">
        <v>0</v>
      </c>
      <c r="X510" s="463">
        <v>0</v>
      </c>
      <c r="Y510" s="483">
        <v>0</v>
      </c>
      <c r="Z510" s="463">
        <v>0</v>
      </c>
      <c r="AA510" s="463">
        <v>0</v>
      </c>
      <c r="AB510" s="463">
        <v>0</v>
      </c>
      <c r="AC510" s="483">
        <v>0</v>
      </c>
      <c r="AD510" s="483">
        <v>0</v>
      </c>
      <c r="AE510" s="483">
        <v>0</v>
      </c>
      <c r="AF510" s="463"/>
      <c r="AG510" s="617"/>
    </row>
    <row r="511" spans="1:33" s="14" customFormat="1" ht="15" customHeight="1">
      <c r="A511" s="367" t="s">
        <v>436</v>
      </c>
      <c r="B511" s="365" t="s">
        <v>843</v>
      </c>
      <c r="C511" s="533" t="s">
        <v>954</v>
      </c>
      <c r="D511" s="534">
        <v>229540</v>
      </c>
      <c r="E511" s="535">
        <v>9</v>
      </c>
      <c r="F511" s="450">
        <f t="shared" si="32"/>
        <v>57116</v>
      </c>
      <c r="G511" s="451">
        <f t="shared" si="33"/>
        <v>51536</v>
      </c>
      <c r="H511" s="463">
        <v>19347</v>
      </c>
      <c r="I511" s="483">
        <v>15663</v>
      </c>
      <c r="J511" s="463">
        <v>1725</v>
      </c>
      <c r="K511" s="483">
        <v>1401</v>
      </c>
      <c r="L511" s="463">
        <v>28354</v>
      </c>
      <c r="M511" s="463">
        <v>7690</v>
      </c>
      <c r="N511" s="463">
        <v>0</v>
      </c>
      <c r="O511" s="483">
        <v>31836</v>
      </c>
      <c r="P511" s="483">
        <v>1689</v>
      </c>
      <c r="Q511" s="483">
        <v>947</v>
      </c>
      <c r="R511" s="463"/>
      <c r="S511" s="459"/>
      <c r="T511" s="450">
        <f t="shared" si="34"/>
        <v>0</v>
      </c>
      <c r="U511" s="451">
        <f t="shared" si="35"/>
        <v>0</v>
      </c>
      <c r="V511" s="463">
        <v>0</v>
      </c>
      <c r="W511" s="483">
        <v>0</v>
      </c>
      <c r="X511" s="463">
        <v>0</v>
      </c>
      <c r="Y511" s="483">
        <v>0</v>
      </c>
      <c r="Z511" s="463">
        <v>0</v>
      </c>
      <c r="AA511" s="463">
        <v>0</v>
      </c>
      <c r="AB511" s="463">
        <v>0</v>
      </c>
      <c r="AC511" s="483">
        <v>0</v>
      </c>
      <c r="AD511" s="483">
        <v>0</v>
      </c>
      <c r="AE511" s="483">
        <v>0</v>
      </c>
      <c r="AF511" s="463"/>
      <c r="AG511" s="617"/>
    </row>
    <row r="512" spans="1:33" s="14" customFormat="1" ht="15" customHeight="1">
      <c r="A512" s="367" t="s">
        <v>436</v>
      </c>
      <c r="B512" s="365" t="s">
        <v>844</v>
      </c>
      <c r="C512" s="533"/>
      <c r="D512" s="534">
        <v>229799</v>
      </c>
      <c r="E512" s="535">
        <v>9</v>
      </c>
      <c r="F512" s="450">
        <f t="shared" si="32"/>
        <v>104886</v>
      </c>
      <c r="G512" s="451">
        <f t="shared" si="33"/>
        <v>99895</v>
      </c>
      <c r="H512" s="463">
        <v>40780</v>
      </c>
      <c r="I512" s="483">
        <v>32561</v>
      </c>
      <c r="J512" s="463">
        <v>16034</v>
      </c>
      <c r="K512" s="483">
        <v>16154</v>
      </c>
      <c r="L512" s="463">
        <v>48033</v>
      </c>
      <c r="M512" s="463">
        <v>39</v>
      </c>
      <c r="N512" s="463">
        <v>0</v>
      </c>
      <c r="O512" s="483">
        <v>50252</v>
      </c>
      <c r="P512" s="483">
        <v>928</v>
      </c>
      <c r="Q512" s="483">
        <v>0</v>
      </c>
      <c r="R512" s="463"/>
      <c r="S512" s="459"/>
      <c r="T512" s="450">
        <f t="shared" si="34"/>
        <v>0</v>
      </c>
      <c r="U512" s="451">
        <f t="shared" si="35"/>
        <v>0</v>
      </c>
      <c r="V512" s="463">
        <v>0</v>
      </c>
      <c r="W512" s="483">
        <v>0</v>
      </c>
      <c r="X512" s="463">
        <v>0</v>
      </c>
      <c r="Y512" s="483">
        <v>0</v>
      </c>
      <c r="Z512" s="463">
        <v>0</v>
      </c>
      <c r="AA512" s="463">
        <v>0</v>
      </c>
      <c r="AB512" s="463">
        <v>0</v>
      </c>
      <c r="AC512" s="483">
        <v>0</v>
      </c>
      <c r="AD512" s="483">
        <v>0</v>
      </c>
      <c r="AE512" s="483">
        <v>0</v>
      </c>
      <c r="AF512" s="463"/>
      <c r="AG512" s="617"/>
    </row>
    <row r="513" spans="1:33" s="14" customFormat="1" ht="15" customHeight="1">
      <c r="A513" s="367" t="s">
        <v>436</v>
      </c>
      <c r="B513" s="365" t="s">
        <v>845</v>
      </c>
      <c r="C513" s="533"/>
      <c r="D513" s="534">
        <v>229841</v>
      </c>
      <c r="E513" s="535">
        <v>9</v>
      </c>
      <c r="F513" s="450">
        <f t="shared" si="32"/>
        <v>133573</v>
      </c>
      <c r="G513" s="451">
        <f t="shared" si="33"/>
        <v>116562</v>
      </c>
      <c r="H513" s="463">
        <v>19374</v>
      </c>
      <c r="I513" s="483">
        <v>20780</v>
      </c>
      <c r="J513" s="463">
        <v>38638</v>
      </c>
      <c r="K513" s="483">
        <v>28021</v>
      </c>
      <c r="L513" s="463">
        <v>74697</v>
      </c>
      <c r="M513" s="463">
        <v>864</v>
      </c>
      <c r="N513" s="463">
        <v>0</v>
      </c>
      <c r="O513" s="483">
        <v>67439</v>
      </c>
      <c r="P513" s="483">
        <v>322</v>
      </c>
      <c r="Q513" s="483">
        <v>0</v>
      </c>
      <c r="R513" s="463"/>
      <c r="S513" s="459"/>
      <c r="T513" s="450">
        <f t="shared" si="34"/>
        <v>0</v>
      </c>
      <c r="U513" s="451">
        <f t="shared" si="35"/>
        <v>0</v>
      </c>
      <c r="V513" s="463">
        <v>0</v>
      </c>
      <c r="W513" s="483">
        <v>0</v>
      </c>
      <c r="X513" s="463">
        <v>0</v>
      </c>
      <c r="Y513" s="483">
        <v>0</v>
      </c>
      <c r="Z513" s="463">
        <v>0</v>
      </c>
      <c r="AA513" s="463">
        <v>0</v>
      </c>
      <c r="AB513" s="463">
        <v>0</v>
      </c>
      <c r="AC513" s="483">
        <v>0</v>
      </c>
      <c r="AD513" s="483">
        <v>0</v>
      </c>
      <c r="AE513" s="483">
        <v>0</v>
      </c>
      <c r="AF513" s="463"/>
      <c r="AG513" s="617"/>
    </row>
    <row r="514" spans="1:33" s="14" customFormat="1" ht="15" customHeight="1">
      <c r="A514" s="367" t="s">
        <v>436</v>
      </c>
      <c r="B514" s="365" t="s">
        <v>846</v>
      </c>
      <c r="C514" s="533"/>
      <c r="D514" s="534">
        <v>223922</v>
      </c>
      <c r="E514" s="535">
        <v>10</v>
      </c>
      <c r="F514" s="450">
        <f t="shared" si="32"/>
        <v>29010</v>
      </c>
      <c r="G514" s="451">
        <f t="shared" si="33"/>
        <v>27954</v>
      </c>
      <c r="H514" s="463">
        <v>7801</v>
      </c>
      <c r="I514" s="483">
        <v>9003</v>
      </c>
      <c r="J514" s="463">
        <v>7308</v>
      </c>
      <c r="K514" s="483">
        <v>6763</v>
      </c>
      <c r="L514" s="463">
        <v>13764</v>
      </c>
      <c r="M514" s="463">
        <v>137</v>
      </c>
      <c r="N514" s="463">
        <v>0</v>
      </c>
      <c r="O514" s="483">
        <v>12062</v>
      </c>
      <c r="P514" s="483">
        <v>126</v>
      </c>
      <c r="Q514" s="483">
        <v>0</v>
      </c>
      <c r="R514" s="463"/>
      <c r="S514" s="459"/>
      <c r="T514" s="450">
        <f t="shared" si="34"/>
        <v>0</v>
      </c>
      <c r="U514" s="451">
        <f t="shared" si="35"/>
        <v>0</v>
      </c>
      <c r="V514" s="463">
        <v>0</v>
      </c>
      <c r="W514" s="483">
        <v>0</v>
      </c>
      <c r="X514" s="463">
        <v>0</v>
      </c>
      <c r="Y514" s="483">
        <v>0</v>
      </c>
      <c r="Z514" s="463">
        <v>0</v>
      </c>
      <c r="AA514" s="463">
        <v>0</v>
      </c>
      <c r="AB514" s="463">
        <v>0</v>
      </c>
      <c r="AC514" s="483">
        <v>0</v>
      </c>
      <c r="AD514" s="483">
        <v>0</v>
      </c>
      <c r="AE514" s="483">
        <v>0</v>
      </c>
      <c r="AF514" s="463"/>
      <c r="AG514" s="617"/>
    </row>
    <row r="515" spans="1:33" s="14" customFormat="1" ht="15" customHeight="1">
      <c r="A515" s="367" t="s">
        <v>436</v>
      </c>
      <c r="B515" s="365" t="s">
        <v>847</v>
      </c>
      <c r="C515" s="533"/>
      <c r="D515" s="534">
        <v>224891</v>
      </c>
      <c r="E515" s="535">
        <v>10</v>
      </c>
      <c r="F515" s="450">
        <f t="shared" si="32"/>
        <v>28407</v>
      </c>
      <c r="G515" s="451">
        <f t="shared" si="33"/>
        <v>30904</v>
      </c>
      <c r="H515" s="463">
        <v>12824</v>
      </c>
      <c r="I515" s="483">
        <v>14995</v>
      </c>
      <c r="J515" s="463">
        <v>2795</v>
      </c>
      <c r="K515" s="483">
        <v>2570</v>
      </c>
      <c r="L515" s="463">
        <v>11241</v>
      </c>
      <c r="M515" s="463">
        <v>512</v>
      </c>
      <c r="N515" s="463">
        <v>1035</v>
      </c>
      <c r="O515" s="483">
        <v>11846</v>
      </c>
      <c r="P515" s="483">
        <v>481</v>
      </c>
      <c r="Q515" s="483">
        <v>1012</v>
      </c>
      <c r="R515" s="463"/>
      <c r="S515" s="459"/>
      <c r="T515" s="450">
        <f t="shared" si="34"/>
        <v>0</v>
      </c>
      <c r="U515" s="451">
        <f t="shared" si="35"/>
        <v>0</v>
      </c>
      <c r="V515" s="463">
        <v>0</v>
      </c>
      <c r="W515" s="483">
        <v>0</v>
      </c>
      <c r="X515" s="463">
        <v>0</v>
      </c>
      <c r="Y515" s="483">
        <v>0</v>
      </c>
      <c r="Z515" s="463">
        <v>0</v>
      </c>
      <c r="AA515" s="463">
        <v>0</v>
      </c>
      <c r="AB515" s="463">
        <v>0</v>
      </c>
      <c r="AC515" s="483">
        <v>0</v>
      </c>
      <c r="AD515" s="483">
        <v>0</v>
      </c>
      <c r="AE515" s="483">
        <v>0</v>
      </c>
      <c r="AF515" s="463"/>
      <c r="AG515" s="617"/>
    </row>
    <row r="516" spans="1:33" s="14" customFormat="1" ht="15" customHeight="1">
      <c r="A516" s="367" t="s">
        <v>436</v>
      </c>
      <c r="B516" s="365" t="s">
        <v>848</v>
      </c>
      <c r="C516" s="533"/>
      <c r="D516" s="534">
        <v>224961</v>
      </c>
      <c r="E516" s="535">
        <v>10</v>
      </c>
      <c r="F516" s="450">
        <f t="shared" si="32"/>
        <v>44725</v>
      </c>
      <c r="G516" s="451">
        <f t="shared" si="33"/>
        <v>42499</v>
      </c>
      <c r="H516" s="463">
        <v>17154</v>
      </c>
      <c r="I516" s="483">
        <v>15086</v>
      </c>
      <c r="J516" s="463">
        <v>66</v>
      </c>
      <c r="K516" s="483">
        <v>7</v>
      </c>
      <c r="L516" s="463">
        <v>27505</v>
      </c>
      <c r="M516" s="463">
        <v>0</v>
      </c>
      <c r="N516" s="463">
        <v>0</v>
      </c>
      <c r="O516" s="483">
        <v>27406</v>
      </c>
      <c r="P516" s="483">
        <v>0</v>
      </c>
      <c r="Q516" s="483">
        <v>0</v>
      </c>
      <c r="R516" s="463"/>
      <c r="S516" s="459"/>
      <c r="T516" s="450">
        <f t="shared" si="34"/>
        <v>0</v>
      </c>
      <c r="U516" s="451">
        <f t="shared" si="35"/>
        <v>0</v>
      </c>
      <c r="V516" s="463">
        <v>0</v>
      </c>
      <c r="W516" s="483">
        <v>0</v>
      </c>
      <c r="X516" s="463">
        <v>0</v>
      </c>
      <c r="Y516" s="483">
        <v>0</v>
      </c>
      <c r="Z516" s="463">
        <v>0</v>
      </c>
      <c r="AA516" s="463">
        <v>0</v>
      </c>
      <c r="AB516" s="463">
        <v>0</v>
      </c>
      <c r="AC516" s="483">
        <v>0</v>
      </c>
      <c r="AD516" s="483">
        <v>0</v>
      </c>
      <c r="AE516" s="483">
        <v>0</v>
      </c>
      <c r="AF516" s="463"/>
      <c r="AG516" s="617"/>
    </row>
    <row r="517" spans="1:33" s="14" customFormat="1" ht="15" customHeight="1">
      <c r="A517" s="367" t="s">
        <v>436</v>
      </c>
      <c r="B517" s="365" t="s">
        <v>849</v>
      </c>
      <c r="C517" s="533"/>
      <c r="D517" s="534">
        <v>226107</v>
      </c>
      <c r="E517" s="535">
        <v>10</v>
      </c>
      <c r="F517" s="450">
        <f t="shared" si="32"/>
        <v>48327</v>
      </c>
      <c r="G517" s="451">
        <f t="shared" si="33"/>
        <v>45502</v>
      </c>
      <c r="H517" s="463">
        <v>17520</v>
      </c>
      <c r="I517" s="483">
        <v>12791</v>
      </c>
      <c r="J517" s="463">
        <v>2349</v>
      </c>
      <c r="K517" s="483">
        <v>2814</v>
      </c>
      <c r="L517" s="463">
        <v>28458</v>
      </c>
      <c r="M517" s="463">
        <v>0</v>
      </c>
      <c r="N517" s="463">
        <v>0</v>
      </c>
      <c r="O517" s="483">
        <v>29828</v>
      </c>
      <c r="P517" s="483">
        <v>0</v>
      </c>
      <c r="Q517" s="483">
        <v>69</v>
      </c>
      <c r="R517" s="463"/>
      <c r="S517" s="459"/>
      <c r="T517" s="450">
        <f t="shared" si="34"/>
        <v>0</v>
      </c>
      <c r="U517" s="451">
        <f t="shared" si="35"/>
        <v>0</v>
      </c>
      <c r="V517" s="463">
        <v>0</v>
      </c>
      <c r="W517" s="483">
        <v>0</v>
      </c>
      <c r="X517" s="463">
        <v>0</v>
      </c>
      <c r="Y517" s="483">
        <v>0</v>
      </c>
      <c r="Z517" s="463">
        <v>0</v>
      </c>
      <c r="AA517" s="463">
        <v>0</v>
      </c>
      <c r="AB517" s="463">
        <v>0</v>
      </c>
      <c r="AC517" s="483">
        <v>0</v>
      </c>
      <c r="AD517" s="483">
        <v>0</v>
      </c>
      <c r="AE517" s="483">
        <v>0</v>
      </c>
      <c r="AF517" s="463"/>
      <c r="AG517" s="617"/>
    </row>
    <row r="518" spans="1:33" s="14" customFormat="1" ht="15.75" customHeight="1">
      <c r="A518" s="367" t="s">
        <v>436</v>
      </c>
      <c r="B518" s="365" t="s">
        <v>850</v>
      </c>
      <c r="C518" s="569"/>
      <c r="D518" s="534">
        <v>226116</v>
      </c>
      <c r="E518" s="535">
        <v>10</v>
      </c>
      <c r="F518" s="450">
        <f t="shared" si="32"/>
        <v>54149</v>
      </c>
      <c r="G518" s="451">
        <f t="shared" si="33"/>
        <v>45825</v>
      </c>
      <c r="H518" s="463">
        <v>19743</v>
      </c>
      <c r="I518" s="483">
        <v>13163</v>
      </c>
      <c r="J518" s="463">
        <v>6412</v>
      </c>
      <c r="K518" s="483">
        <v>4983</v>
      </c>
      <c r="L518" s="463">
        <v>27994</v>
      </c>
      <c r="M518" s="463">
        <v>0</v>
      </c>
      <c r="N518" s="463">
        <v>0</v>
      </c>
      <c r="O518" s="483">
        <v>27679</v>
      </c>
      <c r="P518" s="483">
        <v>0</v>
      </c>
      <c r="Q518" s="483">
        <v>0</v>
      </c>
      <c r="R518" s="463"/>
      <c r="S518" s="459"/>
      <c r="T518" s="450">
        <f t="shared" si="34"/>
        <v>0</v>
      </c>
      <c r="U518" s="451">
        <f t="shared" si="35"/>
        <v>0</v>
      </c>
      <c r="V518" s="463">
        <v>0</v>
      </c>
      <c r="W518" s="483">
        <v>0</v>
      </c>
      <c r="X518" s="463">
        <v>0</v>
      </c>
      <c r="Y518" s="483">
        <v>0</v>
      </c>
      <c r="Z518" s="463">
        <v>0</v>
      </c>
      <c r="AA518" s="463">
        <v>0</v>
      </c>
      <c r="AB518" s="463">
        <v>0</v>
      </c>
      <c r="AC518" s="483">
        <v>0</v>
      </c>
      <c r="AD518" s="483">
        <v>0</v>
      </c>
      <c r="AE518" s="483">
        <v>0</v>
      </c>
      <c r="AF518" s="463"/>
      <c r="AG518" s="617"/>
    </row>
    <row r="519" spans="1:33" s="14" customFormat="1" ht="15.75" customHeight="1">
      <c r="A519" s="367" t="s">
        <v>436</v>
      </c>
      <c r="B519" s="365" t="s">
        <v>851</v>
      </c>
      <c r="C519" s="573"/>
      <c r="D519" s="567">
        <v>488730</v>
      </c>
      <c r="E519" s="574">
        <v>9</v>
      </c>
      <c r="F519" s="450">
        <f t="shared" si="32"/>
        <v>102345</v>
      </c>
      <c r="G519" s="451">
        <f t="shared" si="33"/>
        <v>90934</v>
      </c>
      <c r="H519" s="463">
        <v>68266</v>
      </c>
      <c r="I519" s="483">
        <v>21302</v>
      </c>
      <c r="J519" s="463">
        <v>1161</v>
      </c>
      <c r="K519" s="483">
        <v>4653</v>
      </c>
      <c r="L519" s="463">
        <v>32918</v>
      </c>
      <c r="M519" s="463">
        <v>0</v>
      </c>
      <c r="N519" s="463">
        <v>0</v>
      </c>
      <c r="O519" s="483">
        <v>37652</v>
      </c>
      <c r="P519" s="483">
        <v>0</v>
      </c>
      <c r="Q519" s="483">
        <v>27327</v>
      </c>
      <c r="R519" s="463"/>
      <c r="S519" s="459"/>
      <c r="T519" s="450">
        <f t="shared" si="34"/>
        <v>0</v>
      </c>
      <c r="U519" s="451">
        <f t="shared" si="35"/>
        <v>0</v>
      </c>
      <c r="V519" s="463">
        <v>0</v>
      </c>
      <c r="W519" s="483">
        <v>0</v>
      </c>
      <c r="X519" s="463">
        <v>0</v>
      </c>
      <c r="Y519" s="483">
        <v>0</v>
      </c>
      <c r="Z519" s="463">
        <v>0</v>
      </c>
      <c r="AA519" s="463">
        <v>0</v>
      </c>
      <c r="AB519" s="463">
        <v>0</v>
      </c>
      <c r="AC519" s="483">
        <v>0</v>
      </c>
      <c r="AD519" s="483">
        <v>0</v>
      </c>
      <c r="AE519" s="483">
        <v>0</v>
      </c>
      <c r="AF519" s="463"/>
      <c r="AG519" s="617"/>
    </row>
    <row r="520" spans="1:33" s="14" customFormat="1" ht="15" customHeight="1">
      <c r="A520" s="367" t="s">
        <v>436</v>
      </c>
      <c r="B520" s="365" t="s">
        <v>852</v>
      </c>
      <c r="C520" s="533"/>
      <c r="D520" s="534">
        <v>227386</v>
      </c>
      <c r="E520" s="535">
        <v>10</v>
      </c>
      <c r="F520" s="450">
        <f t="shared" ref="F520:F583" si="36">SUM(H520,J520,L520,M520,N520,R520)</f>
        <v>48742</v>
      </c>
      <c r="G520" s="451">
        <f t="shared" ref="G520:G583" si="37">SUM(I520,K520,O520,P520,Q520,S520)</f>
        <v>49410</v>
      </c>
      <c r="H520" s="463">
        <v>15598</v>
      </c>
      <c r="I520" s="483">
        <v>13902</v>
      </c>
      <c r="J520" s="463">
        <v>6660</v>
      </c>
      <c r="K520" s="483">
        <v>6890</v>
      </c>
      <c r="L520" s="463">
        <v>26346</v>
      </c>
      <c r="M520" s="463">
        <v>138</v>
      </c>
      <c r="N520" s="463">
        <v>0</v>
      </c>
      <c r="O520" s="483">
        <v>28498</v>
      </c>
      <c r="P520" s="483">
        <v>120</v>
      </c>
      <c r="Q520" s="483">
        <v>0</v>
      </c>
      <c r="R520" s="463"/>
      <c r="S520" s="459"/>
      <c r="T520" s="450">
        <f t="shared" ref="T520:T583" si="38">SUM(V520,X520,Z520,AA520,AB520,AF520)</f>
        <v>0</v>
      </c>
      <c r="U520" s="451">
        <f t="shared" ref="U520:U583" si="39">SUM(W520,Y520,AC520,AD520,AE520,AG520)</f>
        <v>0</v>
      </c>
      <c r="V520" s="463">
        <v>0</v>
      </c>
      <c r="W520" s="483">
        <v>0</v>
      </c>
      <c r="X520" s="463">
        <v>0</v>
      </c>
      <c r="Y520" s="483">
        <v>0</v>
      </c>
      <c r="Z520" s="463">
        <v>0</v>
      </c>
      <c r="AA520" s="463">
        <v>0</v>
      </c>
      <c r="AB520" s="463">
        <v>0</v>
      </c>
      <c r="AC520" s="483">
        <v>0</v>
      </c>
      <c r="AD520" s="483">
        <v>0</v>
      </c>
      <c r="AE520" s="483">
        <v>0</v>
      </c>
      <c r="AF520" s="463"/>
      <c r="AG520" s="617"/>
    </row>
    <row r="521" spans="1:33" s="14" customFormat="1" ht="15" customHeight="1">
      <c r="A521" s="367" t="s">
        <v>436</v>
      </c>
      <c r="B521" s="365" t="s">
        <v>853</v>
      </c>
      <c r="C521" s="533"/>
      <c r="D521" s="534">
        <v>227687</v>
      </c>
      <c r="E521" s="535">
        <v>10</v>
      </c>
      <c r="F521" s="450">
        <f t="shared" si="36"/>
        <v>44838</v>
      </c>
      <c r="G521" s="451">
        <f t="shared" si="37"/>
        <v>43220</v>
      </c>
      <c r="H521" s="463">
        <v>8671</v>
      </c>
      <c r="I521" s="483">
        <v>7319</v>
      </c>
      <c r="J521" s="463">
        <v>17220</v>
      </c>
      <c r="K521" s="483">
        <v>16020</v>
      </c>
      <c r="L521" s="463">
        <v>17837</v>
      </c>
      <c r="M521" s="463">
        <v>1110</v>
      </c>
      <c r="N521" s="463">
        <v>0</v>
      </c>
      <c r="O521" s="483">
        <v>18723</v>
      </c>
      <c r="P521" s="483">
        <v>1109</v>
      </c>
      <c r="Q521" s="483">
        <v>49</v>
      </c>
      <c r="R521" s="463"/>
      <c r="S521" s="459"/>
      <c r="T521" s="450">
        <f t="shared" si="38"/>
        <v>0</v>
      </c>
      <c r="U521" s="451">
        <f t="shared" si="39"/>
        <v>0</v>
      </c>
      <c r="V521" s="463">
        <v>0</v>
      </c>
      <c r="W521" s="483">
        <v>0</v>
      </c>
      <c r="X521" s="463">
        <v>0</v>
      </c>
      <c r="Y521" s="483">
        <v>0</v>
      </c>
      <c r="Z521" s="463">
        <v>0</v>
      </c>
      <c r="AA521" s="463">
        <v>0</v>
      </c>
      <c r="AB521" s="463">
        <v>0</v>
      </c>
      <c r="AC521" s="483">
        <v>0</v>
      </c>
      <c r="AD521" s="483">
        <v>0</v>
      </c>
      <c r="AE521" s="483">
        <v>0</v>
      </c>
      <c r="AF521" s="463"/>
      <c r="AG521" s="617"/>
    </row>
    <row r="522" spans="1:33" s="14" customFormat="1" ht="15" customHeight="1">
      <c r="A522" s="367" t="s">
        <v>436</v>
      </c>
      <c r="B522" s="365" t="s">
        <v>854</v>
      </c>
      <c r="C522" s="533"/>
      <c r="D522" s="534">
        <v>382911</v>
      </c>
      <c r="E522" s="535">
        <v>10</v>
      </c>
      <c r="F522" s="450">
        <f t="shared" si="36"/>
        <v>1096</v>
      </c>
      <c r="G522" s="451">
        <f t="shared" si="37"/>
        <v>1159</v>
      </c>
      <c r="H522" s="463">
        <v>767</v>
      </c>
      <c r="I522" s="483">
        <v>776</v>
      </c>
      <c r="J522" s="463">
        <v>60</v>
      </c>
      <c r="K522" s="483">
        <v>261</v>
      </c>
      <c r="L522" s="463">
        <v>18</v>
      </c>
      <c r="M522" s="463">
        <v>251</v>
      </c>
      <c r="N522" s="463">
        <v>0</v>
      </c>
      <c r="O522" s="483">
        <v>24</v>
      </c>
      <c r="P522" s="483">
        <v>98</v>
      </c>
      <c r="Q522" s="483">
        <v>0</v>
      </c>
      <c r="R522" s="463"/>
      <c r="S522" s="459"/>
      <c r="T522" s="450">
        <f t="shared" si="38"/>
        <v>0</v>
      </c>
      <c r="U522" s="451">
        <f t="shared" si="39"/>
        <v>0</v>
      </c>
      <c r="V522" s="463">
        <v>0</v>
      </c>
      <c r="W522" s="483">
        <v>0</v>
      </c>
      <c r="X522" s="463">
        <v>0</v>
      </c>
      <c r="Y522" s="483">
        <v>0</v>
      </c>
      <c r="Z522" s="463">
        <v>0</v>
      </c>
      <c r="AA522" s="463">
        <v>0</v>
      </c>
      <c r="AB522" s="463">
        <v>0</v>
      </c>
      <c r="AC522" s="483">
        <v>0</v>
      </c>
      <c r="AD522" s="483">
        <v>0</v>
      </c>
      <c r="AE522" s="483">
        <v>0</v>
      </c>
      <c r="AF522" s="463"/>
      <c r="AG522" s="617"/>
    </row>
    <row r="523" spans="1:33" s="14" customFormat="1" ht="15" customHeight="1">
      <c r="A523" s="367" t="s">
        <v>436</v>
      </c>
      <c r="B523" s="380" t="s">
        <v>855</v>
      </c>
      <c r="C523" s="533"/>
      <c r="D523" s="575" t="s">
        <v>437</v>
      </c>
      <c r="E523" s="535">
        <v>10</v>
      </c>
      <c r="F523" s="450">
        <f t="shared" si="36"/>
        <v>12482</v>
      </c>
      <c r="G523" s="451">
        <f t="shared" si="37"/>
        <v>15016</v>
      </c>
      <c r="H523" s="463">
        <v>178</v>
      </c>
      <c r="I523" s="483">
        <v>0</v>
      </c>
      <c r="J523" s="463">
        <v>80</v>
      </c>
      <c r="K523" s="483">
        <v>269</v>
      </c>
      <c r="L523" s="463">
        <v>11538</v>
      </c>
      <c r="M523" s="463">
        <v>0</v>
      </c>
      <c r="N523" s="463">
        <v>686</v>
      </c>
      <c r="O523" s="483">
        <v>2151</v>
      </c>
      <c r="P523" s="483">
        <v>0</v>
      </c>
      <c r="Q523" s="483">
        <v>12596</v>
      </c>
      <c r="R523" s="463"/>
      <c r="S523" s="459"/>
      <c r="T523" s="450">
        <f t="shared" si="38"/>
        <v>0</v>
      </c>
      <c r="U523" s="451">
        <f t="shared" si="39"/>
        <v>0</v>
      </c>
      <c r="V523" s="463">
        <v>0</v>
      </c>
      <c r="W523" s="483">
        <v>0</v>
      </c>
      <c r="X523" s="463">
        <v>0</v>
      </c>
      <c r="Y523" s="483">
        <v>0</v>
      </c>
      <c r="Z523" s="463">
        <v>0</v>
      </c>
      <c r="AA523" s="463">
        <v>0</v>
      </c>
      <c r="AB523" s="463">
        <v>0</v>
      </c>
      <c r="AC523" s="483">
        <v>0</v>
      </c>
      <c r="AD523" s="483">
        <v>0</v>
      </c>
      <c r="AE523" s="483">
        <v>0</v>
      </c>
      <c r="AF523" s="463"/>
      <c r="AG523" s="617"/>
    </row>
    <row r="524" spans="1:33" s="14" customFormat="1" ht="15" customHeight="1">
      <c r="A524" s="367" t="s">
        <v>436</v>
      </c>
      <c r="B524" s="365" t="s">
        <v>856</v>
      </c>
      <c r="C524" s="533"/>
      <c r="D524" s="534">
        <v>408394</v>
      </c>
      <c r="E524" s="535">
        <v>10</v>
      </c>
      <c r="F524" s="450">
        <f t="shared" si="36"/>
        <v>13125</v>
      </c>
      <c r="G524" s="451">
        <f t="shared" si="37"/>
        <v>13198</v>
      </c>
      <c r="H524" s="463">
        <v>315</v>
      </c>
      <c r="I524" s="483">
        <v>0</v>
      </c>
      <c r="J524" s="463">
        <v>159</v>
      </c>
      <c r="K524" s="483">
        <v>123</v>
      </c>
      <c r="L524" s="463">
        <v>11468</v>
      </c>
      <c r="M524" s="463">
        <v>0</v>
      </c>
      <c r="N524" s="463">
        <v>1183</v>
      </c>
      <c r="O524" s="483">
        <v>4358</v>
      </c>
      <c r="P524" s="483">
        <v>0</v>
      </c>
      <c r="Q524" s="483">
        <v>8717</v>
      </c>
      <c r="R524" s="463"/>
      <c r="S524" s="459"/>
      <c r="T524" s="450">
        <f t="shared" si="38"/>
        <v>0</v>
      </c>
      <c r="U524" s="451">
        <f t="shared" si="39"/>
        <v>0</v>
      </c>
      <c r="V524" s="463">
        <v>0</v>
      </c>
      <c r="W524" s="483">
        <v>0</v>
      </c>
      <c r="X524" s="463">
        <v>0</v>
      </c>
      <c r="Y524" s="483">
        <v>0</v>
      </c>
      <c r="Z524" s="463">
        <v>0</v>
      </c>
      <c r="AA524" s="463">
        <v>0</v>
      </c>
      <c r="AB524" s="463">
        <v>0</v>
      </c>
      <c r="AC524" s="483">
        <v>0</v>
      </c>
      <c r="AD524" s="483">
        <v>0</v>
      </c>
      <c r="AE524" s="483">
        <v>0</v>
      </c>
      <c r="AF524" s="463"/>
      <c r="AG524" s="617"/>
    </row>
    <row r="525" spans="1:33" s="14" customFormat="1" ht="15" customHeight="1">
      <c r="A525" s="367" t="s">
        <v>436</v>
      </c>
      <c r="B525" s="380" t="s">
        <v>857</v>
      </c>
      <c r="C525" s="533"/>
      <c r="D525" s="575" t="s">
        <v>437</v>
      </c>
      <c r="E525" s="535">
        <v>10</v>
      </c>
      <c r="F525" s="450">
        <f t="shared" si="36"/>
        <v>5856</v>
      </c>
      <c r="G525" s="451">
        <f t="shared" si="37"/>
        <v>5952</v>
      </c>
      <c r="H525" s="463">
        <v>0</v>
      </c>
      <c r="I525" s="483">
        <v>0</v>
      </c>
      <c r="J525" s="463">
        <v>207</v>
      </c>
      <c r="K525" s="483">
        <v>48</v>
      </c>
      <c r="L525" s="463">
        <v>5388</v>
      </c>
      <c r="M525" s="463">
        <v>0</v>
      </c>
      <c r="N525" s="463">
        <v>261</v>
      </c>
      <c r="O525" s="483">
        <v>1201</v>
      </c>
      <c r="P525" s="483">
        <v>0</v>
      </c>
      <c r="Q525" s="483">
        <v>4703</v>
      </c>
      <c r="R525" s="463"/>
      <c r="S525" s="459"/>
      <c r="T525" s="450">
        <f t="shared" si="38"/>
        <v>0</v>
      </c>
      <c r="U525" s="451">
        <f t="shared" si="39"/>
        <v>0</v>
      </c>
      <c r="V525" s="463">
        <v>0</v>
      </c>
      <c r="W525" s="483">
        <v>0</v>
      </c>
      <c r="X525" s="463">
        <v>0</v>
      </c>
      <c r="Y525" s="483">
        <v>0</v>
      </c>
      <c r="Z525" s="463">
        <v>0</v>
      </c>
      <c r="AA525" s="463">
        <v>0</v>
      </c>
      <c r="AB525" s="463">
        <v>0</v>
      </c>
      <c r="AC525" s="483">
        <v>0</v>
      </c>
      <c r="AD525" s="483">
        <v>0</v>
      </c>
      <c r="AE525" s="483">
        <v>0</v>
      </c>
      <c r="AF525" s="463"/>
      <c r="AG525" s="617"/>
    </row>
    <row r="526" spans="1:33" s="14" customFormat="1" ht="15" customHeight="1">
      <c r="A526" s="367" t="s">
        <v>436</v>
      </c>
      <c r="B526" s="365" t="s">
        <v>858</v>
      </c>
      <c r="C526" s="533"/>
      <c r="D526" s="534">
        <v>229328</v>
      </c>
      <c r="E526" s="535">
        <v>10</v>
      </c>
      <c r="F526" s="450">
        <f t="shared" si="36"/>
        <v>32847</v>
      </c>
      <c r="G526" s="451">
        <f t="shared" si="37"/>
        <v>26322</v>
      </c>
      <c r="H526" s="463">
        <v>1424</v>
      </c>
      <c r="I526" s="483">
        <v>6</v>
      </c>
      <c r="J526" s="463">
        <v>2727</v>
      </c>
      <c r="K526" s="483">
        <v>1090</v>
      </c>
      <c r="L526" s="463">
        <v>27548</v>
      </c>
      <c r="M526" s="463">
        <v>0</v>
      </c>
      <c r="N526" s="463">
        <v>1148</v>
      </c>
      <c r="O526" s="483">
        <v>14939</v>
      </c>
      <c r="P526" s="483">
        <v>0</v>
      </c>
      <c r="Q526" s="483">
        <v>10287</v>
      </c>
      <c r="R526" s="463"/>
      <c r="S526" s="459"/>
      <c r="T526" s="450">
        <f t="shared" si="38"/>
        <v>0</v>
      </c>
      <c r="U526" s="451">
        <f t="shared" si="39"/>
        <v>0</v>
      </c>
      <c r="V526" s="463">
        <v>0</v>
      </c>
      <c r="W526" s="483">
        <v>0</v>
      </c>
      <c r="X526" s="463">
        <v>0</v>
      </c>
      <c r="Y526" s="483">
        <v>0</v>
      </c>
      <c r="Z526" s="463">
        <v>0</v>
      </c>
      <c r="AA526" s="463">
        <v>0</v>
      </c>
      <c r="AB526" s="463">
        <v>0</v>
      </c>
      <c r="AC526" s="483">
        <v>0</v>
      </c>
      <c r="AD526" s="483">
        <v>0</v>
      </c>
      <c r="AE526" s="483">
        <v>0</v>
      </c>
      <c r="AF526" s="463"/>
      <c r="AG526" s="617"/>
    </row>
    <row r="527" spans="1:33" s="14" customFormat="1" ht="15" customHeight="1">
      <c r="A527" s="367" t="s">
        <v>436</v>
      </c>
      <c r="B527" s="365" t="s">
        <v>859</v>
      </c>
      <c r="C527" s="533"/>
      <c r="D527" s="534">
        <v>229832</v>
      </c>
      <c r="E527" s="535">
        <v>10</v>
      </c>
      <c r="F527" s="450">
        <f t="shared" si="36"/>
        <v>35425</v>
      </c>
      <c r="G527" s="451">
        <f t="shared" si="37"/>
        <v>30766</v>
      </c>
      <c r="H527" s="463">
        <v>10949</v>
      </c>
      <c r="I527" s="483">
        <v>9896</v>
      </c>
      <c r="J527" s="463">
        <v>3089</v>
      </c>
      <c r="K527" s="483">
        <v>4209</v>
      </c>
      <c r="L527" s="463">
        <v>20364</v>
      </c>
      <c r="M527" s="463">
        <v>1023</v>
      </c>
      <c r="N527" s="463">
        <v>0</v>
      </c>
      <c r="O527" s="483">
        <v>15950</v>
      </c>
      <c r="P527" s="483">
        <v>711</v>
      </c>
      <c r="Q527" s="483">
        <v>0</v>
      </c>
      <c r="R527" s="463"/>
      <c r="S527" s="459"/>
      <c r="T527" s="450">
        <f t="shared" si="38"/>
        <v>0</v>
      </c>
      <c r="U527" s="451">
        <f t="shared" si="39"/>
        <v>0</v>
      </c>
      <c r="V527" s="463">
        <v>0</v>
      </c>
      <c r="W527" s="483">
        <v>0</v>
      </c>
      <c r="X527" s="463">
        <v>0</v>
      </c>
      <c r="Y527" s="483">
        <v>0</v>
      </c>
      <c r="Z527" s="463">
        <v>0</v>
      </c>
      <c r="AA527" s="463">
        <v>0</v>
      </c>
      <c r="AB527" s="463">
        <v>0</v>
      </c>
      <c r="AC527" s="483">
        <v>0</v>
      </c>
      <c r="AD527" s="483">
        <v>0</v>
      </c>
      <c r="AE527" s="483">
        <v>0</v>
      </c>
      <c r="AF527" s="463"/>
      <c r="AG527" s="617"/>
    </row>
    <row r="528" spans="1:33" s="14" customFormat="1" ht="15" customHeight="1">
      <c r="A528" s="367" t="s">
        <v>436</v>
      </c>
      <c r="B528" s="365" t="s">
        <v>860</v>
      </c>
      <c r="C528" s="533"/>
      <c r="D528" s="534">
        <v>484905</v>
      </c>
      <c r="E528" s="535">
        <v>4</v>
      </c>
      <c r="F528" s="450">
        <f t="shared" si="36"/>
        <v>79775</v>
      </c>
      <c r="G528" s="451">
        <f t="shared" si="37"/>
        <v>81052</v>
      </c>
      <c r="H528" s="463">
        <v>38350</v>
      </c>
      <c r="I528" s="483">
        <v>43000</v>
      </c>
      <c r="J528" s="463">
        <v>0</v>
      </c>
      <c r="K528" s="483">
        <v>0</v>
      </c>
      <c r="L528" s="463">
        <v>41181</v>
      </c>
      <c r="M528" s="463">
        <v>0</v>
      </c>
      <c r="N528" s="463">
        <v>244</v>
      </c>
      <c r="O528" s="483">
        <v>37860</v>
      </c>
      <c r="P528" s="483">
        <v>0</v>
      </c>
      <c r="Q528" s="483">
        <v>192</v>
      </c>
      <c r="R528" s="463"/>
      <c r="S528" s="459"/>
      <c r="T528" s="450">
        <f t="shared" si="38"/>
        <v>17267</v>
      </c>
      <c r="U528" s="451">
        <f t="shared" si="39"/>
        <v>17211</v>
      </c>
      <c r="V528" s="463">
        <v>6844</v>
      </c>
      <c r="W528" s="483">
        <v>12201</v>
      </c>
      <c r="X528" s="463">
        <v>4976</v>
      </c>
      <c r="Y528" s="483">
        <v>360</v>
      </c>
      <c r="Z528" s="463">
        <v>5447</v>
      </c>
      <c r="AA528" s="463">
        <v>0</v>
      </c>
      <c r="AB528" s="463">
        <v>0</v>
      </c>
      <c r="AC528" s="483">
        <v>4650</v>
      </c>
      <c r="AD528" s="483">
        <v>0</v>
      </c>
      <c r="AE528" s="483">
        <v>0</v>
      </c>
      <c r="AF528" s="463"/>
      <c r="AG528" s="617"/>
    </row>
    <row r="529" spans="1:33" s="14" customFormat="1" ht="15" customHeight="1">
      <c r="A529" s="367" t="s">
        <v>436</v>
      </c>
      <c r="B529" s="432" t="s">
        <v>887</v>
      </c>
      <c r="C529" s="533"/>
      <c r="D529" s="534">
        <v>224615</v>
      </c>
      <c r="E529" s="535">
        <v>8</v>
      </c>
      <c r="F529" s="450">
        <f t="shared" si="36"/>
        <v>380470</v>
      </c>
      <c r="G529" s="451">
        <f t="shared" si="37"/>
        <v>1292750</v>
      </c>
      <c r="H529" s="463">
        <v>2765</v>
      </c>
      <c r="I529" s="483">
        <v>176742</v>
      </c>
      <c r="J529" s="463">
        <v>675</v>
      </c>
      <c r="K529" s="483">
        <v>54007</v>
      </c>
      <c r="L529" s="463">
        <v>377024</v>
      </c>
      <c r="M529" s="463">
        <v>0</v>
      </c>
      <c r="N529" s="463">
        <v>6</v>
      </c>
      <c r="O529" s="483">
        <v>1061989</v>
      </c>
      <c r="P529" s="483">
        <v>0</v>
      </c>
      <c r="Q529" s="483">
        <v>12</v>
      </c>
      <c r="R529" s="463"/>
      <c r="S529" s="459"/>
      <c r="T529" s="450">
        <f t="shared" si="38"/>
        <v>0</v>
      </c>
      <c r="U529" s="451">
        <f t="shared" si="39"/>
        <v>0</v>
      </c>
      <c r="V529" s="463">
        <v>0</v>
      </c>
      <c r="W529" s="484">
        <v>0</v>
      </c>
      <c r="X529" s="463">
        <v>0</v>
      </c>
      <c r="Y529" s="483">
        <v>0</v>
      </c>
      <c r="Z529" s="463">
        <v>0</v>
      </c>
      <c r="AA529" s="463">
        <v>0</v>
      </c>
      <c r="AB529" s="463">
        <v>0</v>
      </c>
      <c r="AC529" s="483">
        <v>0</v>
      </c>
      <c r="AD529" s="483">
        <v>0</v>
      </c>
      <c r="AE529" s="483">
        <v>0</v>
      </c>
      <c r="AF529" s="463"/>
      <c r="AG529" s="617"/>
    </row>
    <row r="530" spans="1:33" s="14" customFormat="1" ht="15" customHeight="1">
      <c r="A530" s="367" t="s">
        <v>436</v>
      </c>
      <c r="B530" s="380" t="s">
        <v>921</v>
      </c>
      <c r="C530" s="533"/>
      <c r="D530" s="534"/>
      <c r="E530" s="535">
        <v>10</v>
      </c>
      <c r="F530" s="450">
        <f t="shared" si="36"/>
        <v>0</v>
      </c>
      <c r="G530" s="451">
        <f t="shared" si="37"/>
        <v>18069</v>
      </c>
      <c r="H530" s="485"/>
      <c r="I530" s="486"/>
      <c r="J530" s="485"/>
      <c r="K530" s="483">
        <v>453</v>
      </c>
      <c r="L530" s="485"/>
      <c r="M530" s="485"/>
      <c r="N530" s="485"/>
      <c r="O530" s="483">
        <v>17550</v>
      </c>
      <c r="P530" s="483">
        <v>0</v>
      </c>
      <c r="Q530" s="483">
        <v>66</v>
      </c>
      <c r="R530" s="485"/>
      <c r="S530" s="486"/>
      <c r="T530" s="450">
        <f t="shared" si="38"/>
        <v>0</v>
      </c>
      <c r="U530" s="451">
        <f t="shared" si="39"/>
        <v>0</v>
      </c>
      <c r="V530" s="485"/>
      <c r="W530" s="486"/>
      <c r="X530" s="485"/>
      <c r="Y530" s="483">
        <v>0</v>
      </c>
      <c r="Z530" s="485"/>
      <c r="AA530" s="485"/>
      <c r="AB530" s="485"/>
      <c r="AC530" s="483">
        <v>0</v>
      </c>
      <c r="AD530" s="483">
        <v>0</v>
      </c>
      <c r="AE530" s="483">
        <v>0</v>
      </c>
      <c r="AF530" s="485"/>
      <c r="AG530" s="487"/>
    </row>
    <row r="531" spans="1:33" s="14" customFormat="1" ht="16.149999999999999" customHeight="1">
      <c r="A531" s="342" t="s">
        <v>438</v>
      </c>
      <c r="B531" s="384" t="s">
        <v>439</v>
      </c>
      <c r="C531" s="576"/>
      <c r="D531" s="577">
        <v>232186</v>
      </c>
      <c r="E531" s="578">
        <v>1</v>
      </c>
      <c r="F531" s="450">
        <f t="shared" si="36"/>
        <v>759225.5</v>
      </c>
      <c r="G531" s="451">
        <f t="shared" si="37"/>
        <v>758489.5</v>
      </c>
      <c r="H531" s="452">
        <v>330381.5</v>
      </c>
      <c r="I531" s="453">
        <v>193358.5</v>
      </c>
      <c r="J531" s="452">
        <v>18097</v>
      </c>
      <c r="K531" s="453">
        <v>7093</v>
      </c>
      <c r="L531" s="452">
        <v>404189</v>
      </c>
      <c r="M531" s="452">
        <v>6558</v>
      </c>
      <c r="N531" s="452">
        <v>0</v>
      </c>
      <c r="O531" s="453">
        <v>536064</v>
      </c>
      <c r="P531" s="453">
        <v>21974</v>
      </c>
      <c r="Q531" s="453">
        <v>0</v>
      </c>
      <c r="R531" s="452"/>
      <c r="S531" s="453"/>
      <c r="T531" s="450">
        <f t="shared" si="38"/>
        <v>173111.5</v>
      </c>
      <c r="U531" s="451">
        <f t="shared" si="39"/>
        <v>183632.5</v>
      </c>
      <c r="V531" s="452">
        <v>74645.5</v>
      </c>
      <c r="W531" s="453">
        <v>56108</v>
      </c>
      <c r="X531" s="452">
        <v>8649</v>
      </c>
      <c r="Y531" s="453">
        <v>3196</v>
      </c>
      <c r="Z531" s="452">
        <v>87061.5</v>
      </c>
      <c r="AA531" s="452">
        <v>2755.5</v>
      </c>
      <c r="AB531" s="452">
        <v>0</v>
      </c>
      <c r="AC531" s="453">
        <v>119663.5</v>
      </c>
      <c r="AD531" s="453">
        <v>4665</v>
      </c>
      <c r="AE531" s="453">
        <v>0</v>
      </c>
      <c r="AF531" s="452"/>
      <c r="AG531" s="616"/>
    </row>
    <row r="532" spans="1:33" s="14" customFormat="1" ht="15.6" customHeight="1">
      <c r="A532" s="342" t="s">
        <v>438</v>
      </c>
      <c r="B532" s="384" t="s">
        <v>440</v>
      </c>
      <c r="C532" s="576"/>
      <c r="D532" s="577">
        <v>232982</v>
      </c>
      <c r="E532" s="578">
        <v>1</v>
      </c>
      <c r="F532" s="450">
        <f t="shared" si="36"/>
        <v>510637</v>
      </c>
      <c r="G532" s="451">
        <f t="shared" si="37"/>
        <v>487991</v>
      </c>
      <c r="H532" s="452">
        <v>193340</v>
      </c>
      <c r="I532" s="453">
        <v>145312</v>
      </c>
      <c r="J532" s="452">
        <v>5068</v>
      </c>
      <c r="K532" s="453">
        <v>1787</v>
      </c>
      <c r="L532" s="452">
        <v>219655</v>
      </c>
      <c r="M532" s="452">
        <v>92569</v>
      </c>
      <c r="N532" s="452">
        <v>5</v>
      </c>
      <c r="O532" s="453">
        <v>239020</v>
      </c>
      <c r="P532" s="453">
        <v>101869</v>
      </c>
      <c r="Q532" s="453">
        <v>3</v>
      </c>
      <c r="R532" s="452"/>
      <c r="S532" s="453"/>
      <c r="T532" s="450">
        <f t="shared" si="38"/>
        <v>68263</v>
      </c>
      <c r="U532" s="451">
        <f t="shared" si="39"/>
        <v>72409</v>
      </c>
      <c r="V532" s="452">
        <v>23166</v>
      </c>
      <c r="W532" s="453">
        <v>20377</v>
      </c>
      <c r="X532" s="452">
        <v>570</v>
      </c>
      <c r="Y532" s="453">
        <v>942</v>
      </c>
      <c r="Z532" s="452">
        <v>27193</v>
      </c>
      <c r="AA532" s="452">
        <v>15455</v>
      </c>
      <c r="AB532" s="452">
        <v>1879</v>
      </c>
      <c r="AC532" s="453">
        <v>28789</v>
      </c>
      <c r="AD532" s="453">
        <v>20860</v>
      </c>
      <c r="AE532" s="453">
        <v>1441</v>
      </c>
      <c r="AF532" s="452"/>
      <c r="AG532" s="616"/>
    </row>
    <row r="533" spans="1:33">
      <c r="A533" s="342" t="s">
        <v>438</v>
      </c>
      <c r="B533" s="384" t="s">
        <v>441</v>
      </c>
      <c r="C533" s="579"/>
      <c r="D533" s="577">
        <v>234076</v>
      </c>
      <c r="E533" s="578">
        <v>1</v>
      </c>
      <c r="F533" s="450">
        <f t="shared" si="36"/>
        <v>502424</v>
      </c>
      <c r="G533" s="451">
        <f t="shared" si="37"/>
        <v>519652.5</v>
      </c>
      <c r="H533" s="452">
        <v>256936.5</v>
      </c>
      <c r="I533" s="453">
        <v>248607</v>
      </c>
      <c r="J533" s="452">
        <v>6017.5</v>
      </c>
      <c r="K533" s="453">
        <v>2186</v>
      </c>
      <c r="L533" s="452">
        <v>40621.5</v>
      </c>
      <c r="M533" s="452">
        <v>198848.5</v>
      </c>
      <c r="N533" s="452">
        <v>0</v>
      </c>
      <c r="O533" s="453">
        <v>41096</v>
      </c>
      <c r="P533" s="453">
        <v>227763.5</v>
      </c>
      <c r="Q533" s="453">
        <v>0</v>
      </c>
      <c r="R533" s="452"/>
      <c r="S533" s="453"/>
      <c r="T533" s="450">
        <f t="shared" si="38"/>
        <v>200911.5</v>
      </c>
      <c r="U533" s="451">
        <f t="shared" si="39"/>
        <v>206552.5</v>
      </c>
      <c r="V533" s="452">
        <v>127664</v>
      </c>
      <c r="W533" s="453">
        <v>121794.5</v>
      </c>
      <c r="X533" s="452">
        <v>5723.5</v>
      </c>
      <c r="Y533" s="453">
        <v>1589.5</v>
      </c>
      <c r="Z533" s="452">
        <v>20953</v>
      </c>
      <c r="AA533" s="452">
        <v>46571</v>
      </c>
      <c r="AB533" s="452">
        <v>0</v>
      </c>
      <c r="AC533" s="453">
        <v>24527.5</v>
      </c>
      <c r="AD533" s="453">
        <v>58641</v>
      </c>
      <c r="AE533" s="453">
        <v>0</v>
      </c>
      <c r="AF533" s="452"/>
      <c r="AG533" s="616"/>
    </row>
    <row r="534" spans="1:33">
      <c r="A534" s="342" t="s">
        <v>438</v>
      </c>
      <c r="B534" s="384" t="s">
        <v>442</v>
      </c>
      <c r="C534" s="580"/>
      <c r="D534" s="577">
        <v>234030</v>
      </c>
      <c r="E534" s="578">
        <v>1</v>
      </c>
      <c r="F534" s="450">
        <f t="shared" si="36"/>
        <v>623201.5</v>
      </c>
      <c r="G534" s="451">
        <f t="shared" si="37"/>
        <v>602868</v>
      </c>
      <c r="H534" s="452">
        <v>290369</v>
      </c>
      <c r="I534" s="453">
        <v>120460.5</v>
      </c>
      <c r="J534" s="452">
        <v>4865</v>
      </c>
      <c r="K534" s="453">
        <v>3427.5</v>
      </c>
      <c r="L534" s="452">
        <v>173474</v>
      </c>
      <c r="M534" s="452">
        <v>154493.5</v>
      </c>
      <c r="N534" s="452">
        <v>0</v>
      </c>
      <c r="O534" s="453">
        <v>202927</v>
      </c>
      <c r="P534" s="453">
        <v>276053</v>
      </c>
      <c r="Q534" s="453">
        <v>0</v>
      </c>
      <c r="R534" s="452"/>
      <c r="S534" s="453"/>
      <c r="T534" s="450">
        <f t="shared" si="38"/>
        <v>134150</v>
      </c>
      <c r="U534" s="451">
        <f t="shared" si="39"/>
        <v>138987.5</v>
      </c>
      <c r="V534" s="452">
        <v>82179</v>
      </c>
      <c r="W534" s="453">
        <v>53509.5</v>
      </c>
      <c r="X534" s="452">
        <v>2967</v>
      </c>
      <c r="Y534" s="453">
        <v>2474</v>
      </c>
      <c r="Z534" s="452">
        <v>21677</v>
      </c>
      <c r="AA534" s="452">
        <v>27327</v>
      </c>
      <c r="AB534" s="452">
        <v>0</v>
      </c>
      <c r="AC534" s="453">
        <v>24449</v>
      </c>
      <c r="AD534" s="453">
        <v>58555</v>
      </c>
      <c r="AE534" s="453">
        <v>0</v>
      </c>
      <c r="AF534" s="452"/>
      <c r="AG534" s="616"/>
    </row>
    <row r="535" spans="1:33">
      <c r="A535" s="342" t="s">
        <v>438</v>
      </c>
      <c r="B535" s="384" t="s">
        <v>443</v>
      </c>
      <c r="C535" s="579"/>
      <c r="D535" s="577">
        <v>233921</v>
      </c>
      <c r="E535" s="578">
        <v>1</v>
      </c>
      <c r="F535" s="450">
        <f t="shared" si="36"/>
        <v>922288</v>
      </c>
      <c r="G535" s="451">
        <f t="shared" si="37"/>
        <v>926770</v>
      </c>
      <c r="H535" s="452">
        <v>750028</v>
      </c>
      <c r="I535" s="453">
        <v>688151</v>
      </c>
      <c r="J535" s="452">
        <v>53</v>
      </c>
      <c r="K535" s="453">
        <v>156</v>
      </c>
      <c r="L535" s="452">
        <v>78890</v>
      </c>
      <c r="M535" s="452">
        <v>93317</v>
      </c>
      <c r="N535" s="452">
        <v>0</v>
      </c>
      <c r="O535" s="453">
        <v>102511</v>
      </c>
      <c r="P535" s="453">
        <v>135952</v>
      </c>
      <c r="Q535" s="453">
        <v>0</v>
      </c>
      <c r="R535" s="452"/>
      <c r="S535" s="453"/>
      <c r="T535" s="450">
        <f t="shared" si="38"/>
        <v>143731</v>
      </c>
      <c r="U535" s="451">
        <f t="shared" si="39"/>
        <v>150692</v>
      </c>
      <c r="V535" s="452">
        <v>102218</v>
      </c>
      <c r="W535" s="453">
        <v>85010</v>
      </c>
      <c r="X535" s="452">
        <v>12753</v>
      </c>
      <c r="Y535" s="453">
        <v>6782</v>
      </c>
      <c r="Z535" s="452">
        <v>18029</v>
      </c>
      <c r="AA535" s="452">
        <v>10731</v>
      </c>
      <c r="AB535" s="452">
        <v>0</v>
      </c>
      <c r="AC535" s="453">
        <v>48731</v>
      </c>
      <c r="AD535" s="453">
        <v>10169</v>
      </c>
      <c r="AE535" s="453">
        <v>0</v>
      </c>
      <c r="AF535" s="452"/>
      <c r="AG535" s="616"/>
    </row>
    <row r="536" spans="1:33">
      <c r="A536" s="342" t="s">
        <v>438</v>
      </c>
      <c r="B536" s="624" t="s">
        <v>976</v>
      </c>
      <c r="C536" s="579"/>
      <c r="D536" s="577">
        <v>231624</v>
      </c>
      <c r="E536" s="578">
        <v>2</v>
      </c>
      <c r="F536" s="450">
        <f t="shared" si="36"/>
        <v>182600.3</v>
      </c>
      <c r="G536" s="451">
        <f t="shared" si="37"/>
        <v>186084.5</v>
      </c>
      <c r="H536" s="452">
        <v>99756.5</v>
      </c>
      <c r="I536" s="453">
        <v>98008.5</v>
      </c>
      <c r="J536" s="452">
        <v>4038.3</v>
      </c>
      <c r="K536" s="453">
        <v>1478</v>
      </c>
      <c r="L536" s="452">
        <v>62603</v>
      </c>
      <c r="M536" s="452">
        <v>16202.5</v>
      </c>
      <c r="N536" s="452">
        <v>0</v>
      </c>
      <c r="O536" s="453">
        <v>74580</v>
      </c>
      <c r="P536" s="453">
        <v>12018</v>
      </c>
      <c r="Q536" s="453">
        <v>0</v>
      </c>
      <c r="R536" s="452"/>
      <c r="S536" s="453"/>
      <c r="T536" s="450">
        <f t="shared" si="38"/>
        <v>62133.5</v>
      </c>
      <c r="U536" s="451">
        <f t="shared" si="39"/>
        <v>67359</v>
      </c>
      <c r="V536" s="452">
        <v>28399</v>
      </c>
      <c r="W536" s="453">
        <v>23302</v>
      </c>
      <c r="X536" s="452">
        <v>3452.5</v>
      </c>
      <c r="Y536" s="453">
        <v>2266.5</v>
      </c>
      <c r="Z536" s="452">
        <v>25868.5</v>
      </c>
      <c r="AA536" s="452">
        <v>4413.5</v>
      </c>
      <c r="AB536" s="452">
        <v>0</v>
      </c>
      <c r="AC536" s="453">
        <v>38994.5</v>
      </c>
      <c r="AD536" s="453">
        <v>2796</v>
      </c>
      <c r="AE536" s="453">
        <v>0</v>
      </c>
      <c r="AF536" s="452"/>
      <c r="AG536" s="616"/>
    </row>
    <row r="537" spans="1:33" s="14" customFormat="1" ht="15.6" customHeight="1">
      <c r="A537" s="342" t="s">
        <v>438</v>
      </c>
      <c r="B537" s="384" t="s">
        <v>445</v>
      </c>
      <c r="C537" s="581" t="s">
        <v>944</v>
      </c>
      <c r="D537" s="577">
        <v>232423</v>
      </c>
      <c r="E537" s="578">
        <v>3</v>
      </c>
      <c r="F537" s="450">
        <f t="shared" si="36"/>
        <v>589265</v>
      </c>
      <c r="G537" s="451">
        <f t="shared" si="37"/>
        <v>597687</v>
      </c>
      <c r="H537" s="452">
        <v>296761</v>
      </c>
      <c r="I537" s="453">
        <v>282745</v>
      </c>
      <c r="J537" s="452">
        <v>8845</v>
      </c>
      <c r="K537" s="453">
        <v>3119</v>
      </c>
      <c r="L537" s="452">
        <v>283659</v>
      </c>
      <c r="M537" s="452">
        <v>0</v>
      </c>
      <c r="N537" s="452">
        <v>0</v>
      </c>
      <c r="O537" s="453">
        <v>311823</v>
      </c>
      <c r="P537" s="453">
        <v>0</v>
      </c>
      <c r="Q537" s="453">
        <v>0</v>
      </c>
      <c r="R537" s="452"/>
      <c r="S537" s="453"/>
      <c r="T537" s="450">
        <f t="shared" si="38"/>
        <v>35561</v>
      </c>
      <c r="U537" s="451">
        <f t="shared" si="39"/>
        <v>37373</v>
      </c>
      <c r="V537" s="452">
        <v>18205</v>
      </c>
      <c r="W537" s="453">
        <v>16469</v>
      </c>
      <c r="X537" s="452">
        <v>2357</v>
      </c>
      <c r="Y537" s="453">
        <v>1309</v>
      </c>
      <c r="Z537" s="452">
        <v>14999</v>
      </c>
      <c r="AA537" s="452">
        <v>0</v>
      </c>
      <c r="AB537" s="452">
        <v>0</v>
      </c>
      <c r="AC537" s="453">
        <v>19595</v>
      </c>
      <c r="AD537" s="453">
        <v>0</v>
      </c>
      <c r="AE537" s="453">
        <v>0</v>
      </c>
      <c r="AF537" s="452"/>
      <c r="AG537" s="616"/>
    </row>
    <row r="538" spans="1:33" s="14" customFormat="1" ht="15.6" customHeight="1">
      <c r="A538" s="342" t="s">
        <v>438</v>
      </c>
      <c r="B538" s="384" t="s">
        <v>446</v>
      </c>
      <c r="C538" s="582"/>
      <c r="D538" s="583">
        <v>232566</v>
      </c>
      <c r="E538" s="584">
        <v>5</v>
      </c>
      <c r="F538" s="450">
        <f t="shared" si="36"/>
        <v>109575</v>
      </c>
      <c r="G538" s="451">
        <f t="shared" si="37"/>
        <v>101537</v>
      </c>
      <c r="H538" s="452">
        <v>81487</v>
      </c>
      <c r="I538" s="453">
        <v>72257</v>
      </c>
      <c r="J538" s="452">
        <v>704</v>
      </c>
      <c r="K538" s="453">
        <v>1354</v>
      </c>
      <c r="L538" s="452">
        <v>24846</v>
      </c>
      <c r="M538" s="452">
        <v>2538</v>
      </c>
      <c r="N538" s="452">
        <v>0</v>
      </c>
      <c r="O538" s="453">
        <v>25866</v>
      </c>
      <c r="P538" s="453">
        <v>2060</v>
      </c>
      <c r="Q538" s="453">
        <v>0</v>
      </c>
      <c r="R538" s="452"/>
      <c r="S538" s="453"/>
      <c r="T538" s="450">
        <f t="shared" si="38"/>
        <v>14553</v>
      </c>
      <c r="U538" s="451">
        <f t="shared" si="39"/>
        <v>20396</v>
      </c>
      <c r="V538" s="452">
        <v>1589</v>
      </c>
      <c r="W538" s="453">
        <v>1986</v>
      </c>
      <c r="X538" s="452">
        <v>795</v>
      </c>
      <c r="Y538" s="453">
        <v>591</v>
      </c>
      <c r="Z538" s="452">
        <v>12169</v>
      </c>
      <c r="AA538" s="452">
        <v>0</v>
      </c>
      <c r="AB538" s="452">
        <v>0</v>
      </c>
      <c r="AC538" s="453">
        <v>17819</v>
      </c>
      <c r="AD538" s="453">
        <v>0</v>
      </c>
      <c r="AE538" s="453">
        <v>0</v>
      </c>
      <c r="AF538" s="452"/>
      <c r="AG538" s="616"/>
    </row>
    <row r="539" spans="1:33" s="14" customFormat="1" ht="15.6" customHeight="1">
      <c r="A539" s="342" t="s">
        <v>438</v>
      </c>
      <c r="B539" s="384" t="s">
        <v>447</v>
      </c>
      <c r="C539" s="582"/>
      <c r="D539" s="583">
        <v>232937</v>
      </c>
      <c r="E539" s="584">
        <v>4</v>
      </c>
      <c r="F539" s="450">
        <f t="shared" si="36"/>
        <v>136802</v>
      </c>
      <c r="G539" s="451">
        <f t="shared" si="37"/>
        <v>133357</v>
      </c>
      <c r="H539" s="452">
        <v>93223</v>
      </c>
      <c r="I539" s="453">
        <v>68889</v>
      </c>
      <c r="J539" s="452">
        <v>80</v>
      </c>
      <c r="K539" s="453">
        <v>0</v>
      </c>
      <c r="L539" s="452">
        <v>43499</v>
      </c>
      <c r="M539" s="452">
        <v>0</v>
      </c>
      <c r="N539" s="452">
        <v>0</v>
      </c>
      <c r="O539" s="453">
        <v>64468</v>
      </c>
      <c r="P539" s="453">
        <v>0</v>
      </c>
      <c r="Q539" s="453">
        <v>0</v>
      </c>
      <c r="R539" s="452"/>
      <c r="S539" s="453"/>
      <c r="T539" s="450">
        <f t="shared" si="38"/>
        <v>8473</v>
      </c>
      <c r="U539" s="451">
        <f t="shared" si="39"/>
        <v>8173</v>
      </c>
      <c r="V539" s="452">
        <v>6106</v>
      </c>
      <c r="W539" s="453">
        <v>4606</v>
      </c>
      <c r="X539" s="452">
        <v>0</v>
      </c>
      <c r="Y539" s="453">
        <v>0</v>
      </c>
      <c r="Z539" s="452">
        <v>2367</v>
      </c>
      <c r="AA539" s="452">
        <v>0</v>
      </c>
      <c r="AB539" s="452">
        <v>0</v>
      </c>
      <c r="AC539" s="453">
        <v>3567</v>
      </c>
      <c r="AD539" s="453">
        <v>0</v>
      </c>
      <c r="AE539" s="453">
        <v>0</v>
      </c>
      <c r="AF539" s="452"/>
      <c r="AG539" s="616"/>
    </row>
    <row r="540" spans="1:33" s="14" customFormat="1" ht="15.6" customHeight="1">
      <c r="A540" s="342" t="s">
        <v>438</v>
      </c>
      <c r="B540" s="384" t="s">
        <v>448</v>
      </c>
      <c r="C540" s="576"/>
      <c r="D540" s="585">
        <v>233277</v>
      </c>
      <c r="E540" s="578">
        <v>3</v>
      </c>
      <c r="F540" s="450">
        <f t="shared" si="36"/>
        <v>219564</v>
      </c>
      <c r="G540" s="451">
        <f t="shared" si="37"/>
        <v>192180</v>
      </c>
      <c r="H540" s="452">
        <v>130018</v>
      </c>
      <c r="I540" s="453">
        <v>77867</v>
      </c>
      <c r="J540" s="452">
        <v>14187</v>
      </c>
      <c r="K540" s="453">
        <v>14523</v>
      </c>
      <c r="L540" s="452">
        <v>70615</v>
      </c>
      <c r="M540" s="452">
        <v>4744</v>
      </c>
      <c r="N540" s="452">
        <v>0</v>
      </c>
      <c r="O540" s="453">
        <v>80768</v>
      </c>
      <c r="P540" s="453">
        <v>19022</v>
      </c>
      <c r="Q540" s="453">
        <v>0</v>
      </c>
      <c r="R540" s="452"/>
      <c r="S540" s="453"/>
      <c r="T540" s="450">
        <f t="shared" si="38"/>
        <v>40716</v>
      </c>
      <c r="U540" s="451">
        <f t="shared" si="39"/>
        <v>36857.199999999997</v>
      </c>
      <c r="V540" s="452">
        <v>7111</v>
      </c>
      <c r="W540" s="453">
        <v>6356</v>
      </c>
      <c r="X540" s="452">
        <v>7869</v>
      </c>
      <c r="Y540" s="453">
        <v>7548</v>
      </c>
      <c r="Z540" s="452">
        <v>25459</v>
      </c>
      <c r="AA540" s="452">
        <v>277</v>
      </c>
      <c r="AB540" s="452">
        <v>0</v>
      </c>
      <c r="AC540" s="453">
        <v>19564.2</v>
      </c>
      <c r="AD540" s="453">
        <v>3389</v>
      </c>
      <c r="AE540" s="453">
        <v>0</v>
      </c>
      <c r="AF540" s="452"/>
      <c r="AG540" s="616"/>
    </row>
    <row r="541" spans="1:33" s="14" customFormat="1" ht="15.6" customHeight="1">
      <c r="A541" s="342" t="s">
        <v>438</v>
      </c>
      <c r="B541" s="384" t="s">
        <v>449</v>
      </c>
      <c r="C541" s="582"/>
      <c r="D541" s="583">
        <v>232681</v>
      </c>
      <c r="E541" s="584">
        <v>5</v>
      </c>
      <c r="F541" s="450">
        <f t="shared" si="36"/>
        <v>115162</v>
      </c>
      <c r="G541" s="451">
        <f t="shared" si="37"/>
        <v>104295</v>
      </c>
      <c r="H541" s="452">
        <v>55643</v>
      </c>
      <c r="I541" s="453">
        <v>47160</v>
      </c>
      <c r="J541" s="452">
        <v>0</v>
      </c>
      <c r="K541" s="453">
        <v>0</v>
      </c>
      <c r="L541" s="452">
        <v>16992</v>
      </c>
      <c r="M541" s="452">
        <v>42527</v>
      </c>
      <c r="N541" s="452">
        <v>0</v>
      </c>
      <c r="O541" s="453">
        <v>18735</v>
      </c>
      <c r="P541" s="453">
        <v>38400</v>
      </c>
      <c r="Q541" s="453">
        <v>0</v>
      </c>
      <c r="R541" s="452"/>
      <c r="S541" s="453"/>
      <c r="T541" s="450">
        <f t="shared" si="38"/>
        <v>5170.6000000000004</v>
      </c>
      <c r="U541" s="451">
        <f t="shared" si="39"/>
        <v>5132.8</v>
      </c>
      <c r="V541" s="452">
        <v>1570.6</v>
      </c>
      <c r="W541" s="453">
        <v>1859.4</v>
      </c>
      <c r="X541" s="452">
        <v>0</v>
      </c>
      <c r="Y541" s="453">
        <v>69</v>
      </c>
      <c r="Z541" s="452">
        <v>1974</v>
      </c>
      <c r="AA541" s="452">
        <v>1626</v>
      </c>
      <c r="AB541" s="452">
        <v>0</v>
      </c>
      <c r="AC541" s="453">
        <v>1762.4</v>
      </c>
      <c r="AD541" s="453">
        <v>1442</v>
      </c>
      <c r="AE541" s="453">
        <v>0</v>
      </c>
      <c r="AF541" s="452"/>
      <c r="AG541" s="616"/>
    </row>
    <row r="542" spans="1:33" s="14" customFormat="1" ht="15.6" customHeight="1">
      <c r="A542" s="342" t="s">
        <v>438</v>
      </c>
      <c r="B542" s="384" t="s">
        <v>450</v>
      </c>
      <c r="C542" s="576"/>
      <c r="D542" s="577">
        <v>234155</v>
      </c>
      <c r="E542" s="578">
        <v>3</v>
      </c>
      <c r="F542" s="450">
        <f t="shared" si="36"/>
        <v>113695</v>
      </c>
      <c r="G542" s="451">
        <f t="shared" si="37"/>
        <v>109595</v>
      </c>
      <c r="H542" s="452">
        <v>97870</v>
      </c>
      <c r="I542" s="453">
        <v>91498</v>
      </c>
      <c r="J542" s="452">
        <v>117</v>
      </c>
      <c r="K542" s="453">
        <v>212</v>
      </c>
      <c r="L542" s="452">
        <v>15708</v>
      </c>
      <c r="M542" s="452">
        <v>0</v>
      </c>
      <c r="N542" s="452">
        <v>0</v>
      </c>
      <c r="O542" s="453">
        <v>17885</v>
      </c>
      <c r="P542" s="453">
        <v>0</v>
      </c>
      <c r="Q542" s="453">
        <v>0</v>
      </c>
      <c r="R542" s="452"/>
      <c r="S542" s="453"/>
      <c r="T542" s="450">
        <f t="shared" si="38"/>
        <v>6016</v>
      </c>
      <c r="U542" s="451">
        <f t="shared" si="39"/>
        <v>6771</v>
      </c>
      <c r="V542" s="452">
        <v>5536</v>
      </c>
      <c r="W542" s="453">
        <v>5976</v>
      </c>
      <c r="X542" s="452">
        <v>0</v>
      </c>
      <c r="Y542" s="453">
        <v>186</v>
      </c>
      <c r="Z542" s="452">
        <v>480</v>
      </c>
      <c r="AA542" s="452">
        <v>0</v>
      </c>
      <c r="AB542" s="452">
        <v>0</v>
      </c>
      <c r="AC542" s="453">
        <v>609</v>
      </c>
      <c r="AD542" s="453">
        <v>0</v>
      </c>
      <c r="AE542" s="453">
        <v>0</v>
      </c>
      <c r="AF542" s="452"/>
      <c r="AG542" s="616"/>
    </row>
    <row r="543" spans="1:33" s="14" customFormat="1" ht="15.6" customHeight="1">
      <c r="A543" s="342" t="s">
        <v>438</v>
      </c>
      <c r="B543" s="384" t="s">
        <v>451</v>
      </c>
      <c r="C543" s="576"/>
      <c r="D543" s="577">
        <v>231712</v>
      </c>
      <c r="E543" s="578">
        <v>5</v>
      </c>
      <c r="F543" s="450">
        <f t="shared" si="36"/>
        <v>139327</v>
      </c>
      <c r="G543" s="451">
        <f t="shared" si="37"/>
        <v>132230</v>
      </c>
      <c r="H543" s="452">
        <v>103475</v>
      </c>
      <c r="I543" s="453">
        <v>105391</v>
      </c>
      <c r="J543" s="452">
        <v>854</v>
      </c>
      <c r="K543" s="453">
        <v>0</v>
      </c>
      <c r="L543" s="452">
        <v>34998</v>
      </c>
      <c r="M543" s="452">
        <v>0</v>
      </c>
      <c r="N543" s="452">
        <v>0</v>
      </c>
      <c r="O543" s="453">
        <v>26839</v>
      </c>
      <c r="P543" s="453">
        <v>0</v>
      </c>
      <c r="Q543" s="453">
        <v>0</v>
      </c>
      <c r="R543" s="452"/>
      <c r="S543" s="453"/>
      <c r="T543" s="450">
        <f t="shared" si="38"/>
        <v>2776</v>
      </c>
      <c r="U543" s="451">
        <f t="shared" si="39"/>
        <v>3251</v>
      </c>
      <c r="V543" s="452">
        <v>2080</v>
      </c>
      <c r="W543" s="453">
        <v>2625</v>
      </c>
      <c r="X543" s="452">
        <v>0</v>
      </c>
      <c r="Y543" s="453">
        <v>0</v>
      </c>
      <c r="Z543" s="452">
        <v>696</v>
      </c>
      <c r="AA543" s="452">
        <v>0</v>
      </c>
      <c r="AB543" s="452">
        <v>0</v>
      </c>
      <c r="AC543" s="453">
        <v>626</v>
      </c>
      <c r="AD543" s="453">
        <v>0</v>
      </c>
      <c r="AE543" s="453">
        <v>0</v>
      </c>
      <c r="AF543" s="452"/>
      <c r="AG543" s="616"/>
    </row>
    <row r="544" spans="1:33" s="14" customFormat="1" ht="15.6" customHeight="1">
      <c r="A544" s="342" t="s">
        <v>438</v>
      </c>
      <c r="B544" s="624" t="s">
        <v>983</v>
      </c>
      <c r="C544" s="625" t="s">
        <v>977</v>
      </c>
      <c r="D544" s="577">
        <v>233897</v>
      </c>
      <c r="E544" s="578">
        <v>6</v>
      </c>
      <c r="F544" s="450">
        <f t="shared" si="36"/>
        <v>45821</v>
      </c>
      <c r="G544" s="451">
        <f t="shared" si="37"/>
        <v>46290</v>
      </c>
      <c r="H544" s="452">
        <v>32708</v>
      </c>
      <c r="I544" s="453">
        <v>33373</v>
      </c>
      <c r="J544" s="452">
        <v>717</v>
      </c>
      <c r="K544" s="453">
        <v>0</v>
      </c>
      <c r="L544" s="452">
        <v>12396</v>
      </c>
      <c r="M544" s="452">
        <v>0</v>
      </c>
      <c r="N544" s="452">
        <v>0</v>
      </c>
      <c r="O544" s="453">
        <v>12917</v>
      </c>
      <c r="P544" s="453">
        <v>0</v>
      </c>
      <c r="Q544" s="453">
        <v>0</v>
      </c>
      <c r="R544" s="452"/>
      <c r="S544" s="453"/>
      <c r="T544" s="450">
        <f t="shared" si="38"/>
        <v>0</v>
      </c>
      <c r="U544" s="451">
        <f t="shared" si="39"/>
        <v>0</v>
      </c>
      <c r="V544" s="452">
        <v>0</v>
      </c>
      <c r="W544" s="453"/>
      <c r="X544" s="452"/>
      <c r="Y544" s="453"/>
      <c r="Z544" s="452"/>
      <c r="AA544" s="452"/>
      <c r="AB544" s="452"/>
      <c r="AC544" s="453"/>
      <c r="AD544" s="453"/>
      <c r="AE544" s="453"/>
      <c r="AF544" s="452"/>
      <c r="AG544" s="616"/>
    </row>
    <row r="545" spans="1:33" s="14" customFormat="1" ht="15.6" customHeight="1">
      <c r="A545" s="342" t="s">
        <v>438</v>
      </c>
      <c r="B545" s="384" t="s">
        <v>453</v>
      </c>
      <c r="C545" s="576"/>
      <c r="D545" s="577">
        <v>232414</v>
      </c>
      <c r="E545" s="578">
        <v>8</v>
      </c>
      <c r="F545" s="450">
        <f t="shared" si="36"/>
        <v>157772</v>
      </c>
      <c r="G545" s="451">
        <f t="shared" si="37"/>
        <v>146315</v>
      </c>
      <c r="H545" s="452">
        <v>39668</v>
      </c>
      <c r="I545" s="453">
        <v>10342</v>
      </c>
      <c r="J545" s="452">
        <v>18462</v>
      </c>
      <c r="K545" s="453">
        <v>20660</v>
      </c>
      <c r="L545" s="452">
        <v>96819</v>
      </c>
      <c r="M545" s="452">
        <v>92</v>
      </c>
      <c r="N545" s="452">
        <v>2731</v>
      </c>
      <c r="O545" s="453">
        <v>113361</v>
      </c>
      <c r="P545" s="453">
        <v>357</v>
      </c>
      <c r="Q545" s="453">
        <v>1595</v>
      </c>
      <c r="R545" s="452"/>
      <c r="S545" s="453"/>
      <c r="T545" s="450">
        <f t="shared" si="38"/>
        <v>0</v>
      </c>
      <c r="U545" s="451">
        <f t="shared" si="39"/>
        <v>0</v>
      </c>
      <c r="V545" s="452">
        <v>0</v>
      </c>
      <c r="W545" s="453"/>
      <c r="X545" s="452"/>
      <c r="Y545" s="453"/>
      <c r="Z545" s="452"/>
      <c r="AA545" s="452"/>
      <c r="AB545" s="452"/>
      <c r="AC545" s="453"/>
      <c r="AD545" s="453"/>
      <c r="AE545" s="453"/>
      <c r="AF545" s="452"/>
      <c r="AG545" s="616"/>
    </row>
    <row r="546" spans="1:33" s="14" customFormat="1" ht="15.6" customHeight="1">
      <c r="A546" s="342" t="s">
        <v>438</v>
      </c>
      <c r="B546" s="624" t="s">
        <v>984</v>
      </c>
      <c r="C546" s="385" t="s">
        <v>978</v>
      </c>
      <c r="D546" s="577">
        <v>232450</v>
      </c>
      <c r="E546" s="578">
        <v>8</v>
      </c>
      <c r="F546" s="450">
        <f t="shared" si="36"/>
        <v>158949</v>
      </c>
      <c r="G546" s="451">
        <f t="shared" si="37"/>
        <v>149393</v>
      </c>
      <c r="H546" s="452">
        <v>43773</v>
      </c>
      <c r="I546" s="453">
        <v>19352</v>
      </c>
      <c r="J546" s="452">
        <v>26931</v>
      </c>
      <c r="K546" s="453">
        <v>25410</v>
      </c>
      <c r="L546" s="452">
        <v>75827</v>
      </c>
      <c r="M546" s="452">
        <v>5812</v>
      </c>
      <c r="N546" s="452">
        <v>6606</v>
      </c>
      <c r="O546" s="453">
        <v>83819</v>
      </c>
      <c r="P546" s="453">
        <v>14387</v>
      </c>
      <c r="Q546" s="453">
        <v>6425</v>
      </c>
      <c r="R546" s="452"/>
      <c r="S546" s="453"/>
      <c r="T546" s="450">
        <f t="shared" si="38"/>
        <v>0</v>
      </c>
      <c r="U546" s="451">
        <f t="shared" si="39"/>
        <v>0</v>
      </c>
      <c r="V546" s="452">
        <v>0</v>
      </c>
      <c r="W546" s="453"/>
      <c r="X546" s="452"/>
      <c r="Y546" s="453"/>
      <c r="Z546" s="452"/>
      <c r="AA546" s="452"/>
      <c r="AB546" s="452"/>
      <c r="AC546" s="453"/>
      <c r="AD546" s="453"/>
      <c r="AE546" s="453"/>
      <c r="AF546" s="452"/>
      <c r="AG546" s="616"/>
    </row>
    <row r="547" spans="1:33" s="14" customFormat="1" ht="15.6" customHeight="1">
      <c r="A547" s="342" t="s">
        <v>438</v>
      </c>
      <c r="B547" s="384" t="s">
        <v>455</v>
      </c>
      <c r="C547" s="576"/>
      <c r="D547" s="577">
        <v>232946</v>
      </c>
      <c r="E547" s="578">
        <v>8</v>
      </c>
      <c r="F547" s="450">
        <f t="shared" si="36"/>
        <v>923343</v>
      </c>
      <c r="G547" s="451">
        <f t="shared" si="37"/>
        <v>929298</v>
      </c>
      <c r="H547" s="452">
        <v>348674</v>
      </c>
      <c r="I547" s="453">
        <v>218357</v>
      </c>
      <c r="J547" s="452">
        <v>108807</v>
      </c>
      <c r="K547" s="453">
        <v>108523</v>
      </c>
      <c r="L547" s="452">
        <v>420022</v>
      </c>
      <c r="M547" s="452">
        <v>45757</v>
      </c>
      <c r="N547" s="452">
        <v>83</v>
      </c>
      <c r="O547" s="453">
        <v>599656</v>
      </c>
      <c r="P547" s="453">
        <v>2576</v>
      </c>
      <c r="Q547" s="453">
        <v>186</v>
      </c>
      <c r="R547" s="452"/>
      <c r="S547" s="453"/>
      <c r="T547" s="450">
        <f t="shared" si="38"/>
        <v>0</v>
      </c>
      <c r="U547" s="451">
        <f t="shared" si="39"/>
        <v>0</v>
      </c>
      <c r="V547" s="452">
        <v>0</v>
      </c>
      <c r="W547" s="453"/>
      <c r="X547" s="452"/>
      <c r="Y547" s="453"/>
      <c r="Z547" s="452"/>
      <c r="AA547" s="452"/>
      <c r="AB547" s="452"/>
      <c r="AC547" s="453"/>
      <c r="AD547" s="453"/>
      <c r="AE547" s="453"/>
      <c r="AF547" s="452"/>
      <c r="AG547" s="616"/>
    </row>
    <row r="548" spans="1:33" s="14" customFormat="1" ht="15.6" customHeight="1">
      <c r="A548" s="342" t="s">
        <v>438</v>
      </c>
      <c r="B548" s="346" t="s">
        <v>985</v>
      </c>
      <c r="C548" s="586" t="s">
        <v>986</v>
      </c>
      <c r="D548" s="587">
        <v>233754</v>
      </c>
      <c r="E548" s="588">
        <v>9</v>
      </c>
      <c r="F548" s="450">
        <f t="shared" si="36"/>
        <v>132345</v>
      </c>
      <c r="G548" s="451">
        <f t="shared" si="37"/>
        <v>118434</v>
      </c>
      <c r="H548" s="452">
        <v>45693</v>
      </c>
      <c r="I548" s="453">
        <v>4071</v>
      </c>
      <c r="J548" s="452">
        <v>6657</v>
      </c>
      <c r="K548" s="453">
        <v>7361</v>
      </c>
      <c r="L548" s="452">
        <v>78682</v>
      </c>
      <c r="M548" s="452">
        <v>184</v>
      </c>
      <c r="N548" s="452">
        <v>1129</v>
      </c>
      <c r="O548" s="453">
        <v>100756</v>
      </c>
      <c r="P548" s="453">
        <v>947</v>
      </c>
      <c r="Q548" s="453">
        <v>5299</v>
      </c>
      <c r="R548" s="452"/>
      <c r="S548" s="453"/>
      <c r="T548" s="450">
        <f t="shared" si="38"/>
        <v>0</v>
      </c>
      <c r="U548" s="451">
        <f t="shared" si="39"/>
        <v>0</v>
      </c>
      <c r="V548" s="452">
        <v>0</v>
      </c>
      <c r="W548" s="453"/>
      <c r="X548" s="452"/>
      <c r="Y548" s="453"/>
      <c r="Z548" s="452"/>
      <c r="AA548" s="452"/>
      <c r="AB548" s="452"/>
      <c r="AC548" s="453"/>
      <c r="AD548" s="453"/>
      <c r="AE548" s="453"/>
      <c r="AF548" s="452"/>
      <c r="AG548" s="616"/>
    </row>
    <row r="549" spans="1:33" s="14" customFormat="1" ht="15.6" customHeight="1">
      <c r="A549" s="342" t="s">
        <v>438</v>
      </c>
      <c r="B549" s="384" t="s">
        <v>457</v>
      </c>
      <c r="C549" s="576"/>
      <c r="D549" s="577">
        <v>233772</v>
      </c>
      <c r="E549" s="578">
        <v>8</v>
      </c>
      <c r="F549" s="450">
        <f t="shared" si="36"/>
        <v>359351</v>
      </c>
      <c r="G549" s="451">
        <f t="shared" si="37"/>
        <v>325714</v>
      </c>
      <c r="H549" s="452">
        <v>119520</v>
      </c>
      <c r="I549" s="453">
        <v>25237</v>
      </c>
      <c r="J549" s="452">
        <v>15817</v>
      </c>
      <c r="K549" s="453">
        <v>12698</v>
      </c>
      <c r="L549" s="452">
        <v>218874</v>
      </c>
      <c r="M549" s="452">
        <v>3243</v>
      </c>
      <c r="N549" s="452">
        <v>1897</v>
      </c>
      <c r="O549" s="453">
        <v>275413</v>
      </c>
      <c r="P549" s="453">
        <v>9674</v>
      </c>
      <c r="Q549" s="453">
        <v>2692</v>
      </c>
      <c r="R549" s="452"/>
      <c r="S549" s="453"/>
      <c r="T549" s="450">
        <f t="shared" si="38"/>
        <v>0</v>
      </c>
      <c r="U549" s="451">
        <f t="shared" si="39"/>
        <v>0</v>
      </c>
      <c r="V549" s="452">
        <v>0</v>
      </c>
      <c r="W549" s="453"/>
      <c r="X549" s="452"/>
      <c r="Y549" s="453"/>
      <c r="Z549" s="452"/>
      <c r="AA549" s="452"/>
      <c r="AB549" s="452"/>
      <c r="AC549" s="453"/>
      <c r="AD549" s="453"/>
      <c r="AE549" s="453"/>
      <c r="AF549" s="452"/>
      <c r="AG549" s="616"/>
    </row>
    <row r="550" spans="1:33" s="14" customFormat="1" ht="15.6" customHeight="1">
      <c r="A550" s="342" t="s">
        <v>438</v>
      </c>
      <c r="B550" s="384" t="s">
        <v>458</v>
      </c>
      <c r="C550" s="576"/>
      <c r="D550" s="577">
        <v>231536</v>
      </c>
      <c r="E550" s="578">
        <v>9</v>
      </c>
      <c r="F550" s="450">
        <f t="shared" si="36"/>
        <v>64957</v>
      </c>
      <c r="G550" s="451">
        <f t="shared" si="37"/>
        <v>59883</v>
      </c>
      <c r="H550" s="452">
        <v>15647</v>
      </c>
      <c r="I550" s="453">
        <v>9250</v>
      </c>
      <c r="J550" s="452">
        <v>3842</v>
      </c>
      <c r="K550" s="453">
        <v>5003</v>
      </c>
      <c r="L550" s="452">
        <v>44823</v>
      </c>
      <c r="M550" s="452">
        <v>574</v>
      </c>
      <c r="N550" s="452">
        <v>71</v>
      </c>
      <c r="O550" s="453">
        <v>44545</v>
      </c>
      <c r="P550" s="453">
        <v>634</v>
      </c>
      <c r="Q550" s="453">
        <v>451</v>
      </c>
      <c r="R550" s="452"/>
      <c r="S550" s="453"/>
      <c r="T550" s="450">
        <f t="shared" si="38"/>
        <v>0</v>
      </c>
      <c r="U550" s="451">
        <f t="shared" si="39"/>
        <v>0</v>
      </c>
      <c r="V550" s="452">
        <v>0</v>
      </c>
      <c r="W550" s="453"/>
      <c r="X550" s="452"/>
      <c r="Y550" s="453"/>
      <c r="Z550" s="452"/>
      <c r="AA550" s="452"/>
      <c r="AB550" s="452"/>
      <c r="AC550" s="453"/>
      <c r="AD550" s="453"/>
      <c r="AE550" s="453"/>
      <c r="AF550" s="452"/>
      <c r="AG550" s="616"/>
    </row>
    <row r="551" spans="1:33" s="14" customFormat="1" ht="15.6" customHeight="1">
      <c r="A551" s="342" t="s">
        <v>438</v>
      </c>
      <c r="B551" s="384" t="s">
        <v>459</v>
      </c>
      <c r="C551" s="576"/>
      <c r="D551" s="577">
        <v>231697</v>
      </c>
      <c r="E551" s="578">
        <v>9</v>
      </c>
      <c r="F551" s="450">
        <f t="shared" si="36"/>
        <v>64772</v>
      </c>
      <c r="G551" s="451">
        <f t="shared" si="37"/>
        <v>61162</v>
      </c>
      <c r="H551" s="452">
        <v>17305</v>
      </c>
      <c r="I551" s="453">
        <v>9858</v>
      </c>
      <c r="J551" s="452">
        <v>8530</v>
      </c>
      <c r="K551" s="453">
        <v>6726</v>
      </c>
      <c r="L551" s="452">
        <v>34671</v>
      </c>
      <c r="M551" s="452">
        <v>4226</v>
      </c>
      <c r="N551" s="452">
        <v>40</v>
      </c>
      <c r="O551" s="453">
        <v>40008</v>
      </c>
      <c r="P551" s="453">
        <v>4501</v>
      </c>
      <c r="Q551" s="453">
        <v>69</v>
      </c>
      <c r="R551" s="452"/>
      <c r="S551" s="453"/>
      <c r="T551" s="450">
        <f t="shared" si="38"/>
        <v>0</v>
      </c>
      <c r="U551" s="451">
        <f t="shared" si="39"/>
        <v>0</v>
      </c>
      <c r="V551" s="452">
        <v>0</v>
      </c>
      <c r="W551" s="453"/>
      <c r="X551" s="452"/>
      <c r="Y551" s="453"/>
      <c r="Z551" s="452"/>
      <c r="AA551" s="452"/>
      <c r="AB551" s="452"/>
      <c r="AC551" s="453"/>
      <c r="AD551" s="453"/>
      <c r="AE551" s="453"/>
      <c r="AF551" s="452"/>
      <c r="AG551" s="616"/>
    </row>
    <row r="552" spans="1:33" s="14" customFormat="1" ht="15.6" customHeight="1">
      <c r="A552" s="342" t="s">
        <v>438</v>
      </c>
      <c r="B552" s="384" t="s">
        <v>461</v>
      </c>
      <c r="C552" s="576"/>
      <c r="D552" s="577">
        <v>232195</v>
      </c>
      <c r="E552" s="578">
        <v>9</v>
      </c>
      <c r="F552" s="450">
        <f t="shared" si="36"/>
        <v>135978</v>
      </c>
      <c r="G552" s="451">
        <f t="shared" si="37"/>
        <v>141104</v>
      </c>
      <c r="H552" s="452">
        <v>27812</v>
      </c>
      <c r="I552" s="453">
        <v>3887</v>
      </c>
      <c r="J552" s="452">
        <v>17979</v>
      </c>
      <c r="K552" s="453">
        <v>12801</v>
      </c>
      <c r="L552" s="452">
        <v>83065</v>
      </c>
      <c r="M552" s="452">
        <v>7122</v>
      </c>
      <c r="N552" s="452">
        <v>0</v>
      </c>
      <c r="O552" s="453">
        <v>121759</v>
      </c>
      <c r="P552" s="453">
        <v>2591</v>
      </c>
      <c r="Q552" s="453">
        <v>66</v>
      </c>
      <c r="R552" s="452"/>
      <c r="S552" s="453"/>
      <c r="T552" s="450">
        <f t="shared" si="38"/>
        <v>0</v>
      </c>
      <c r="U552" s="451">
        <f t="shared" si="39"/>
        <v>0</v>
      </c>
      <c r="V552" s="452">
        <v>0</v>
      </c>
      <c r="W552" s="453"/>
      <c r="X552" s="452"/>
      <c r="Y552" s="453"/>
      <c r="Z552" s="452"/>
      <c r="AA552" s="452"/>
      <c r="AB552" s="452"/>
      <c r="AC552" s="453"/>
      <c r="AD552" s="453"/>
      <c r="AE552" s="453"/>
      <c r="AF552" s="452"/>
      <c r="AG552" s="616"/>
    </row>
    <row r="553" spans="1:33" s="14" customFormat="1" ht="15.6" customHeight="1">
      <c r="A553" s="342" t="s">
        <v>438</v>
      </c>
      <c r="B553" s="624" t="s">
        <v>987</v>
      </c>
      <c r="C553" s="385" t="s">
        <v>979</v>
      </c>
      <c r="D553" s="577">
        <v>232575</v>
      </c>
      <c r="E553" s="578">
        <v>9</v>
      </c>
      <c r="F553" s="450">
        <f t="shared" si="36"/>
        <v>115532</v>
      </c>
      <c r="G553" s="451">
        <f t="shared" si="37"/>
        <v>107077</v>
      </c>
      <c r="H553" s="452">
        <v>17496</v>
      </c>
      <c r="I553" s="453">
        <v>8847</v>
      </c>
      <c r="J553" s="452">
        <v>33298</v>
      </c>
      <c r="K553" s="453">
        <v>31885</v>
      </c>
      <c r="L553" s="452">
        <v>49793</v>
      </c>
      <c r="M553" s="452">
        <v>14945</v>
      </c>
      <c r="N553" s="452">
        <v>0</v>
      </c>
      <c r="O553" s="453">
        <v>60732</v>
      </c>
      <c r="P553" s="453">
        <v>5383</v>
      </c>
      <c r="Q553" s="453">
        <v>230</v>
      </c>
      <c r="R553" s="452"/>
      <c r="S553" s="453"/>
      <c r="T553" s="450">
        <f t="shared" si="38"/>
        <v>0</v>
      </c>
      <c r="U553" s="451">
        <f t="shared" si="39"/>
        <v>0</v>
      </c>
      <c r="V553" s="452">
        <v>0</v>
      </c>
      <c r="W553" s="453"/>
      <c r="X553" s="452"/>
      <c r="Y553" s="453"/>
      <c r="Z553" s="452"/>
      <c r="AA553" s="452"/>
      <c r="AB553" s="452"/>
      <c r="AC553" s="453"/>
      <c r="AD553" s="453"/>
      <c r="AE553" s="453"/>
      <c r="AF553" s="452"/>
      <c r="AG553" s="616"/>
    </row>
    <row r="554" spans="1:33" s="14" customFormat="1" ht="15.6" customHeight="1">
      <c r="A554" s="342" t="s">
        <v>438</v>
      </c>
      <c r="B554" s="384" t="s">
        <v>463</v>
      </c>
      <c r="C554" s="576"/>
      <c r="D554" s="577">
        <v>232867</v>
      </c>
      <c r="E554" s="578">
        <v>9</v>
      </c>
      <c r="F554" s="450">
        <f t="shared" si="36"/>
        <v>78768</v>
      </c>
      <c r="G554" s="451">
        <f t="shared" si="37"/>
        <v>74857</v>
      </c>
      <c r="H554" s="452">
        <v>10406</v>
      </c>
      <c r="I554" s="453">
        <v>9209</v>
      </c>
      <c r="J554" s="452">
        <v>26416</v>
      </c>
      <c r="K554" s="453">
        <v>17121</v>
      </c>
      <c r="L554" s="452">
        <v>41104</v>
      </c>
      <c r="M554" s="452">
        <v>842</v>
      </c>
      <c r="N554" s="452">
        <v>0</v>
      </c>
      <c r="O554" s="453">
        <v>48300</v>
      </c>
      <c r="P554" s="453">
        <v>227</v>
      </c>
      <c r="Q554" s="453">
        <v>0</v>
      </c>
      <c r="R554" s="452"/>
      <c r="S554" s="453"/>
      <c r="T554" s="450">
        <f t="shared" si="38"/>
        <v>0</v>
      </c>
      <c r="U554" s="451">
        <f t="shared" si="39"/>
        <v>0</v>
      </c>
      <c r="V554" s="452">
        <v>0</v>
      </c>
      <c r="W554" s="453"/>
      <c r="X554" s="452"/>
      <c r="Y554" s="453"/>
      <c r="Z554" s="452"/>
      <c r="AA554" s="452"/>
      <c r="AB554" s="452"/>
      <c r="AC554" s="453"/>
      <c r="AD554" s="453"/>
      <c r="AE554" s="453"/>
      <c r="AF554" s="452"/>
      <c r="AG554" s="616"/>
    </row>
    <row r="555" spans="1:33" s="14" customFormat="1" ht="15.6" customHeight="1">
      <c r="A555" s="342" t="s">
        <v>438</v>
      </c>
      <c r="B555" s="384" t="s">
        <v>465</v>
      </c>
      <c r="C555" s="576"/>
      <c r="D555" s="577">
        <v>233116</v>
      </c>
      <c r="E555" s="578">
        <v>9</v>
      </c>
      <c r="F555" s="450">
        <f t="shared" si="36"/>
        <v>82065</v>
      </c>
      <c r="G555" s="451">
        <f t="shared" si="37"/>
        <v>79882</v>
      </c>
      <c r="H555" s="452">
        <v>20828</v>
      </c>
      <c r="I555" s="453">
        <v>10981</v>
      </c>
      <c r="J555" s="452">
        <v>18212</v>
      </c>
      <c r="K555" s="453">
        <v>16843</v>
      </c>
      <c r="L555" s="452">
        <v>41019</v>
      </c>
      <c r="M555" s="452">
        <v>1941</v>
      </c>
      <c r="N555" s="452">
        <v>65</v>
      </c>
      <c r="O555" s="453">
        <v>50131</v>
      </c>
      <c r="P555" s="453">
        <v>1893</v>
      </c>
      <c r="Q555" s="453">
        <v>34</v>
      </c>
      <c r="R555" s="452"/>
      <c r="S555" s="453"/>
      <c r="T555" s="450">
        <f t="shared" si="38"/>
        <v>0</v>
      </c>
      <c r="U555" s="451">
        <f t="shared" si="39"/>
        <v>0</v>
      </c>
      <c r="V555" s="452">
        <v>0</v>
      </c>
      <c r="W555" s="453"/>
      <c r="X555" s="452"/>
      <c r="Y555" s="453"/>
      <c r="Z555" s="452"/>
      <c r="AA555" s="452"/>
      <c r="AB555" s="452"/>
      <c r="AC555" s="453"/>
      <c r="AD555" s="453"/>
      <c r="AE555" s="453"/>
      <c r="AF555" s="452"/>
      <c r="AG555" s="616"/>
    </row>
    <row r="556" spans="1:33" s="14" customFormat="1" ht="15.6" customHeight="1">
      <c r="A556" s="342" t="s">
        <v>438</v>
      </c>
      <c r="B556" s="599" t="s">
        <v>466</v>
      </c>
      <c r="C556" s="586" t="s">
        <v>955</v>
      </c>
      <c r="D556" s="587">
        <v>233639</v>
      </c>
      <c r="E556" s="588">
        <v>10</v>
      </c>
      <c r="F556" s="450">
        <f t="shared" si="36"/>
        <v>59742</v>
      </c>
      <c r="G556" s="451">
        <f t="shared" si="37"/>
        <v>56309</v>
      </c>
      <c r="H556" s="452">
        <v>5380</v>
      </c>
      <c r="I556" s="453">
        <v>3905</v>
      </c>
      <c r="J556" s="452">
        <v>13603</v>
      </c>
      <c r="K556" s="453">
        <v>9575</v>
      </c>
      <c r="L556" s="452">
        <v>37427</v>
      </c>
      <c r="M556" s="452">
        <v>2224</v>
      </c>
      <c r="N556" s="452">
        <v>1108</v>
      </c>
      <c r="O556" s="453">
        <v>40586</v>
      </c>
      <c r="P556" s="453">
        <v>990</v>
      </c>
      <c r="Q556" s="453">
        <v>1253</v>
      </c>
      <c r="R556" s="452"/>
      <c r="S556" s="453"/>
      <c r="T556" s="450">
        <f t="shared" si="38"/>
        <v>0</v>
      </c>
      <c r="U556" s="451">
        <f t="shared" si="39"/>
        <v>0</v>
      </c>
      <c r="V556" s="452">
        <v>0</v>
      </c>
      <c r="W556" s="453"/>
      <c r="X556" s="452"/>
      <c r="Y556" s="453"/>
      <c r="Z556" s="452"/>
      <c r="AA556" s="452"/>
      <c r="AB556" s="452"/>
      <c r="AC556" s="453"/>
      <c r="AD556" s="453"/>
      <c r="AE556" s="453"/>
      <c r="AF556" s="452"/>
      <c r="AG556" s="616"/>
    </row>
    <row r="557" spans="1:33" s="14" customFormat="1" ht="15.6" customHeight="1">
      <c r="A557" s="342" t="s">
        <v>438</v>
      </c>
      <c r="B557" s="384" t="s">
        <v>467</v>
      </c>
      <c r="C557" s="576"/>
      <c r="D557" s="577">
        <v>233949</v>
      </c>
      <c r="E557" s="578">
        <v>9</v>
      </c>
      <c r="F557" s="450">
        <f t="shared" si="36"/>
        <v>103122</v>
      </c>
      <c r="G557" s="451">
        <f t="shared" si="37"/>
        <v>99605</v>
      </c>
      <c r="H557" s="452">
        <v>26919</v>
      </c>
      <c r="I557" s="453">
        <v>13001</v>
      </c>
      <c r="J557" s="452">
        <v>19742</v>
      </c>
      <c r="K557" s="453">
        <v>19203</v>
      </c>
      <c r="L557" s="452">
        <v>51025</v>
      </c>
      <c r="M557" s="452">
        <v>5436</v>
      </c>
      <c r="N557" s="452">
        <v>0</v>
      </c>
      <c r="O557" s="453">
        <v>64335</v>
      </c>
      <c r="P557" s="453">
        <v>3066</v>
      </c>
      <c r="Q557" s="453">
        <v>0</v>
      </c>
      <c r="R557" s="452"/>
      <c r="S557" s="453"/>
      <c r="T557" s="450">
        <f t="shared" si="38"/>
        <v>0</v>
      </c>
      <c r="U557" s="451">
        <f t="shared" si="39"/>
        <v>0</v>
      </c>
      <c r="V557" s="452">
        <v>0</v>
      </c>
      <c r="W557" s="453"/>
      <c r="X557" s="452"/>
      <c r="Y557" s="453"/>
      <c r="Z557" s="452"/>
      <c r="AA557" s="452"/>
      <c r="AB557" s="452"/>
      <c r="AC557" s="453"/>
      <c r="AD557" s="453"/>
      <c r="AE557" s="453"/>
      <c r="AF557" s="452"/>
      <c r="AG557" s="616"/>
    </row>
    <row r="558" spans="1:33" ht="15">
      <c r="A558" s="342" t="s">
        <v>438</v>
      </c>
      <c r="B558" s="624" t="s">
        <v>980</v>
      </c>
      <c r="C558" s="385" t="s">
        <v>981</v>
      </c>
      <c r="D558" s="577">
        <v>231873</v>
      </c>
      <c r="E558" s="578">
        <v>10</v>
      </c>
      <c r="F558" s="450">
        <f t="shared" si="36"/>
        <v>18656</v>
      </c>
      <c r="G558" s="451">
        <f t="shared" si="37"/>
        <v>19403</v>
      </c>
      <c r="H558" s="452">
        <v>3845</v>
      </c>
      <c r="I558" s="453">
        <v>3999</v>
      </c>
      <c r="J558" s="452">
        <v>4773</v>
      </c>
      <c r="K558" s="453">
        <v>4635</v>
      </c>
      <c r="L558" s="452">
        <v>8993</v>
      </c>
      <c r="M558" s="452">
        <v>769</v>
      </c>
      <c r="N558" s="452">
        <v>276</v>
      </c>
      <c r="O558" s="453">
        <v>10469</v>
      </c>
      <c r="P558" s="453">
        <v>182</v>
      </c>
      <c r="Q558" s="453">
        <v>118</v>
      </c>
      <c r="R558" s="452"/>
      <c r="S558" s="453"/>
      <c r="T558" s="450">
        <f t="shared" si="38"/>
        <v>0</v>
      </c>
      <c r="U558" s="451">
        <f t="shared" si="39"/>
        <v>0</v>
      </c>
      <c r="V558" s="452">
        <v>0</v>
      </c>
      <c r="W558" s="453"/>
      <c r="X558" s="452"/>
      <c r="Y558" s="453"/>
      <c r="Z558" s="452"/>
      <c r="AA558" s="452"/>
      <c r="AB558" s="452"/>
      <c r="AC558" s="453"/>
      <c r="AD558" s="453"/>
      <c r="AE558" s="453"/>
      <c r="AF558" s="452"/>
      <c r="AG558" s="616"/>
    </row>
    <row r="559" spans="1:33" s="14" customFormat="1" ht="15.6" customHeight="1">
      <c r="A559" s="342" t="s">
        <v>438</v>
      </c>
      <c r="B559" s="384" t="s">
        <v>460</v>
      </c>
      <c r="C559" s="589"/>
      <c r="D559" s="577">
        <v>231882</v>
      </c>
      <c r="E559" s="578">
        <v>10</v>
      </c>
      <c r="F559" s="450">
        <f t="shared" si="36"/>
        <v>49488</v>
      </c>
      <c r="G559" s="451">
        <f t="shared" si="37"/>
        <v>44130</v>
      </c>
      <c r="H559" s="452">
        <v>17149</v>
      </c>
      <c r="I559" s="453">
        <v>6741</v>
      </c>
      <c r="J559" s="452">
        <v>6726</v>
      </c>
      <c r="K559" s="453">
        <v>11097</v>
      </c>
      <c r="L559" s="452">
        <v>17911</v>
      </c>
      <c r="M559" s="452">
        <v>4678</v>
      </c>
      <c r="N559" s="452">
        <v>3024</v>
      </c>
      <c r="O559" s="453">
        <v>17989</v>
      </c>
      <c r="P559" s="453">
        <v>4469</v>
      </c>
      <c r="Q559" s="453">
        <v>3834</v>
      </c>
      <c r="R559" s="452"/>
      <c r="S559" s="453"/>
      <c r="T559" s="450">
        <f t="shared" si="38"/>
        <v>0</v>
      </c>
      <c r="U559" s="451">
        <f t="shared" si="39"/>
        <v>0</v>
      </c>
      <c r="V559" s="452">
        <v>0</v>
      </c>
      <c r="W559" s="453"/>
      <c r="X559" s="452"/>
      <c r="Y559" s="453"/>
      <c r="Z559" s="452"/>
      <c r="AA559" s="452"/>
      <c r="AB559" s="452"/>
      <c r="AC559" s="453"/>
      <c r="AD559" s="453"/>
      <c r="AE559" s="453"/>
      <c r="AF559" s="452"/>
      <c r="AG559" s="616"/>
    </row>
    <row r="560" spans="1:33">
      <c r="A560" s="342" t="s">
        <v>438</v>
      </c>
      <c r="B560" s="384" t="s">
        <v>470</v>
      </c>
      <c r="C560" s="579"/>
      <c r="D560" s="577">
        <v>232052</v>
      </c>
      <c r="E560" s="578">
        <v>10</v>
      </c>
      <c r="F560" s="450">
        <f t="shared" si="36"/>
        <v>12182</v>
      </c>
      <c r="G560" s="451">
        <f t="shared" si="37"/>
        <v>11724</v>
      </c>
      <c r="H560" s="452">
        <v>3463</v>
      </c>
      <c r="I560" s="453">
        <v>1277</v>
      </c>
      <c r="J560" s="452">
        <v>3126</v>
      </c>
      <c r="K560" s="453">
        <v>2919</v>
      </c>
      <c r="L560" s="452">
        <v>4217</v>
      </c>
      <c r="M560" s="452">
        <v>286</v>
      </c>
      <c r="N560" s="452">
        <v>1090</v>
      </c>
      <c r="O560" s="453">
        <v>5922</v>
      </c>
      <c r="P560" s="453">
        <v>429</v>
      </c>
      <c r="Q560" s="453">
        <v>1177</v>
      </c>
      <c r="R560" s="452"/>
      <c r="S560" s="453"/>
      <c r="T560" s="450">
        <f t="shared" si="38"/>
        <v>0</v>
      </c>
      <c r="U560" s="451">
        <f t="shared" si="39"/>
        <v>0</v>
      </c>
      <c r="V560" s="452">
        <v>0</v>
      </c>
      <c r="W560" s="453"/>
      <c r="X560" s="452"/>
      <c r="Y560" s="453"/>
      <c r="Z560" s="452"/>
      <c r="AA560" s="452"/>
      <c r="AB560" s="452"/>
      <c r="AC560" s="453"/>
      <c r="AD560" s="453"/>
      <c r="AE560" s="453"/>
      <c r="AF560" s="452"/>
      <c r="AG560" s="616"/>
    </row>
    <row r="561" spans="1:33">
      <c r="A561" s="342" t="s">
        <v>438</v>
      </c>
      <c r="B561" s="384" t="s">
        <v>471</v>
      </c>
      <c r="C561" s="580"/>
      <c r="D561" s="577">
        <v>232788</v>
      </c>
      <c r="E561" s="578">
        <v>10</v>
      </c>
      <c r="F561" s="450">
        <f t="shared" si="36"/>
        <v>45237</v>
      </c>
      <c r="G561" s="451">
        <f t="shared" si="37"/>
        <v>43685</v>
      </c>
      <c r="H561" s="452">
        <v>9040</v>
      </c>
      <c r="I561" s="453">
        <v>1655</v>
      </c>
      <c r="J561" s="452">
        <v>6919</v>
      </c>
      <c r="K561" s="453">
        <v>6819</v>
      </c>
      <c r="L561" s="452">
        <v>24467</v>
      </c>
      <c r="M561" s="452">
        <v>3364</v>
      </c>
      <c r="N561" s="452">
        <v>1447</v>
      </c>
      <c r="O561" s="453">
        <v>30458</v>
      </c>
      <c r="P561" s="453">
        <v>1750</v>
      </c>
      <c r="Q561" s="453">
        <v>3003</v>
      </c>
      <c r="R561" s="452"/>
      <c r="S561" s="453"/>
      <c r="T561" s="450">
        <f t="shared" si="38"/>
        <v>0</v>
      </c>
      <c r="U561" s="451">
        <f t="shared" si="39"/>
        <v>0</v>
      </c>
      <c r="V561" s="452">
        <v>0</v>
      </c>
      <c r="W561" s="453"/>
      <c r="X561" s="452"/>
      <c r="Y561" s="453"/>
      <c r="Z561" s="452"/>
      <c r="AA561" s="452"/>
      <c r="AB561" s="452"/>
      <c r="AC561" s="453"/>
      <c r="AD561" s="453"/>
      <c r="AE561" s="453"/>
      <c r="AF561" s="452"/>
      <c r="AG561" s="616"/>
    </row>
    <row r="562" spans="1:33" s="14" customFormat="1" ht="15.6" customHeight="1">
      <c r="A562" s="342" t="s">
        <v>438</v>
      </c>
      <c r="B562" s="624" t="s">
        <v>988</v>
      </c>
      <c r="C562" s="625" t="s">
        <v>982</v>
      </c>
      <c r="D562" s="577">
        <v>233019</v>
      </c>
      <c r="E562" s="578">
        <v>10</v>
      </c>
      <c r="F562" s="450">
        <f t="shared" si="36"/>
        <v>46085</v>
      </c>
      <c r="G562" s="451">
        <f t="shared" si="37"/>
        <v>42537</v>
      </c>
      <c r="H562" s="452">
        <v>15750</v>
      </c>
      <c r="I562" s="453">
        <v>12312</v>
      </c>
      <c r="J562" s="452">
        <v>3742</v>
      </c>
      <c r="K562" s="453">
        <v>2516</v>
      </c>
      <c r="L562" s="452">
        <v>23902</v>
      </c>
      <c r="M562" s="452">
        <v>2673</v>
      </c>
      <c r="N562" s="452">
        <v>18</v>
      </c>
      <c r="O562" s="453">
        <v>25937</v>
      </c>
      <c r="P562" s="453">
        <v>1772</v>
      </c>
      <c r="Q562" s="453">
        <v>0</v>
      </c>
      <c r="R562" s="452"/>
      <c r="S562" s="453"/>
      <c r="T562" s="450">
        <f t="shared" si="38"/>
        <v>0</v>
      </c>
      <c r="U562" s="451">
        <f t="shared" si="39"/>
        <v>0</v>
      </c>
      <c r="V562" s="452">
        <v>0</v>
      </c>
      <c r="W562" s="453"/>
      <c r="X562" s="452"/>
      <c r="Y562" s="453"/>
      <c r="Z562" s="452"/>
      <c r="AA562" s="452"/>
      <c r="AB562" s="452"/>
      <c r="AC562" s="453"/>
      <c r="AD562" s="453"/>
      <c r="AE562" s="453"/>
      <c r="AF562" s="452"/>
      <c r="AG562" s="616"/>
    </row>
    <row r="563" spans="1:33">
      <c r="A563" s="342" t="s">
        <v>438</v>
      </c>
      <c r="B563" s="384" t="s">
        <v>472</v>
      </c>
      <c r="C563" s="579"/>
      <c r="D563" s="577">
        <v>233037</v>
      </c>
      <c r="E563" s="578">
        <v>10</v>
      </c>
      <c r="F563" s="450">
        <f t="shared" si="36"/>
        <v>22936</v>
      </c>
      <c r="G563" s="451">
        <f t="shared" si="37"/>
        <v>22047</v>
      </c>
      <c r="H563" s="452">
        <v>2699</v>
      </c>
      <c r="I563" s="453">
        <v>2095</v>
      </c>
      <c r="J563" s="452">
        <v>5967</v>
      </c>
      <c r="K563" s="453">
        <v>5791</v>
      </c>
      <c r="L563" s="452">
        <v>10869</v>
      </c>
      <c r="M563" s="452">
        <v>2384</v>
      </c>
      <c r="N563" s="452">
        <v>1017</v>
      </c>
      <c r="O563" s="453">
        <v>10884</v>
      </c>
      <c r="P563" s="453">
        <v>2210</v>
      </c>
      <c r="Q563" s="453">
        <v>1067</v>
      </c>
      <c r="R563" s="452"/>
      <c r="S563" s="453"/>
      <c r="T563" s="450">
        <f t="shared" si="38"/>
        <v>0</v>
      </c>
      <c r="U563" s="451">
        <f t="shared" si="39"/>
        <v>0</v>
      </c>
      <c r="V563" s="452">
        <v>0</v>
      </c>
      <c r="W563" s="453"/>
      <c r="X563" s="452"/>
      <c r="Y563" s="453"/>
      <c r="Z563" s="452"/>
      <c r="AA563" s="452"/>
      <c r="AB563" s="452"/>
      <c r="AC563" s="453"/>
      <c r="AD563" s="453"/>
      <c r="AE563" s="453"/>
      <c r="AF563" s="452"/>
      <c r="AG563" s="616"/>
    </row>
    <row r="564" spans="1:33">
      <c r="A564" s="342" t="s">
        <v>438</v>
      </c>
      <c r="B564" s="384" t="s">
        <v>473</v>
      </c>
      <c r="C564" s="579"/>
      <c r="D564" s="577">
        <v>233310</v>
      </c>
      <c r="E564" s="578">
        <v>10</v>
      </c>
      <c r="F564" s="450">
        <f t="shared" si="36"/>
        <v>47910</v>
      </c>
      <c r="G564" s="451">
        <f t="shared" si="37"/>
        <v>45196</v>
      </c>
      <c r="H564" s="452">
        <v>6538</v>
      </c>
      <c r="I564" s="453">
        <v>5764</v>
      </c>
      <c r="J564" s="452">
        <v>14042</v>
      </c>
      <c r="K564" s="453">
        <v>13694</v>
      </c>
      <c r="L564" s="452">
        <v>20616</v>
      </c>
      <c r="M564" s="452">
        <v>6714</v>
      </c>
      <c r="N564" s="452">
        <v>0</v>
      </c>
      <c r="O564" s="453">
        <v>22035</v>
      </c>
      <c r="P564" s="453">
        <v>3703</v>
      </c>
      <c r="Q564" s="453">
        <v>0</v>
      </c>
      <c r="R564" s="452"/>
      <c r="S564" s="453"/>
      <c r="T564" s="450">
        <f t="shared" si="38"/>
        <v>0</v>
      </c>
      <c r="U564" s="451">
        <f t="shared" si="39"/>
        <v>0</v>
      </c>
      <c r="V564" s="452">
        <v>0</v>
      </c>
      <c r="W564" s="453"/>
      <c r="X564" s="452"/>
      <c r="Y564" s="453"/>
      <c r="Z564" s="452"/>
      <c r="AA564" s="452"/>
      <c r="AB564" s="452"/>
      <c r="AC564" s="453"/>
      <c r="AD564" s="453"/>
      <c r="AE564" s="453"/>
      <c r="AF564" s="452"/>
      <c r="AG564" s="616"/>
    </row>
    <row r="565" spans="1:33">
      <c r="A565" s="342" t="s">
        <v>438</v>
      </c>
      <c r="B565" s="384" t="s">
        <v>474</v>
      </c>
      <c r="C565" s="579"/>
      <c r="D565" s="577">
        <v>233338</v>
      </c>
      <c r="E565" s="578">
        <v>10</v>
      </c>
      <c r="F565" s="450">
        <f t="shared" si="36"/>
        <v>36848</v>
      </c>
      <c r="G565" s="451">
        <f t="shared" si="37"/>
        <v>32546</v>
      </c>
      <c r="H565" s="452">
        <v>19540</v>
      </c>
      <c r="I565" s="453">
        <v>22855</v>
      </c>
      <c r="J565" s="452">
        <v>11435</v>
      </c>
      <c r="K565" s="453">
        <v>0</v>
      </c>
      <c r="L565" s="452">
        <v>5873</v>
      </c>
      <c r="M565" s="452">
        <v>0</v>
      </c>
      <c r="N565" s="452">
        <v>0</v>
      </c>
      <c r="O565" s="453">
        <v>9685</v>
      </c>
      <c r="P565" s="453">
        <v>6</v>
      </c>
      <c r="Q565" s="453">
        <v>0</v>
      </c>
      <c r="R565" s="452"/>
      <c r="S565" s="453"/>
      <c r="T565" s="450">
        <f t="shared" si="38"/>
        <v>0</v>
      </c>
      <c r="U565" s="451">
        <f t="shared" si="39"/>
        <v>0</v>
      </c>
      <c r="V565" s="452">
        <v>0</v>
      </c>
      <c r="W565" s="453"/>
      <c r="X565" s="452"/>
      <c r="Y565" s="453"/>
      <c r="Z565" s="452"/>
      <c r="AA565" s="452"/>
      <c r="AB565" s="452"/>
      <c r="AC565" s="453"/>
      <c r="AD565" s="453"/>
      <c r="AE565" s="453"/>
      <c r="AF565" s="452"/>
      <c r="AG565" s="616"/>
    </row>
    <row r="566" spans="1:33">
      <c r="A566" s="342" t="s">
        <v>438</v>
      </c>
      <c r="B566" s="384" t="s">
        <v>475</v>
      </c>
      <c r="C566" s="580"/>
      <c r="D566" s="577">
        <v>233648</v>
      </c>
      <c r="E566" s="578">
        <v>10</v>
      </c>
      <c r="F566" s="450">
        <f t="shared" si="36"/>
        <v>48714</v>
      </c>
      <c r="G566" s="451">
        <f t="shared" si="37"/>
        <v>48246</v>
      </c>
      <c r="H566" s="452">
        <v>7865</v>
      </c>
      <c r="I566" s="453">
        <v>2763</v>
      </c>
      <c r="J566" s="452">
        <v>4481</v>
      </c>
      <c r="K566" s="453">
        <v>1039</v>
      </c>
      <c r="L566" s="452">
        <v>31726</v>
      </c>
      <c r="M566" s="452">
        <v>4642</v>
      </c>
      <c r="N566" s="452">
        <v>0</v>
      </c>
      <c r="O566" s="453">
        <v>39582</v>
      </c>
      <c r="P566" s="453">
        <v>4834</v>
      </c>
      <c r="Q566" s="453">
        <v>28</v>
      </c>
      <c r="R566" s="452"/>
      <c r="S566" s="453"/>
      <c r="T566" s="450">
        <f t="shared" si="38"/>
        <v>0</v>
      </c>
      <c r="U566" s="451">
        <f t="shared" si="39"/>
        <v>0</v>
      </c>
      <c r="V566" s="452">
        <v>0</v>
      </c>
      <c r="W566" s="453"/>
      <c r="X566" s="452"/>
      <c r="Y566" s="453"/>
      <c r="Z566" s="452"/>
      <c r="AA566" s="452"/>
      <c r="AB566" s="452"/>
      <c r="AC566" s="453"/>
      <c r="AD566" s="453"/>
      <c r="AE566" s="453"/>
      <c r="AF566" s="452"/>
      <c r="AG566" s="616"/>
    </row>
    <row r="567" spans="1:33">
      <c r="A567" s="342" t="s">
        <v>438</v>
      </c>
      <c r="B567" s="384" t="s">
        <v>476</v>
      </c>
      <c r="C567" s="579"/>
      <c r="D567" s="577">
        <v>233903</v>
      </c>
      <c r="E567" s="578">
        <v>10</v>
      </c>
      <c r="F567" s="450">
        <f t="shared" si="36"/>
        <v>41985</v>
      </c>
      <c r="G567" s="451">
        <f t="shared" si="37"/>
        <v>44775</v>
      </c>
      <c r="H567" s="452">
        <v>9096</v>
      </c>
      <c r="I567" s="453">
        <v>8807</v>
      </c>
      <c r="J567" s="452">
        <v>6396</v>
      </c>
      <c r="K567" s="453">
        <v>6919</v>
      </c>
      <c r="L567" s="452">
        <v>20767</v>
      </c>
      <c r="M567" s="452">
        <v>5360</v>
      </c>
      <c r="N567" s="452">
        <v>366</v>
      </c>
      <c r="O567" s="453">
        <v>23940</v>
      </c>
      <c r="P567" s="453">
        <v>2807</v>
      </c>
      <c r="Q567" s="453">
        <v>2302</v>
      </c>
      <c r="R567" s="452"/>
      <c r="S567" s="453"/>
      <c r="T567" s="450">
        <f t="shared" si="38"/>
        <v>0</v>
      </c>
      <c r="U567" s="451">
        <f t="shared" si="39"/>
        <v>0</v>
      </c>
      <c r="V567" s="452">
        <v>0</v>
      </c>
      <c r="W567" s="453"/>
      <c r="X567" s="452"/>
      <c r="Y567" s="453"/>
      <c r="Z567" s="452"/>
      <c r="AA567" s="452"/>
      <c r="AB567" s="452"/>
      <c r="AC567" s="453"/>
      <c r="AD567" s="453"/>
      <c r="AE567" s="453"/>
      <c r="AF567" s="452"/>
      <c r="AG567" s="616"/>
    </row>
    <row r="568" spans="1:33" s="14" customFormat="1" ht="15.6" customHeight="1">
      <c r="A568" s="342" t="s">
        <v>438</v>
      </c>
      <c r="B568" s="384" t="s">
        <v>468</v>
      </c>
      <c r="C568" s="589"/>
      <c r="D568" s="577">
        <v>234377</v>
      </c>
      <c r="E568" s="578">
        <v>10</v>
      </c>
      <c r="F568" s="450">
        <f t="shared" si="36"/>
        <v>44087</v>
      </c>
      <c r="G568" s="451">
        <f t="shared" si="37"/>
        <v>41551.5</v>
      </c>
      <c r="H568" s="452">
        <v>3528</v>
      </c>
      <c r="I568" s="453">
        <v>2415</v>
      </c>
      <c r="J568" s="452">
        <v>11184</v>
      </c>
      <c r="K568" s="453">
        <v>10455</v>
      </c>
      <c r="L568" s="452">
        <v>24909</v>
      </c>
      <c r="M568" s="452">
        <v>4466</v>
      </c>
      <c r="N568" s="452">
        <v>0</v>
      </c>
      <c r="O568" s="453">
        <v>27146.5</v>
      </c>
      <c r="P568" s="453">
        <v>1448</v>
      </c>
      <c r="Q568" s="453">
        <v>87</v>
      </c>
      <c r="R568" s="452"/>
      <c r="S568" s="453"/>
      <c r="T568" s="450">
        <f t="shared" si="38"/>
        <v>0</v>
      </c>
      <c r="U568" s="451">
        <f t="shared" si="39"/>
        <v>0</v>
      </c>
      <c r="V568" s="452">
        <v>0</v>
      </c>
      <c r="W568" s="453"/>
      <c r="X568" s="452"/>
      <c r="Y568" s="453"/>
      <c r="Z568" s="452"/>
      <c r="AA568" s="452"/>
      <c r="AB568" s="452"/>
      <c r="AC568" s="453"/>
      <c r="AD568" s="453"/>
      <c r="AE568" s="453"/>
      <c r="AF568" s="452"/>
      <c r="AG568" s="616"/>
    </row>
    <row r="569" spans="1:33" s="14" customFormat="1" ht="15.75" customHeight="1">
      <c r="A569" s="423" t="s">
        <v>477</v>
      </c>
      <c r="B569" s="371" t="s">
        <v>478</v>
      </c>
      <c r="C569" s="592"/>
      <c r="D569" s="373">
        <v>238032</v>
      </c>
      <c r="E569" s="476">
        <v>1</v>
      </c>
      <c r="F569" s="450">
        <f t="shared" si="36"/>
        <v>598709</v>
      </c>
      <c r="G569" s="451">
        <f t="shared" si="37"/>
        <v>563952</v>
      </c>
      <c r="H569" s="463">
        <v>329095</v>
      </c>
      <c r="I569" s="459">
        <v>286171</v>
      </c>
      <c r="J569" s="463">
        <v>9465</v>
      </c>
      <c r="K569" s="459">
        <v>1256</v>
      </c>
      <c r="L569" s="463">
        <v>259318</v>
      </c>
      <c r="M569" s="463"/>
      <c r="N569" s="463">
        <v>831</v>
      </c>
      <c r="O569" s="459">
        <v>276402</v>
      </c>
      <c r="P569" s="459"/>
      <c r="Q569" s="459">
        <v>123</v>
      </c>
      <c r="R569" s="463"/>
      <c r="S569" s="459"/>
      <c r="T569" s="450">
        <f t="shared" si="38"/>
        <v>88595</v>
      </c>
      <c r="U569" s="451">
        <f t="shared" si="39"/>
        <v>90458</v>
      </c>
      <c r="V569" s="463">
        <v>51120</v>
      </c>
      <c r="W569" s="459">
        <v>48997</v>
      </c>
      <c r="X569" s="463">
        <v>1213</v>
      </c>
      <c r="Y569" s="459">
        <v>111</v>
      </c>
      <c r="Z569" s="463">
        <v>35462</v>
      </c>
      <c r="AA569" s="463">
        <v>21</v>
      </c>
      <c r="AB569" s="463">
        <v>779</v>
      </c>
      <c r="AC569" s="459">
        <v>41227</v>
      </c>
      <c r="AD569" s="459">
        <v>0</v>
      </c>
      <c r="AE569" s="459">
        <v>123</v>
      </c>
      <c r="AF569" s="463"/>
      <c r="AG569" s="617"/>
    </row>
    <row r="570" spans="1:33" s="14" customFormat="1" ht="15" customHeight="1">
      <c r="A570" s="423" t="s">
        <v>477</v>
      </c>
      <c r="B570" s="371" t="s">
        <v>479</v>
      </c>
      <c r="C570" s="592"/>
      <c r="D570" s="373">
        <v>237525</v>
      </c>
      <c r="E570" s="476">
        <v>3</v>
      </c>
      <c r="F570" s="450">
        <f t="shared" si="36"/>
        <v>237987</v>
      </c>
      <c r="G570" s="451">
        <f t="shared" si="37"/>
        <v>220322</v>
      </c>
      <c r="H570" s="463">
        <v>107586</v>
      </c>
      <c r="I570" s="459">
        <v>95527</v>
      </c>
      <c r="J570" s="463">
        <v>15655</v>
      </c>
      <c r="K570" s="459">
        <v>15848</v>
      </c>
      <c r="L570" s="463">
        <v>111493</v>
      </c>
      <c r="M570" s="463">
        <v>3253</v>
      </c>
      <c r="N570" s="463"/>
      <c r="O570" s="459">
        <v>106483</v>
      </c>
      <c r="P570" s="459">
        <v>2464</v>
      </c>
      <c r="Q570" s="459"/>
      <c r="R570" s="463"/>
      <c r="S570" s="459"/>
      <c r="T570" s="450">
        <f t="shared" si="38"/>
        <v>61591</v>
      </c>
      <c r="U570" s="451">
        <f t="shared" si="39"/>
        <v>61970</v>
      </c>
      <c r="V570" s="463">
        <v>18142</v>
      </c>
      <c r="W570" s="459">
        <v>22985</v>
      </c>
      <c r="X570" s="463">
        <v>5728</v>
      </c>
      <c r="Y570" s="459">
        <v>9022</v>
      </c>
      <c r="Z570" s="463">
        <v>36941</v>
      </c>
      <c r="AA570" s="463">
        <v>780</v>
      </c>
      <c r="AB570" s="463"/>
      <c r="AC570" s="459">
        <v>29733</v>
      </c>
      <c r="AD570" s="459">
        <v>230</v>
      </c>
      <c r="AE570" s="459"/>
      <c r="AF570" s="463"/>
      <c r="AG570" s="617"/>
    </row>
    <row r="571" spans="1:33" s="14" customFormat="1" ht="15.75" customHeight="1">
      <c r="A571" s="423" t="s">
        <v>477</v>
      </c>
      <c r="B571" s="371" t="s">
        <v>483</v>
      </c>
      <c r="C571" s="593"/>
      <c r="D571" s="373">
        <v>237330</v>
      </c>
      <c r="E571" s="476">
        <v>5</v>
      </c>
      <c r="F571" s="450">
        <f t="shared" si="36"/>
        <v>43427</v>
      </c>
      <c r="G571" s="451">
        <f t="shared" si="37"/>
        <v>41098</v>
      </c>
      <c r="H571" s="463">
        <v>13278</v>
      </c>
      <c r="I571" s="459">
        <v>10529</v>
      </c>
      <c r="J571" s="463">
        <v>1618</v>
      </c>
      <c r="K571" s="459">
        <v>392</v>
      </c>
      <c r="L571" s="463">
        <v>27936</v>
      </c>
      <c r="M571" s="463">
        <v>595</v>
      </c>
      <c r="N571" s="463"/>
      <c r="O571" s="459">
        <v>29607</v>
      </c>
      <c r="P571" s="459">
        <v>570</v>
      </c>
      <c r="Q571" s="459"/>
      <c r="R571" s="463"/>
      <c r="S571" s="459"/>
      <c r="T571" s="450">
        <f t="shared" si="38"/>
        <v>6552</v>
      </c>
      <c r="U571" s="451">
        <f t="shared" si="39"/>
        <v>7536</v>
      </c>
      <c r="V571" s="463">
        <v>375</v>
      </c>
      <c r="W571" s="459">
        <v>309</v>
      </c>
      <c r="X571" s="463"/>
      <c r="Y571" s="459">
        <v>0</v>
      </c>
      <c r="Z571" s="463">
        <v>6177</v>
      </c>
      <c r="AA571" s="463"/>
      <c r="AB571" s="463"/>
      <c r="AC571" s="459">
        <v>7227</v>
      </c>
      <c r="AD571" s="459"/>
      <c r="AE571" s="459"/>
      <c r="AF571" s="463"/>
      <c r="AG571" s="617"/>
    </row>
    <row r="572" spans="1:33" s="14" customFormat="1" ht="15" customHeight="1">
      <c r="A572" s="423" t="s">
        <v>477</v>
      </c>
      <c r="B572" s="371" t="s">
        <v>480</v>
      </c>
      <c r="C572" s="372" t="s">
        <v>956</v>
      </c>
      <c r="D572" s="373">
        <v>237367</v>
      </c>
      <c r="E572" s="476">
        <v>5</v>
      </c>
      <c r="F572" s="450">
        <f t="shared" si="36"/>
        <v>94745</v>
      </c>
      <c r="G572" s="451">
        <f t="shared" si="37"/>
        <v>86232</v>
      </c>
      <c r="H572" s="463">
        <v>62937</v>
      </c>
      <c r="I572" s="459">
        <v>50414</v>
      </c>
      <c r="J572" s="463">
        <v>2117</v>
      </c>
      <c r="K572" s="459">
        <v>2701</v>
      </c>
      <c r="L572" s="463">
        <v>29691</v>
      </c>
      <c r="M572" s="463"/>
      <c r="N572" s="463"/>
      <c r="O572" s="459">
        <v>33117</v>
      </c>
      <c r="P572" s="459"/>
      <c r="Q572" s="459"/>
      <c r="R572" s="463"/>
      <c r="S572" s="459"/>
      <c r="T572" s="450">
        <f t="shared" si="38"/>
        <v>3930</v>
      </c>
      <c r="U572" s="451">
        <f t="shared" si="39"/>
        <v>4592</v>
      </c>
      <c r="V572" s="463">
        <v>654</v>
      </c>
      <c r="W572" s="459">
        <v>785</v>
      </c>
      <c r="X572" s="463">
        <v>3</v>
      </c>
      <c r="Y572" s="459">
        <v>0</v>
      </c>
      <c r="Z572" s="463">
        <v>3273</v>
      </c>
      <c r="AA572" s="463"/>
      <c r="AB572" s="463"/>
      <c r="AC572" s="459">
        <v>3807</v>
      </c>
      <c r="AD572" s="459"/>
      <c r="AE572" s="459"/>
      <c r="AF572" s="463"/>
      <c r="AG572" s="617"/>
    </row>
    <row r="573" spans="1:33">
      <c r="A573" s="423" t="s">
        <v>477</v>
      </c>
      <c r="B573" s="371" t="s">
        <v>481</v>
      </c>
      <c r="C573" s="592"/>
      <c r="D573" s="373">
        <v>237792</v>
      </c>
      <c r="E573" s="476">
        <v>5</v>
      </c>
      <c r="F573" s="450">
        <f t="shared" si="36"/>
        <v>75437</v>
      </c>
      <c r="G573" s="451">
        <f t="shared" si="37"/>
        <v>68523</v>
      </c>
      <c r="H573" s="463">
        <v>39954</v>
      </c>
      <c r="I573" s="459">
        <v>28081</v>
      </c>
      <c r="J573" s="463">
        <v>0</v>
      </c>
      <c r="K573" s="459">
        <v>0</v>
      </c>
      <c r="L573" s="463">
        <v>35483</v>
      </c>
      <c r="M573" s="463"/>
      <c r="N573" s="463"/>
      <c r="O573" s="459">
        <v>40442</v>
      </c>
      <c r="P573" s="459"/>
      <c r="Q573" s="459"/>
      <c r="R573" s="463"/>
      <c r="S573" s="459"/>
      <c r="T573" s="450">
        <f t="shared" si="38"/>
        <v>11322</v>
      </c>
      <c r="U573" s="451">
        <f t="shared" si="39"/>
        <v>16947</v>
      </c>
      <c r="V573" s="463">
        <v>3894</v>
      </c>
      <c r="W573" s="459">
        <v>1784</v>
      </c>
      <c r="X573" s="463"/>
      <c r="Y573" s="459">
        <v>0</v>
      </c>
      <c r="Z573" s="463">
        <v>7428</v>
      </c>
      <c r="AA573" s="463"/>
      <c r="AB573" s="463"/>
      <c r="AC573" s="459">
        <v>15163</v>
      </c>
      <c r="AD573" s="459"/>
      <c r="AE573" s="459"/>
      <c r="AF573" s="463"/>
      <c r="AG573" s="617"/>
    </row>
    <row r="574" spans="1:33" s="14" customFormat="1" ht="15" customHeight="1">
      <c r="A574" s="423" t="s">
        <v>477</v>
      </c>
      <c r="B574" s="371" t="s">
        <v>485</v>
      </c>
      <c r="C574" s="594" t="s">
        <v>957</v>
      </c>
      <c r="D574" s="595">
        <v>237932</v>
      </c>
      <c r="E574" s="596">
        <v>4</v>
      </c>
      <c r="F574" s="450">
        <f t="shared" si="36"/>
        <v>59963</v>
      </c>
      <c r="G574" s="451">
        <f t="shared" si="37"/>
        <v>54625</v>
      </c>
      <c r="H574" s="463">
        <v>49687</v>
      </c>
      <c r="I574" s="459">
        <v>48601</v>
      </c>
      <c r="J574" s="463">
        <v>2309</v>
      </c>
      <c r="K574" s="459">
        <v>1907</v>
      </c>
      <c r="L574" s="463">
        <v>7967</v>
      </c>
      <c r="M574" s="463"/>
      <c r="N574" s="463"/>
      <c r="O574" s="459">
        <v>4117</v>
      </c>
      <c r="P574" s="459"/>
      <c r="Q574" s="459"/>
      <c r="R574" s="463"/>
      <c r="S574" s="459"/>
      <c r="T574" s="450">
        <f t="shared" si="38"/>
        <v>7340</v>
      </c>
      <c r="U574" s="451">
        <f t="shared" si="39"/>
        <v>8037</v>
      </c>
      <c r="V574" s="463">
        <v>3345</v>
      </c>
      <c r="W574" s="459">
        <v>4987</v>
      </c>
      <c r="X574" s="463">
        <v>1035</v>
      </c>
      <c r="Y574" s="459">
        <v>969</v>
      </c>
      <c r="Z574" s="463">
        <v>2960</v>
      </c>
      <c r="AA574" s="463"/>
      <c r="AB574" s="463"/>
      <c r="AC574" s="459">
        <v>2081</v>
      </c>
      <c r="AD574" s="459"/>
      <c r="AE574" s="459"/>
      <c r="AF574" s="463"/>
      <c r="AG574" s="617"/>
    </row>
    <row r="575" spans="1:33" s="14" customFormat="1" ht="15" customHeight="1">
      <c r="A575" s="423" t="s">
        <v>477</v>
      </c>
      <c r="B575" s="371" t="s">
        <v>482</v>
      </c>
      <c r="C575" s="372"/>
      <c r="D575" s="373">
        <v>237215</v>
      </c>
      <c r="E575" s="476">
        <v>6</v>
      </c>
      <c r="F575" s="450">
        <f t="shared" si="36"/>
        <v>31533</v>
      </c>
      <c r="G575" s="451">
        <f t="shared" si="37"/>
        <v>30840</v>
      </c>
      <c r="H575" s="463">
        <v>11407</v>
      </c>
      <c r="I575" s="459">
        <v>10114</v>
      </c>
      <c r="J575" s="463">
        <v>2918</v>
      </c>
      <c r="K575" s="459">
        <v>1819</v>
      </c>
      <c r="L575" s="463">
        <v>17208</v>
      </c>
      <c r="M575" s="463"/>
      <c r="N575" s="463"/>
      <c r="O575" s="459">
        <v>18907</v>
      </c>
      <c r="P575" s="459"/>
      <c r="Q575" s="459"/>
      <c r="R575" s="463"/>
      <c r="S575" s="459"/>
      <c r="T575" s="450">
        <f t="shared" si="38"/>
        <v>0</v>
      </c>
      <c r="U575" s="451">
        <f t="shared" si="39"/>
        <v>0</v>
      </c>
      <c r="V575" s="463"/>
      <c r="W575" s="459"/>
      <c r="X575" s="463"/>
      <c r="Y575" s="459"/>
      <c r="Z575" s="463"/>
      <c r="AA575" s="463"/>
      <c r="AB575" s="463"/>
      <c r="AC575" s="459"/>
      <c r="AD575" s="459"/>
      <c r="AE575" s="459"/>
      <c r="AF575" s="463"/>
      <c r="AG575" s="617"/>
    </row>
    <row r="576" spans="1:33" s="14" customFormat="1" ht="15.75" customHeight="1">
      <c r="A576" s="423" t="s">
        <v>477</v>
      </c>
      <c r="B576" s="371" t="s">
        <v>484</v>
      </c>
      <c r="C576" s="389"/>
      <c r="D576" s="373">
        <v>237385</v>
      </c>
      <c r="E576" s="476">
        <v>6</v>
      </c>
      <c r="F576" s="450">
        <f t="shared" si="36"/>
        <v>36888</v>
      </c>
      <c r="G576" s="451">
        <f t="shared" si="37"/>
        <v>35555</v>
      </c>
      <c r="H576" s="463">
        <v>17265</v>
      </c>
      <c r="I576" s="459">
        <v>15896</v>
      </c>
      <c r="J576" s="463">
        <v>6778</v>
      </c>
      <c r="K576" s="459">
        <v>6113</v>
      </c>
      <c r="L576" s="463">
        <v>12845</v>
      </c>
      <c r="M576" s="463"/>
      <c r="N576" s="463"/>
      <c r="O576" s="459">
        <v>13546</v>
      </c>
      <c r="P576" s="459"/>
      <c r="Q576" s="459"/>
      <c r="R576" s="463"/>
      <c r="S576" s="459"/>
      <c r="T576" s="450">
        <f t="shared" si="38"/>
        <v>0</v>
      </c>
      <c r="U576" s="451">
        <f t="shared" si="39"/>
        <v>0</v>
      </c>
      <c r="V576" s="463"/>
      <c r="W576" s="459"/>
      <c r="X576" s="463"/>
      <c r="Y576" s="459"/>
      <c r="Z576" s="463"/>
      <c r="AA576" s="463"/>
      <c r="AB576" s="463"/>
      <c r="AC576" s="459"/>
      <c r="AD576" s="459"/>
      <c r="AE576" s="459"/>
      <c r="AF576" s="463"/>
      <c r="AG576" s="617"/>
    </row>
    <row r="577" spans="1:33">
      <c r="A577" s="423" t="s">
        <v>477</v>
      </c>
      <c r="B577" s="371" t="s">
        <v>486</v>
      </c>
      <c r="C577" s="594" t="s">
        <v>957</v>
      </c>
      <c r="D577" s="595">
        <v>237899</v>
      </c>
      <c r="E577" s="596">
        <v>4</v>
      </c>
      <c r="F577" s="450">
        <f t="shared" si="36"/>
        <v>65039</v>
      </c>
      <c r="G577" s="451">
        <f t="shared" si="37"/>
        <v>57139</v>
      </c>
      <c r="H577" s="463">
        <v>26195</v>
      </c>
      <c r="I577" s="459">
        <v>21668</v>
      </c>
      <c r="J577" s="463">
        <v>13817</v>
      </c>
      <c r="K577" s="459">
        <v>14786</v>
      </c>
      <c r="L577" s="463">
        <v>25027</v>
      </c>
      <c r="M577" s="463"/>
      <c r="N577" s="463"/>
      <c r="O577" s="459">
        <v>20685</v>
      </c>
      <c r="P577" s="459"/>
      <c r="Q577" s="459"/>
      <c r="R577" s="463"/>
      <c r="S577" s="459"/>
      <c r="T577" s="450">
        <f t="shared" si="38"/>
        <v>2353</v>
      </c>
      <c r="U577" s="451">
        <f t="shared" si="39"/>
        <v>3017</v>
      </c>
      <c r="V577" s="463">
        <v>1696</v>
      </c>
      <c r="W577" s="459">
        <v>1598</v>
      </c>
      <c r="X577" s="463">
        <v>0</v>
      </c>
      <c r="Y577" s="459">
        <v>0</v>
      </c>
      <c r="Z577" s="463">
        <v>657</v>
      </c>
      <c r="AA577" s="463"/>
      <c r="AB577" s="463"/>
      <c r="AC577" s="459">
        <v>1419</v>
      </c>
      <c r="AD577" s="459"/>
      <c r="AE577" s="459"/>
      <c r="AF577" s="463"/>
      <c r="AG577" s="617"/>
    </row>
    <row r="578" spans="1:33" s="14" customFormat="1" ht="15" customHeight="1">
      <c r="A578" s="423" t="s">
        <v>477</v>
      </c>
      <c r="B578" s="371" t="s">
        <v>488</v>
      </c>
      <c r="C578" s="372"/>
      <c r="D578" s="373">
        <v>237950</v>
      </c>
      <c r="E578" s="476">
        <v>6</v>
      </c>
      <c r="F578" s="450">
        <f t="shared" si="36"/>
        <v>39462</v>
      </c>
      <c r="G578" s="451">
        <f t="shared" si="37"/>
        <v>37180</v>
      </c>
      <c r="H578" s="463">
        <v>28265</v>
      </c>
      <c r="I578" s="459">
        <v>25774</v>
      </c>
      <c r="J578" s="463">
        <v>125</v>
      </c>
      <c r="K578" s="459">
        <v>66</v>
      </c>
      <c r="L578" s="463">
        <v>11072</v>
      </c>
      <c r="M578" s="463"/>
      <c r="N578" s="463"/>
      <c r="O578" s="459">
        <v>11334</v>
      </c>
      <c r="P578" s="459"/>
      <c r="Q578" s="459">
        <v>6</v>
      </c>
      <c r="R578" s="463"/>
      <c r="S578" s="459"/>
      <c r="T578" s="450">
        <f t="shared" si="38"/>
        <v>0</v>
      </c>
      <c r="U578" s="451">
        <f t="shared" si="39"/>
        <v>0</v>
      </c>
      <c r="V578" s="463"/>
      <c r="W578" s="459"/>
      <c r="X578" s="463"/>
      <c r="Y578" s="459"/>
      <c r="Z578" s="463"/>
      <c r="AA578" s="463"/>
      <c r="AB578" s="463"/>
      <c r="AC578" s="459"/>
      <c r="AD578" s="459"/>
      <c r="AE578" s="459"/>
      <c r="AF578" s="463"/>
      <c r="AG578" s="617"/>
    </row>
    <row r="579" spans="1:33" s="14" customFormat="1" ht="15" customHeight="1">
      <c r="A579" s="423" t="s">
        <v>477</v>
      </c>
      <c r="B579" s="371" t="s">
        <v>489</v>
      </c>
      <c r="C579" s="372"/>
      <c r="D579" s="373">
        <v>237701</v>
      </c>
      <c r="E579" s="476">
        <v>7</v>
      </c>
      <c r="F579" s="450">
        <f t="shared" si="36"/>
        <v>31688</v>
      </c>
      <c r="G579" s="451">
        <f t="shared" si="37"/>
        <v>30545</v>
      </c>
      <c r="H579" s="463">
        <v>21400</v>
      </c>
      <c r="I579" s="459">
        <v>18462</v>
      </c>
      <c r="J579" s="463">
        <v>1886</v>
      </c>
      <c r="K579" s="459">
        <v>1302</v>
      </c>
      <c r="L579" s="463">
        <v>8399</v>
      </c>
      <c r="M579" s="463"/>
      <c r="N579" s="463">
        <v>3</v>
      </c>
      <c r="O579" s="459">
        <v>10781</v>
      </c>
      <c r="P579" s="459"/>
      <c r="Q579" s="459">
        <v>0</v>
      </c>
      <c r="R579" s="463"/>
      <c r="S579" s="459"/>
      <c r="T579" s="450">
        <f t="shared" si="38"/>
        <v>0</v>
      </c>
      <c r="U579" s="451">
        <f t="shared" si="39"/>
        <v>0</v>
      </c>
      <c r="V579" s="463"/>
      <c r="W579" s="459"/>
      <c r="X579" s="463"/>
      <c r="Y579" s="459"/>
      <c r="Z579" s="463"/>
      <c r="AA579" s="463"/>
      <c r="AB579" s="463"/>
      <c r="AC579" s="459"/>
      <c r="AD579" s="459"/>
      <c r="AE579" s="459"/>
      <c r="AF579" s="463"/>
      <c r="AG579" s="617"/>
    </row>
    <row r="580" spans="1:33">
      <c r="A580" s="423" t="s">
        <v>477</v>
      </c>
      <c r="B580" s="371" t="s">
        <v>487</v>
      </c>
      <c r="C580" s="372"/>
      <c r="D580" s="373">
        <v>237686</v>
      </c>
      <c r="E580" s="476">
        <v>7</v>
      </c>
      <c r="F580" s="450">
        <f t="shared" si="36"/>
        <v>54053</v>
      </c>
      <c r="G580" s="451">
        <f t="shared" si="37"/>
        <v>48804</v>
      </c>
      <c r="H580" s="463">
        <v>26296</v>
      </c>
      <c r="I580" s="459">
        <v>19812</v>
      </c>
      <c r="J580" s="463">
        <v>3738</v>
      </c>
      <c r="K580" s="459">
        <v>3128</v>
      </c>
      <c r="L580" s="463">
        <v>24019</v>
      </c>
      <c r="M580" s="463"/>
      <c r="N580" s="463"/>
      <c r="O580" s="459">
        <v>25864</v>
      </c>
      <c r="P580" s="459"/>
      <c r="Q580" s="459"/>
      <c r="R580" s="463"/>
      <c r="S580" s="459"/>
      <c r="T580" s="450">
        <f t="shared" si="38"/>
        <v>0</v>
      </c>
      <c r="U580" s="451">
        <f t="shared" si="39"/>
        <v>0</v>
      </c>
      <c r="V580" s="463"/>
      <c r="W580" s="459"/>
      <c r="X580" s="463"/>
      <c r="Y580" s="459"/>
      <c r="Z580" s="463"/>
      <c r="AA580" s="463"/>
      <c r="AB580" s="463"/>
      <c r="AC580" s="459"/>
      <c r="AD580" s="459"/>
      <c r="AE580" s="459"/>
      <c r="AF580" s="463"/>
      <c r="AG580" s="617"/>
    </row>
    <row r="581" spans="1:33" s="14" customFormat="1" ht="15" customHeight="1">
      <c r="A581" s="423" t="s">
        <v>477</v>
      </c>
      <c r="B581" s="371" t="s">
        <v>492</v>
      </c>
      <c r="C581" s="372" t="s">
        <v>923</v>
      </c>
      <c r="D581" s="373">
        <v>446774</v>
      </c>
      <c r="E581" s="488">
        <v>9</v>
      </c>
      <c r="F581" s="450">
        <f t="shared" si="36"/>
        <v>50852</v>
      </c>
      <c r="G581" s="451">
        <f t="shared" si="37"/>
        <v>39810</v>
      </c>
      <c r="H581" s="463">
        <v>17828</v>
      </c>
      <c r="I581" s="459">
        <v>4969</v>
      </c>
      <c r="J581" s="463">
        <v>4962</v>
      </c>
      <c r="K581" s="459">
        <v>2661</v>
      </c>
      <c r="L581" s="463">
        <v>28062</v>
      </c>
      <c r="M581" s="463"/>
      <c r="N581" s="463"/>
      <c r="O581" s="459">
        <v>32180</v>
      </c>
      <c r="P581" s="459"/>
      <c r="Q581" s="459"/>
      <c r="R581" s="463"/>
      <c r="S581" s="459"/>
      <c r="T581" s="450">
        <f t="shared" si="38"/>
        <v>0</v>
      </c>
      <c r="U581" s="451">
        <f t="shared" si="39"/>
        <v>0</v>
      </c>
      <c r="V581" s="463"/>
      <c r="W581" s="459"/>
      <c r="X581" s="463"/>
      <c r="Y581" s="459"/>
      <c r="Z581" s="463"/>
      <c r="AA581" s="463"/>
      <c r="AB581" s="463"/>
      <c r="AC581" s="459"/>
      <c r="AD581" s="459"/>
      <c r="AE581" s="459"/>
      <c r="AF581" s="463"/>
      <c r="AG581" s="617"/>
    </row>
    <row r="582" spans="1:33" s="14" customFormat="1" ht="15" customHeight="1">
      <c r="A582" s="423" t="s">
        <v>477</v>
      </c>
      <c r="B582" s="390" t="s">
        <v>493</v>
      </c>
      <c r="C582" s="592"/>
      <c r="D582" s="391">
        <v>484932</v>
      </c>
      <c r="E582" s="476">
        <v>10</v>
      </c>
      <c r="F582" s="450">
        <f t="shared" si="36"/>
        <v>36783</v>
      </c>
      <c r="G582" s="451">
        <f t="shared" si="37"/>
        <v>35141</v>
      </c>
      <c r="H582" s="463">
        <v>25317</v>
      </c>
      <c r="I582" s="459">
        <v>21840</v>
      </c>
      <c r="J582" s="463">
        <v>14</v>
      </c>
      <c r="K582" s="459">
        <v>87</v>
      </c>
      <c r="L582" s="463">
        <v>11452</v>
      </c>
      <c r="M582" s="463"/>
      <c r="N582" s="463"/>
      <c r="O582" s="459">
        <v>13214</v>
      </c>
      <c r="P582" s="459"/>
      <c r="Q582" s="459"/>
      <c r="R582" s="463"/>
      <c r="S582" s="459"/>
      <c r="T582" s="450">
        <f t="shared" si="38"/>
        <v>0</v>
      </c>
      <c r="U582" s="451">
        <f t="shared" si="39"/>
        <v>0</v>
      </c>
      <c r="V582" s="463"/>
      <c r="W582" s="459"/>
      <c r="X582" s="463"/>
      <c r="Y582" s="459"/>
      <c r="Z582" s="463"/>
      <c r="AA582" s="463"/>
      <c r="AB582" s="463"/>
      <c r="AC582" s="459"/>
      <c r="AD582" s="459"/>
      <c r="AE582" s="459"/>
      <c r="AF582" s="463"/>
      <c r="AG582" s="617"/>
    </row>
    <row r="583" spans="1:33" s="14" customFormat="1" ht="15" customHeight="1">
      <c r="A583" s="423" t="s">
        <v>477</v>
      </c>
      <c r="B583" s="371" t="s">
        <v>494</v>
      </c>
      <c r="C583" s="592"/>
      <c r="D583" s="373">
        <v>438708</v>
      </c>
      <c r="E583" s="476">
        <v>10</v>
      </c>
      <c r="F583" s="450">
        <f t="shared" si="36"/>
        <v>6596</v>
      </c>
      <c r="G583" s="451">
        <f t="shared" si="37"/>
        <v>5750</v>
      </c>
      <c r="H583" s="463">
        <v>2126</v>
      </c>
      <c r="I583" s="459">
        <v>1542</v>
      </c>
      <c r="J583" s="463">
        <v>1140</v>
      </c>
      <c r="K583" s="459">
        <v>447</v>
      </c>
      <c r="L583" s="463">
        <v>3330</v>
      </c>
      <c r="M583" s="463"/>
      <c r="N583" s="463"/>
      <c r="O583" s="459">
        <v>3761</v>
      </c>
      <c r="P583" s="459"/>
      <c r="Q583" s="459"/>
      <c r="R583" s="463"/>
      <c r="S583" s="459"/>
      <c r="T583" s="450">
        <f t="shared" si="38"/>
        <v>0</v>
      </c>
      <c r="U583" s="451">
        <f t="shared" si="39"/>
        <v>0</v>
      </c>
      <c r="V583" s="463"/>
      <c r="W583" s="459"/>
      <c r="X583" s="463"/>
      <c r="Y583" s="459"/>
      <c r="Z583" s="463"/>
      <c r="AA583" s="463"/>
      <c r="AB583" s="463"/>
      <c r="AC583" s="459"/>
      <c r="AD583" s="459"/>
      <c r="AE583" s="459"/>
      <c r="AF583" s="463"/>
      <c r="AG583" s="617"/>
    </row>
    <row r="584" spans="1:33" s="14" customFormat="1" ht="15" customHeight="1">
      <c r="A584" s="423" t="s">
        <v>477</v>
      </c>
      <c r="B584" s="371" t="s">
        <v>495</v>
      </c>
      <c r="C584" s="592"/>
      <c r="D584" s="373">
        <v>444954</v>
      </c>
      <c r="E584" s="476">
        <v>10</v>
      </c>
      <c r="F584" s="450">
        <f t="shared" ref="F584:F614" si="40">SUM(H584,J584,L584,M584,N584,R584)</f>
        <v>33709</v>
      </c>
      <c r="G584" s="451">
        <f t="shared" ref="G584:G614" si="41">SUM(I584,K584,O584,P584,Q584,S584)</f>
        <v>27720</v>
      </c>
      <c r="H584" s="463">
        <v>18883</v>
      </c>
      <c r="I584" s="459">
        <v>15403</v>
      </c>
      <c r="J584" s="463">
        <v>2207</v>
      </c>
      <c r="K584" s="459">
        <v>984</v>
      </c>
      <c r="L584" s="463">
        <v>12619</v>
      </c>
      <c r="M584" s="463"/>
      <c r="N584" s="463"/>
      <c r="O584" s="459">
        <v>11333</v>
      </c>
      <c r="P584" s="459"/>
      <c r="Q584" s="459"/>
      <c r="R584" s="463"/>
      <c r="S584" s="459"/>
      <c r="T584" s="450">
        <f t="shared" ref="T584:T614" si="42">SUM(V584,X584,Z584,AA584,AB584,AF584)</f>
        <v>0</v>
      </c>
      <c r="U584" s="451">
        <f t="shared" ref="U584:U614" si="43">SUM(W584,Y584,AC584,AD584,AE584,AG584)</f>
        <v>0</v>
      </c>
      <c r="V584" s="463"/>
      <c r="W584" s="459"/>
      <c r="X584" s="463"/>
      <c r="Y584" s="459"/>
      <c r="Z584" s="463"/>
      <c r="AA584" s="463"/>
      <c r="AB584" s="463"/>
      <c r="AC584" s="459"/>
      <c r="AD584" s="459"/>
      <c r="AE584" s="459"/>
      <c r="AF584" s="463"/>
      <c r="AG584" s="617"/>
    </row>
    <row r="585" spans="1:33" s="14" customFormat="1" ht="15.75" customHeight="1">
      <c r="A585" s="423" t="s">
        <v>477</v>
      </c>
      <c r="B585" s="371" t="s">
        <v>490</v>
      </c>
      <c r="C585" s="593"/>
      <c r="D585" s="373">
        <v>447582</v>
      </c>
      <c r="E585" s="476">
        <v>10</v>
      </c>
      <c r="F585" s="450">
        <f t="shared" si="40"/>
        <v>25411</v>
      </c>
      <c r="G585" s="451">
        <f t="shared" si="41"/>
        <v>23609</v>
      </c>
      <c r="H585" s="463">
        <v>14346</v>
      </c>
      <c r="I585" s="459">
        <v>12225</v>
      </c>
      <c r="J585" s="463">
        <v>0</v>
      </c>
      <c r="K585" s="459">
        <v>0</v>
      </c>
      <c r="L585" s="463">
        <v>11065</v>
      </c>
      <c r="M585" s="463"/>
      <c r="N585" s="463"/>
      <c r="O585" s="459">
        <v>11384</v>
      </c>
      <c r="P585" s="459"/>
      <c r="Q585" s="459"/>
      <c r="R585" s="463"/>
      <c r="S585" s="459"/>
      <c r="T585" s="450">
        <f t="shared" si="42"/>
        <v>0</v>
      </c>
      <c r="U585" s="451">
        <f t="shared" si="43"/>
        <v>0</v>
      </c>
      <c r="V585" s="463"/>
      <c r="W585" s="459"/>
      <c r="X585" s="463"/>
      <c r="Y585" s="459"/>
      <c r="Z585" s="463"/>
      <c r="AA585" s="463"/>
      <c r="AB585" s="463"/>
      <c r="AC585" s="459"/>
      <c r="AD585" s="459"/>
      <c r="AE585" s="459"/>
      <c r="AF585" s="463"/>
      <c r="AG585" s="617"/>
    </row>
    <row r="586" spans="1:33" s="14" customFormat="1" ht="15.75" customHeight="1">
      <c r="A586" s="423" t="s">
        <v>477</v>
      </c>
      <c r="B586" s="371" t="s">
        <v>491</v>
      </c>
      <c r="C586" s="593"/>
      <c r="D586" s="373">
        <v>443492</v>
      </c>
      <c r="E586" s="476">
        <v>10</v>
      </c>
      <c r="F586" s="450">
        <f t="shared" si="40"/>
        <v>35579</v>
      </c>
      <c r="G586" s="451">
        <f t="shared" si="41"/>
        <v>32402</v>
      </c>
      <c r="H586" s="463">
        <v>3272</v>
      </c>
      <c r="I586" s="459">
        <v>1499</v>
      </c>
      <c r="J586" s="463">
        <v>7798</v>
      </c>
      <c r="K586" s="459">
        <v>9717</v>
      </c>
      <c r="L586" s="463">
        <v>23102</v>
      </c>
      <c r="M586" s="463"/>
      <c r="N586" s="463">
        <v>1407</v>
      </c>
      <c r="O586" s="459">
        <v>19662</v>
      </c>
      <c r="P586" s="459"/>
      <c r="Q586" s="459">
        <v>1524</v>
      </c>
      <c r="R586" s="463"/>
      <c r="S586" s="459"/>
      <c r="T586" s="450">
        <f t="shared" si="42"/>
        <v>0</v>
      </c>
      <c r="U586" s="451">
        <f t="shared" si="43"/>
        <v>0</v>
      </c>
      <c r="V586" s="463"/>
      <c r="W586" s="459"/>
      <c r="X586" s="463"/>
      <c r="Y586" s="459"/>
      <c r="Z586" s="463"/>
      <c r="AA586" s="463"/>
      <c r="AB586" s="463"/>
      <c r="AC586" s="459"/>
      <c r="AD586" s="459"/>
      <c r="AE586" s="459"/>
      <c r="AF586" s="463"/>
      <c r="AG586" s="617"/>
    </row>
    <row r="587" spans="1:33" s="14" customFormat="1" ht="15" customHeight="1">
      <c r="A587" s="423" t="s">
        <v>477</v>
      </c>
      <c r="B587" s="371" t="s">
        <v>496</v>
      </c>
      <c r="C587" s="592"/>
      <c r="D587" s="373">
        <v>237817</v>
      </c>
      <c r="E587" s="476">
        <v>10</v>
      </c>
      <c r="F587" s="450">
        <f t="shared" si="40"/>
        <v>33407</v>
      </c>
      <c r="G587" s="451">
        <f t="shared" si="41"/>
        <v>31026</v>
      </c>
      <c r="H587" s="463">
        <v>14149</v>
      </c>
      <c r="I587" s="459">
        <v>6607</v>
      </c>
      <c r="J587" s="463">
        <v>1100</v>
      </c>
      <c r="K587" s="459">
        <v>630</v>
      </c>
      <c r="L587" s="463">
        <v>16514</v>
      </c>
      <c r="M587" s="463">
        <v>1644</v>
      </c>
      <c r="N587" s="463"/>
      <c r="O587" s="459">
        <v>23789</v>
      </c>
      <c r="P587" s="459">
        <v>0</v>
      </c>
      <c r="Q587" s="459"/>
      <c r="R587" s="463"/>
      <c r="S587" s="459"/>
      <c r="T587" s="450">
        <f t="shared" si="42"/>
        <v>0</v>
      </c>
      <c r="U587" s="451">
        <f t="shared" si="43"/>
        <v>0</v>
      </c>
      <c r="V587" s="463"/>
      <c r="W587" s="459"/>
      <c r="X587" s="463"/>
      <c r="Y587" s="459"/>
      <c r="Z587" s="463"/>
      <c r="AA587" s="463"/>
      <c r="AB587" s="463"/>
      <c r="AC587" s="459"/>
      <c r="AD587" s="459"/>
      <c r="AE587" s="459"/>
      <c r="AF587" s="463"/>
      <c r="AG587" s="617"/>
    </row>
    <row r="588" spans="1:33">
      <c r="A588" s="423" t="s">
        <v>477</v>
      </c>
      <c r="B588" s="371" t="s">
        <v>497</v>
      </c>
      <c r="C588" s="597"/>
      <c r="D588" s="373">
        <v>238014</v>
      </c>
      <c r="E588" s="476">
        <v>10</v>
      </c>
      <c r="F588" s="450">
        <f t="shared" si="40"/>
        <v>27865</v>
      </c>
      <c r="G588" s="451">
        <f t="shared" si="41"/>
        <v>25000</v>
      </c>
      <c r="H588" s="463">
        <v>6648</v>
      </c>
      <c r="I588" s="459">
        <v>3632</v>
      </c>
      <c r="J588" s="463">
        <v>0</v>
      </c>
      <c r="K588" s="459">
        <v>0</v>
      </c>
      <c r="L588" s="463">
        <v>20010</v>
      </c>
      <c r="M588" s="463">
        <v>1207</v>
      </c>
      <c r="N588" s="463"/>
      <c r="O588" s="459">
        <v>20846</v>
      </c>
      <c r="P588" s="459">
        <v>522</v>
      </c>
      <c r="Q588" s="459"/>
      <c r="R588" s="463"/>
      <c r="S588" s="459"/>
      <c r="T588" s="450">
        <f t="shared" si="42"/>
        <v>0</v>
      </c>
      <c r="U588" s="451">
        <f t="shared" si="43"/>
        <v>0</v>
      </c>
      <c r="V588" s="463"/>
      <c r="W588" s="459"/>
      <c r="X588" s="463"/>
      <c r="Y588" s="459"/>
      <c r="Z588" s="463"/>
      <c r="AA588" s="463"/>
      <c r="AB588" s="463"/>
      <c r="AC588" s="459"/>
      <c r="AD588" s="459"/>
      <c r="AE588" s="459"/>
      <c r="AF588" s="463"/>
      <c r="AG588" s="617"/>
    </row>
    <row r="589" spans="1:33" s="14" customFormat="1" ht="15.75" customHeight="1">
      <c r="A589" s="350" t="s">
        <v>477</v>
      </c>
      <c r="B589" s="347" t="s">
        <v>735</v>
      </c>
      <c r="C589" s="590"/>
      <c r="D589" s="549">
        <v>237729</v>
      </c>
      <c r="E589" s="517">
        <v>14</v>
      </c>
      <c r="F589" s="450">
        <f t="shared" si="40"/>
        <v>0</v>
      </c>
      <c r="G589" s="451">
        <f t="shared" si="41"/>
        <v>0</v>
      </c>
      <c r="H589" s="463"/>
      <c r="I589" s="459">
        <v>0</v>
      </c>
      <c r="J589" s="463"/>
      <c r="K589" s="459"/>
      <c r="L589" s="463"/>
      <c r="M589" s="463"/>
      <c r="N589" s="463"/>
      <c r="O589" s="459"/>
      <c r="P589" s="459"/>
      <c r="Q589" s="459"/>
      <c r="R589" s="463"/>
      <c r="S589" s="459"/>
      <c r="T589" s="450">
        <f t="shared" si="42"/>
        <v>0</v>
      </c>
      <c r="U589" s="451">
        <f t="shared" si="43"/>
        <v>0</v>
      </c>
      <c r="V589" s="463"/>
      <c r="W589" s="459"/>
      <c r="X589" s="463"/>
      <c r="Y589" s="459"/>
      <c r="Z589" s="463"/>
      <c r="AA589" s="463"/>
      <c r="AB589" s="463"/>
      <c r="AC589" s="459"/>
      <c r="AD589" s="459"/>
      <c r="AE589" s="459"/>
      <c r="AF589" s="463"/>
      <c r="AG589" s="617"/>
    </row>
    <row r="590" spans="1:33" s="14" customFormat="1" ht="15" customHeight="1">
      <c r="A590" s="350" t="s">
        <v>477</v>
      </c>
      <c r="B590" s="347" t="s">
        <v>498</v>
      </c>
      <c r="C590" s="590"/>
      <c r="D590" s="549">
        <v>237172</v>
      </c>
      <c r="E590" s="517">
        <v>14</v>
      </c>
      <c r="F590" s="450">
        <f t="shared" si="40"/>
        <v>0</v>
      </c>
      <c r="G590" s="451">
        <f t="shared" si="41"/>
        <v>0</v>
      </c>
      <c r="H590" s="463"/>
      <c r="I590" s="459">
        <v>0</v>
      </c>
      <c r="J590" s="463"/>
      <c r="K590" s="459"/>
      <c r="L590" s="463"/>
      <c r="M590" s="463"/>
      <c r="N590" s="463"/>
      <c r="O590" s="459"/>
      <c r="P590" s="459"/>
      <c r="Q590" s="459"/>
      <c r="R590" s="463"/>
      <c r="S590" s="459"/>
      <c r="T590" s="450">
        <f t="shared" si="42"/>
        <v>0</v>
      </c>
      <c r="U590" s="451">
        <f t="shared" si="43"/>
        <v>0</v>
      </c>
      <c r="V590" s="463"/>
      <c r="W590" s="459"/>
      <c r="X590" s="463"/>
      <c r="Y590" s="459"/>
      <c r="Z590" s="463"/>
      <c r="AA590" s="463"/>
      <c r="AB590" s="463"/>
      <c r="AC590" s="459"/>
      <c r="AD590" s="459"/>
      <c r="AE590" s="459"/>
      <c r="AF590" s="463"/>
      <c r="AG590" s="617"/>
    </row>
    <row r="591" spans="1:33" s="14" customFormat="1" ht="15" customHeight="1">
      <c r="A591" s="410" t="s">
        <v>477</v>
      </c>
      <c r="B591" s="347" t="s">
        <v>736</v>
      </c>
      <c r="C591" s="590"/>
      <c r="D591" s="549">
        <v>237224</v>
      </c>
      <c r="E591" s="517">
        <v>14</v>
      </c>
      <c r="F591" s="450">
        <f t="shared" si="40"/>
        <v>0</v>
      </c>
      <c r="G591" s="451">
        <f t="shared" si="41"/>
        <v>0</v>
      </c>
      <c r="H591" s="463"/>
      <c r="I591" s="459">
        <v>0</v>
      </c>
      <c r="J591" s="463"/>
      <c r="K591" s="459"/>
      <c r="L591" s="463"/>
      <c r="M591" s="463"/>
      <c r="N591" s="463"/>
      <c r="O591" s="459"/>
      <c r="P591" s="459"/>
      <c r="Q591" s="459"/>
      <c r="R591" s="463"/>
      <c r="S591" s="459"/>
      <c r="T591" s="450">
        <f t="shared" si="42"/>
        <v>0</v>
      </c>
      <c r="U591" s="451">
        <f t="shared" si="43"/>
        <v>0</v>
      </c>
      <c r="V591" s="463"/>
      <c r="W591" s="459"/>
      <c r="X591" s="463"/>
      <c r="Y591" s="459"/>
      <c r="Z591" s="463"/>
      <c r="AA591" s="463"/>
      <c r="AB591" s="463"/>
      <c r="AC591" s="459"/>
      <c r="AD591" s="459"/>
      <c r="AE591" s="459"/>
      <c r="AF591" s="463"/>
      <c r="AG591" s="617"/>
    </row>
    <row r="592" spans="1:33" s="14" customFormat="1" ht="15" customHeight="1">
      <c r="A592" s="410" t="s">
        <v>477</v>
      </c>
      <c r="B592" s="347" t="s">
        <v>499</v>
      </c>
      <c r="C592" s="590"/>
      <c r="D592" s="549">
        <v>237242</v>
      </c>
      <c r="E592" s="517">
        <v>14</v>
      </c>
      <c r="F592" s="450">
        <f t="shared" si="40"/>
        <v>0</v>
      </c>
      <c r="G592" s="451">
        <f t="shared" si="41"/>
        <v>0</v>
      </c>
      <c r="H592" s="463"/>
      <c r="I592" s="459">
        <v>0</v>
      </c>
      <c r="J592" s="463"/>
      <c r="K592" s="459"/>
      <c r="L592" s="463"/>
      <c r="M592" s="463"/>
      <c r="N592" s="463"/>
      <c r="O592" s="459"/>
      <c r="P592" s="459"/>
      <c r="Q592" s="459"/>
      <c r="R592" s="463"/>
      <c r="S592" s="459"/>
      <c r="T592" s="450">
        <f t="shared" si="42"/>
        <v>0</v>
      </c>
      <c r="U592" s="451">
        <f t="shared" si="43"/>
        <v>0</v>
      </c>
      <c r="V592" s="463"/>
      <c r="W592" s="459"/>
      <c r="X592" s="463"/>
      <c r="Y592" s="459"/>
      <c r="Z592" s="463"/>
      <c r="AA592" s="463"/>
      <c r="AB592" s="463"/>
      <c r="AC592" s="459"/>
      <c r="AD592" s="459"/>
      <c r="AE592" s="459"/>
      <c r="AF592" s="463"/>
      <c r="AG592" s="617"/>
    </row>
    <row r="593" spans="1:33" s="14" customFormat="1" ht="15" customHeight="1">
      <c r="A593" s="350" t="s">
        <v>477</v>
      </c>
      <c r="B593" s="347" t="s">
        <v>737</v>
      </c>
      <c r="C593" s="590"/>
      <c r="D593" s="549">
        <v>430795</v>
      </c>
      <c r="E593" s="517">
        <v>14</v>
      </c>
      <c r="F593" s="450">
        <f t="shared" si="40"/>
        <v>0</v>
      </c>
      <c r="G593" s="451">
        <f t="shared" si="41"/>
        <v>0</v>
      </c>
      <c r="H593" s="463"/>
      <c r="I593" s="459">
        <v>0</v>
      </c>
      <c r="J593" s="463"/>
      <c r="K593" s="459"/>
      <c r="L593" s="463"/>
      <c r="M593" s="463"/>
      <c r="N593" s="463"/>
      <c r="O593" s="459"/>
      <c r="P593" s="459"/>
      <c r="Q593" s="459"/>
      <c r="R593" s="463"/>
      <c r="S593" s="459"/>
      <c r="T593" s="450">
        <f t="shared" si="42"/>
        <v>0</v>
      </c>
      <c r="U593" s="451">
        <f t="shared" si="43"/>
        <v>0</v>
      </c>
      <c r="V593" s="463"/>
      <c r="W593" s="459"/>
      <c r="X593" s="463"/>
      <c r="Y593" s="459"/>
      <c r="Z593" s="463"/>
      <c r="AA593" s="463"/>
      <c r="AB593" s="463"/>
      <c r="AC593" s="459"/>
      <c r="AD593" s="459"/>
      <c r="AE593" s="459"/>
      <c r="AF593" s="463"/>
      <c r="AG593" s="617"/>
    </row>
    <row r="594" spans="1:33" s="14" customFormat="1" ht="15" customHeight="1">
      <c r="A594" s="350" t="s">
        <v>477</v>
      </c>
      <c r="B594" s="347" t="s">
        <v>500</v>
      </c>
      <c r="C594" s="590"/>
      <c r="D594" s="549">
        <v>413176</v>
      </c>
      <c r="E594" s="517">
        <v>14</v>
      </c>
      <c r="F594" s="450">
        <f t="shared" si="40"/>
        <v>0</v>
      </c>
      <c r="G594" s="451">
        <f t="shared" si="41"/>
        <v>0</v>
      </c>
      <c r="H594" s="463"/>
      <c r="I594" s="459">
        <v>0</v>
      </c>
      <c r="J594" s="463"/>
      <c r="K594" s="459"/>
      <c r="L594" s="463"/>
      <c r="M594" s="463"/>
      <c r="N594" s="463"/>
      <c r="O594" s="459"/>
      <c r="P594" s="459"/>
      <c r="Q594" s="459"/>
      <c r="R594" s="463"/>
      <c r="S594" s="459"/>
      <c r="T594" s="450">
        <f t="shared" si="42"/>
        <v>0</v>
      </c>
      <c r="U594" s="451">
        <f t="shared" si="43"/>
        <v>0</v>
      </c>
      <c r="V594" s="463"/>
      <c r="W594" s="459"/>
      <c r="X594" s="463"/>
      <c r="Y594" s="459"/>
      <c r="Z594" s="463"/>
      <c r="AA594" s="463"/>
      <c r="AB594" s="463"/>
      <c r="AC594" s="459"/>
      <c r="AD594" s="459"/>
      <c r="AE594" s="459"/>
      <c r="AF594" s="463"/>
      <c r="AG594" s="617"/>
    </row>
    <row r="595" spans="1:33" s="14" customFormat="1" ht="15" customHeight="1">
      <c r="A595" s="410" t="s">
        <v>477</v>
      </c>
      <c r="B595" s="347" t="s">
        <v>501</v>
      </c>
      <c r="C595" s="590"/>
      <c r="D595" s="549">
        <v>237844</v>
      </c>
      <c r="E595" s="517">
        <v>14</v>
      </c>
      <c r="F595" s="450">
        <f t="shared" si="40"/>
        <v>0</v>
      </c>
      <c r="G595" s="451">
        <f t="shared" si="41"/>
        <v>0</v>
      </c>
      <c r="H595" s="463"/>
      <c r="I595" s="459">
        <v>0</v>
      </c>
      <c r="J595" s="463"/>
      <c r="K595" s="459"/>
      <c r="L595" s="463"/>
      <c r="M595" s="463"/>
      <c r="N595" s="463"/>
      <c r="O595" s="459"/>
      <c r="P595" s="459"/>
      <c r="Q595" s="459"/>
      <c r="R595" s="463"/>
      <c r="S595" s="459"/>
      <c r="T595" s="450">
        <f t="shared" si="42"/>
        <v>0</v>
      </c>
      <c r="U595" s="451">
        <f t="shared" si="43"/>
        <v>0</v>
      </c>
      <c r="V595" s="463"/>
      <c r="W595" s="459"/>
      <c r="X595" s="463"/>
      <c r="Y595" s="459"/>
      <c r="Z595" s="463"/>
      <c r="AA595" s="463"/>
      <c r="AB595" s="463"/>
      <c r="AC595" s="459"/>
      <c r="AD595" s="459"/>
      <c r="AE595" s="459"/>
      <c r="AF595" s="463"/>
      <c r="AG595" s="617"/>
    </row>
    <row r="596" spans="1:33" s="14" customFormat="1" ht="15" customHeight="1">
      <c r="A596" s="410" t="s">
        <v>477</v>
      </c>
      <c r="B596" s="347" t="s">
        <v>502</v>
      </c>
      <c r="C596" s="590"/>
      <c r="D596" s="549">
        <v>431169</v>
      </c>
      <c r="E596" s="517">
        <v>14</v>
      </c>
      <c r="F596" s="450">
        <f t="shared" si="40"/>
        <v>0</v>
      </c>
      <c r="G596" s="451">
        <f t="shared" si="41"/>
        <v>0</v>
      </c>
      <c r="H596" s="463"/>
      <c r="I596" s="459">
        <v>0</v>
      </c>
      <c r="J596" s="463"/>
      <c r="K596" s="459"/>
      <c r="L596" s="463"/>
      <c r="M596" s="463"/>
      <c r="N596" s="463"/>
      <c r="O596" s="459"/>
      <c r="P596" s="459"/>
      <c r="Q596" s="459"/>
      <c r="R596" s="463"/>
      <c r="S596" s="459"/>
      <c r="T596" s="450">
        <f t="shared" si="42"/>
        <v>0</v>
      </c>
      <c r="U596" s="451">
        <f t="shared" si="43"/>
        <v>0</v>
      </c>
      <c r="V596" s="463"/>
      <c r="W596" s="459"/>
      <c r="X596" s="463"/>
      <c r="Y596" s="459"/>
      <c r="Z596" s="463"/>
      <c r="AA596" s="463"/>
      <c r="AB596" s="463"/>
      <c r="AC596" s="459"/>
      <c r="AD596" s="459"/>
      <c r="AE596" s="459"/>
      <c r="AF596" s="463"/>
      <c r="AG596" s="617"/>
    </row>
    <row r="597" spans="1:33" s="14" customFormat="1" ht="15" customHeight="1">
      <c r="A597" s="350" t="s">
        <v>477</v>
      </c>
      <c r="B597" s="347" t="s">
        <v>503</v>
      </c>
      <c r="C597" s="590"/>
      <c r="D597" s="549">
        <v>237473</v>
      </c>
      <c r="E597" s="517">
        <v>14</v>
      </c>
      <c r="F597" s="450">
        <f t="shared" si="40"/>
        <v>0</v>
      </c>
      <c r="G597" s="451">
        <f t="shared" si="41"/>
        <v>0</v>
      </c>
      <c r="H597" s="463"/>
      <c r="I597" s="459">
        <v>0</v>
      </c>
      <c r="J597" s="463"/>
      <c r="K597" s="459"/>
      <c r="L597" s="463"/>
      <c r="M597" s="463"/>
      <c r="N597" s="463"/>
      <c r="O597" s="459"/>
      <c r="P597" s="459"/>
      <c r="Q597" s="459"/>
      <c r="R597" s="463"/>
      <c r="S597" s="459"/>
      <c r="T597" s="450">
        <f t="shared" si="42"/>
        <v>0</v>
      </c>
      <c r="U597" s="451">
        <f t="shared" si="43"/>
        <v>0</v>
      </c>
      <c r="V597" s="463"/>
      <c r="W597" s="459"/>
      <c r="X597" s="463"/>
      <c r="Y597" s="459"/>
      <c r="Z597" s="463"/>
      <c r="AA597" s="463"/>
      <c r="AB597" s="463"/>
      <c r="AC597" s="459"/>
      <c r="AD597" s="459"/>
      <c r="AE597" s="459"/>
      <c r="AF597" s="463"/>
      <c r="AG597" s="617"/>
    </row>
    <row r="598" spans="1:33" s="14" customFormat="1" ht="15" customHeight="1">
      <c r="A598" s="410" t="s">
        <v>477</v>
      </c>
      <c r="B598" s="347" t="s">
        <v>504</v>
      </c>
      <c r="C598" s="590"/>
      <c r="D598" s="549">
        <v>446349</v>
      </c>
      <c r="E598" s="517">
        <v>14</v>
      </c>
      <c r="F598" s="450">
        <f t="shared" si="40"/>
        <v>0</v>
      </c>
      <c r="G598" s="451">
        <f t="shared" si="41"/>
        <v>0</v>
      </c>
      <c r="H598" s="463"/>
      <c r="I598" s="459">
        <v>0</v>
      </c>
      <c r="J598" s="463"/>
      <c r="K598" s="459"/>
      <c r="L598" s="463"/>
      <c r="M598" s="463"/>
      <c r="N598" s="463"/>
      <c r="O598" s="459"/>
      <c r="P598" s="459"/>
      <c r="Q598" s="459"/>
      <c r="R598" s="463"/>
      <c r="S598" s="459"/>
      <c r="T598" s="450">
        <f t="shared" si="42"/>
        <v>0</v>
      </c>
      <c r="U598" s="451">
        <f t="shared" si="43"/>
        <v>0</v>
      </c>
      <c r="V598" s="463"/>
      <c r="W598" s="459"/>
      <c r="X598" s="463"/>
      <c r="Y598" s="459"/>
      <c r="Z598" s="463"/>
      <c r="AA598" s="463"/>
      <c r="AB598" s="463"/>
      <c r="AC598" s="459"/>
      <c r="AD598" s="459"/>
      <c r="AE598" s="459"/>
      <c r="AF598" s="463"/>
      <c r="AG598" s="617"/>
    </row>
    <row r="599" spans="1:33" s="14" customFormat="1" ht="15" customHeight="1">
      <c r="A599" s="410" t="s">
        <v>477</v>
      </c>
      <c r="B599" s="347" t="s">
        <v>738</v>
      </c>
      <c r="C599" s="590"/>
      <c r="D599" s="549">
        <v>237516</v>
      </c>
      <c r="E599" s="517">
        <v>14</v>
      </c>
      <c r="F599" s="450">
        <f t="shared" si="40"/>
        <v>0</v>
      </c>
      <c r="G599" s="451">
        <f t="shared" si="41"/>
        <v>0</v>
      </c>
      <c r="H599" s="463"/>
      <c r="I599" s="459">
        <v>0</v>
      </c>
      <c r="J599" s="463"/>
      <c r="K599" s="459"/>
      <c r="L599" s="463"/>
      <c r="M599" s="463"/>
      <c r="N599" s="463"/>
      <c r="O599" s="459"/>
      <c r="P599" s="459"/>
      <c r="Q599" s="459"/>
      <c r="R599" s="463"/>
      <c r="S599" s="459"/>
      <c r="T599" s="450">
        <f t="shared" si="42"/>
        <v>0</v>
      </c>
      <c r="U599" s="451">
        <f t="shared" si="43"/>
        <v>0</v>
      </c>
      <c r="V599" s="463"/>
      <c r="W599" s="459"/>
      <c r="X599" s="463"/>
      <c r="Y599" s="459"/>
      <c r="Z599" s="463"/>
      <c r="AA599" s="463"/>
      <c r="AB599" s="463"/>
      <c r="AC599" s="459"/>
      <c r="AD599" s="459"/>
      <c r="AE599" s="459"/>
      <c r="AF599" s="463"/>
      <c r="AG599" s="617"/>
    </row>
    <row r="600" spans="1:33" s="14" customFormat="1" ht="15" customHeight="1">
      <c r="A600" s="410" t="s">
        <v>477</v>
      </c>
      <c r="B600" s="347" t="s">
        <v>739</v>
      </c>
      <c r="C600" s="590"/>
      <c r="D600" s="549">
        <v>237534</v>
      </c>
      <c r="E600" s="517">
        <v>14</v>
      </c>
      <c r="F600" s="450">
        <f t="shared" si="40"/>
        <v>0</v>
      </c>
      <c r="G600" s="451">
        <f t="shared" si="41"/>
        <v>0</v>
      </c>
      <c r="H600" s="463"/>
      <c r="I600" s="459">
        <v>0</v>
      </c>
      <c r="J600" s="463"/>
      <c r="K600" s="459"/>
      <c r="L600" s="463"/>
      <c r="M600" s="463"/>
      <c r="N600" s="463"/>
      <c r="O600" s="459"/>
      <c r="P600" s="459"/>
      <c r="Q600" s="459"/>
      <c r="R600" s="463"/>
      <c r="S600" s="459"/>
      <c r="T600" s="450">
        <f t="shared" si="42"/>
        <v>0</v>
      </c>
      <c r="U600" s="451">
        <f t="shared" si="43"/>
        <v>0</v>
      </c>
      <c r="V600" s="463"/>
      <c r="W600" s="459"/>
      <c r="X600" s="463"/>
      <c r="Y600" s="459"/>
      <c r="Z600" s="463"/>
      <c r="AA600" s="463"/>
      <c r="AB600" s="463"/>
      <c r="AC600" s="459"/>
      <c r="AD600" s="459"/>
      <c r="AE600" s="459"/>
      <c r="AF600" s="463"/>
      <c r="AG600" s="617"/>
    </row>
    <row r="601" spans="1:33" s="14" customFormat="1" ht="15" customHeight="1">
      <c r="A601" s="350" t="s">
        <v>477</v>
      </c>
      <c r="B601" s="347" t="s">
        <v>505</v>
      </c>
      <c r="C601" s="590"/>
      <c r="D601" s="549">
        <v>237543</v>
      </c>
      <c r="E601" s="517">
        <v>14</v>
      </c>
      <c r="F601" s="450">
        <f t="shared" si="40"/>
        <v>0</v>
      </c>
      <c r="G601" s="451">
        <f t="shared" si="41"/>
        <v>0</v>
      </c>
      <c r="H601" s="463"/>
      <c r="I601" s="459">
        <v>0</v>
      </c>
      <c r="J601" s="463"/>
      <c r="K601" s="459"/>
      <c r="L601" s="463"/>
      <c r="M601" s="463"/>
      <c r="N601" s="463"/>
      <c r="O601" s="459"/>
      <c r="P601" s="459"/>
      <c r="Q601" s="459"/>
      <c r="R601" s="463"/>
      <c r="S601" s="459"/>
      <c r="T601" s="450">
        <f t="shared" si="42"/>
        <v>0</v>
      </c>
      <c r="U601" s="451">
        <f t="shared" si="43"/>
        <v>0</v>
      </c>
      <c r="V601" s="463"/>
      <c r="W601" s="459"/>
      <c r="X601" s="463"/>
      <c r="Y601" s="459"/>
      <c r="Z601" s="463"/>
      <c r="AA601" s="463"/>
      <c r="AB601" s="463"/>
      <c r="AC601" s="459"/>
      <c r="AD601" s="459"/>
      <c r="AE601" s="459"/>
      <c r="AF601" s="463"/>
      <c r="AG601" s="617"/>
    </row>
    <row r="602" spans="1:33" s="14" customFormat="1" ht="15" customHeight="1">
      <c r="A602" s="410" t="s">
        <v>477</v>
      </c>
      <c r="B602" s="347" t="s">
        <v>740</v>
      </c>
      <c r="C602" s="590"/>
      <c r="D602" s="549">
        <v>368647</v>
      </c>
      <c r="E602" s="517">
        <v>14</v>
      </c>
      <c r="F602" s="450">
        <f t="shared" si="40"/>
        <v>0</v>
      </c>
      <c r="G602" s="451">
        <f t="shared" si="41"/>
        <v>0</v>
      </c>
      <c r="H602" s="463"/>
      <c r="I602" s="459">
        <v>0</v>
      </c>
      <c r="J602" s="463"/>
      <c r="K602" s="459"/>
      <c r="L602" s="463"/>
      <c r="M602" s="463"/>
      <c r="N602" s="463"/>
      <c r="O602" s="459"/>
      <c r="P602" s="459"/>
      <c r="Q602" s="459"/>
      <c r="R602" s="463"/>
      <c r="S602" s="459"/>
      <c r="T602" s="450">
        <f t="shared" si="42"/>
        <v>0</v>
      </c>
      <c r="U602" s="451">
        <f t="shared" si="43"/>
        <v>0</v>
      </c>
      <c r="V602" s="463"/>
      <c r="W602" s="459"/>
      <c r="X602" s="463"/>
      <c r="Y602" s="459"/>
      <c r="Z602" s="463"/>
      <c r="AA602" s="463"/>
      <c r="AB602" s="463"/>
      <c r="AC602" s="459"/>
      <c r="AD602" s="459"/>
      <c r="AE602" s="459"/>
      <c r="AF602" s="463"/>
      <c r="AG602" s="617"/>
    </row>
    <row r="603" spans="1:33" s="14" customFormat="1" ht="15" customHeight="1">
      <c r="A603" s="410" t="s">
        <v>477</v>
      </c>
      <c r="B603" s="347" t="s">
        <v>506</v>
      </c>
      <c r="C603" s="590"/>
      <c r="D603" s="549">
        <v>237561</v>
      </c>
      <c r="E603" s="517">
        <v>14</v>
      </c>
      <c r="F603" s="450">
        <f t="shared" si="40"/>
        <v>0</v>
      </c>
      <c r="G603" s="451">
        <f t="shared" si="41"/>
        <v>0</v>
      </c>
      <c r="H603" s="463"/>
      <c r="I603" s="459">
        <v>0</v>
      </c>
      <c r="J603" s="463"/>
      <c r="K603" s="459"/>
      <c r="L603" s="463"/>
      <c r="M603" s="463"/>
      <c r="N603" s="463"/>
      <c r="O603" s="459"/>
      <c r="P603" s="459"/>
      <c r="Q603" s="459"/>
      <c r="R603" s="463"/>
      <c r="S603" s="459"/>
      <c r="T603" s="450">
        <f t="shared" si="42"/>
        <v>0</v>
      </c>
      <c r="U603" s="451">
        <f t="shared" si="43"/>
        <v>0</v>
      </c>
      <c r="V603" s="463"/>
      <c r="W603" s="459"/>
      <c r="X603" s="463"/>
      <c r="Y603" s="459"/>
      <c r="Z603" s="463"/>
      <c r="AA603" s="463"/>
      <c r="AB603" s="463"/>
      <c r="AC603" s="459"/>
      <c r="AD603" s="459"/>
      <c r="AE603" s="459"/>
      <c r="AF603" s="463"/>
      <c r="AG603" s="617"/>
    </row>
    <row r="604" spans="1:33" s="14" customFormat="1" ht="15" customHeight="1">
      <c r="A604" s="410" t="s">
        <v>477</v>
      </c>
      <c r="B604" s="347" t="s">
        <v>507</v>
      </c>
      <c r="C604" s="590"/>
      <c r="D604" s="549">
        <v>419420</v>
      </c>
      <c r="E604" s="517">
        <v>14</v>
      </c>
      <c r="F604" s="450">
        <f t="shared" si="40"/>
        <v>0</v>
      </c>
      <c r="G604" s="451">
        <f t="shared" si="41"/>
        <v>0</v>
      </c>
      <c r="H604" s="463"/>
      <c r="I604" s="459">
        <v>0</v>
      </c>
      <c r="J604" s="463"/>
      <c r="K604" s="459"/>
      <c r="L604" s="463"/>
      <c r="M604" s="463"/>
      <c r="N604" s="463"/>
      <c r="O604" s="459"/>
      <c r="P604" s="459"/>
      <c r="Q604" s="459"/>
      <c r="R604" s="463"/>
      <c r="S604" s="459"/>
      <c r="T604" s="450">
        <f t="shared" si="42"/>
        <v>0</v>
      </c>
      <c r="U604" s="451">
        <f t="shared" si="43"/>
        <v>0</v>
      </c>
      <c r="V604" s="463"/>
      <c r="W604" s="459"/>
      <c r="X604" s="463"/>
      <c r="Y604" s="459"/>
      <c r="Z604" s="463"/>
      <c r="AA604" s="463"/>
      <c r="AB604" s="463"/>
      <c r="AC604" s="459"/>
      <c r="AD604" s="459"/>
      <c r="AE604" s="459"/>
      <c r="AF604" s="463"/>
      <c r="AG604" s="617"/>
    </row>
    <row r="605" spans="1:33" s="14" customFormat="1" ht="15" customHeight="1">
      <c r="A605" s="410" t="s">
        <v>477</v>
      </c>
      <c r="B605" s="347" t="s">
        <v>508</v>
      </c>
      <c r="C605" s="590"/>
      <c r="D605" s="549">
        <v>237491</v>
      </c>
      <c r="E605" s="517">
        <v>14</v>
      </c>
      <c r="F605" s="450">
        <f t="shared" si="40"/>
        <v>0</v>
      </c>
      <c r="G605" s="451">
        <f t="shared" si="41"/>
        <v>0</v>
      </c>
      <c r="H605" s="463"/>
      <c r="I605" s="459">
        <v>0</v>
      </c>
      <c r="J605" s="463"/>
      <c r="K605" s="459"/>
      <c r="L605" s="463"/>
      <c r="M605" s="463"/>
      <c r="N605" s="463"/>
      <c r="O605" s="459"/>
      <c r="P605" s="459"/>
      <c r="Q605" s="459"/>
      <c r="R605" s="463"/>
      <c r="S605" s="459"/>
      <c r="T605" s="450">
        <f t="shared" si="42"/>
        <v>0</v>
      </c>
      <c r="U605" s="451">
        <f t="shared" si="43"/>
        <v>0</v>
      </c>
      <c r="V605" s="463"/>
      <c r="W605" s="459"/>
      <c r="X605" s="463"/>
      <c r="Y605" s="459"/>
      <c r="Z605" s="463"/>
      <c r="AA605" s="463"/>
      <c r="AB605" s="463"/>
      <c r="AC605" s="459"/>
      <c r="AD605" s="459"/>
      <c r="AE605" s="459"/>
      <c r="AF605" s="463"/>
      <c r="AG605" s="617"/>
    </row>
    <row r="606" spans="1:33" s="14" customFormat="1" ht="15" customHeight="1">
      <c r="A606" s="410" t="s">
        <v>477</v>
      </c>
      <c r="B606" s="347" t="s">
        <v>509</v>
      </c>
      <c r="C606" s="590"/>
      <c r="D606" s="549">
        <v>364575</v>
      </c>
      <c r="E606" s="517">
        <v>14</v>
      </c>
      <c r="F606" s="450">
        <f t="shared" si="40"/>
        <v>0</v>
      </c>
      <c r="G606" s="451">
        <f t="shared" si="41"/>
        <v>0</v>
      </c>
      <c r="H606" s="463"/>
      <c r="I606" s="459">
        <v>0</v>
      </c>
      <c r="J606" s="463"/>
      <c r="K606" s="459"/>
      <c r="L606" s="463"/>
      <c r="M606" s="463"/>
      <c r="N606" s="463"/>
      <c r="O606" s="459"/>
      <c r="P606" s="459"/>
      <c r="Q606" s="459"/>
      <c r="R606" s="463"/>
      <c r="S606" s="459"/>
      <c r="T606" s="450">
        <f t="shared" si="42"/>
        <v>0</v>
      </c>
      <c r="U606" s="451">
        <f t="shared" si="43"/>
        <v>0</v>
      </c>
      <c r="V606" s="463"/>
      <c r="W606" s="459"/>
      <c r="X606" s="463"/>
      <c r="Y606" s="459"/>
      <c r="Z606" s="463"/>
      <c r="AA606" s="463"/>
      <c r="AB606" s="463"/>
      <c r="AC606" s="459"/>
      <c r="AD606" s="459"/>
      <c r="AE606" s="459"/>
      <c r="AF606" s="463"/>
      <c r="AG606" s="617"/>
    </row>
    <row r="607" spans="1:33" s="14" customFormat="1" ht="15" customHeight="1">
      <c r="A607" s="410" t="s">
        <v>477</v>
      </c>
      <c r="B607" s="347" t="s">
        <v>510</v>
      </c>
      <c r="C607" s="590"/>
      <c r="D607" s="549">
        <v>441894</v>
      </c>
      <c r="E607" s="517">
        <v>14</v>
      </c>
      <c r="F607" s="450">
        <f t="shared" si="40"/>
        <v>0</v>
      </c>
      <c r="G607" s="451">
        <f t="shared" si="41"/>
        <v>0</v>
      </c>
      <c r="H607" s="463"/>
      <c r="I607" s="459">
        <v>0</v>
      </c>
      <c r="J607" s="463"/>
      <c r="K607" s="459"/>
      <c r="L607" s="463"/>
      <c r="M607" s="463"/>
      <c r="N607" s="463"/>
      <c r="O607" s="459"/>
      <c r="P607" s="459"/>
      <c r="Q607" s="459"/>
      <c r="R607" s="463"/>
      <c r="S607" s="459"/>
      <c r="T607" s="450">
        <f t="shared" si="42"/>
        <v>0</v>
      </c>
      <c r="U607" s="451">
        <f t="shared" si="43"/>
        <v>0</v>
      </c>
      <c r="V607" s="463"/>
      <c r="W607" s="459"/>
      <c r="X607" s="463"/>
      <c r="Y607" s="459"/>
      <c r="Z607" s="463"/>
      <c r="AA607" s="463"/>
      <c r="AB607" s="463"/>
      <c r="AC607" s="459"/>
      <c r="AD607" s="459"/>
      <c r="AE607" s="459"/>
      <c r="AF607" s="463"/>
      <c r="AG607" s="617"/>
    </row>
    <row r="608" spans="1:33" s="14" customFormat="1" ht="15" customHeight="1">
      <c r="A608" s="410" t="s">
        <v>477</v>
      </c>
      <c r="B608" s="347" t="s">
        <v>511</v>
      </c>
      <c r="C608" s="590"/>
      <c r="D608" s="549">
        <v>419031</v>
      </c>
      <c r="E608" s="517">
        <v>14</v>
      </c>
      <c r="F608" s="450">
        <f t="shared" si="40"/>
        <v>0</v>
      </c>
      <c r="G608" s="451">
        <f t="shared" si="41"/>
        <v>0</v>
      </c>
      <c r="H608" s="463"/>
      <c r="I608" s="459">
        <v>0</v>
      </c>
      <c r="J608" s="463"/>
      <c r="K608" s="459"/>
      <c r="L608" s="463"/>
      <c r="M608" s="463"/>
      <c r="N608" s="463"/>
      <c r="O608" s="459"/>
      <c r="P608" s="459"/>
      <c r="Q608" s="459"/>
      <c r="R608" s="463"/>
      <c r="S608" s="459"/>
      <c r="T608" s="450">
        <f t="shared" si="42"/>
        <v>0</v>
      </c>
      <c r="U608" s="451">
        <f t="shared" si="43"/>
        <v>0</v>
      </c>
      <c r="V608" s="463"/>
      <c r="W608" s="459"/>
      <c r="X608" s="463"/>
      <c r="Y608" s="459"/>
      <c r="Z608" s="463"/>
      <c r="AA608" s="463"/>
      <c r="AB608" s="463"/>
      <c r="AC608" s="459"/>
      <c r="AD608" s="459"/>
      <c r="AE608" s="459"/>
      <c r="AF608" s="463"/>
      <c r="AG608" s="617"/>
    </row>
    <row r="609" spans="1:33">
      <c r="A609" s="410" t="s">
        <v>477</v>
      </c>
      <c r="B609" s="347" t="s">
        <v>741</v>
      </c>
      <c r="C609" s="590"/>
      <c r="D609" s="591" t="s">
        <v>437</v>
      </c>
      <c r="E609" s="517">
        <v>14</v>
      </c>
      <c r="F609" s="450">
        <f t="shared" si="40"/>
        <v>0</v>
      </c>
      <c r="G609" s="451">
        <f t="shared" si="41"/>
        <v>0</v>
      </c>
      <c r="H609" s="463"/>
      <c r="I609" s="459">
        <v>0</v>
      </c>
      <c r="J609" s="463"/>
      <c r="K609" s="459"/>
      <c r="L609" s="463"/>
      <c r="M609" s="463"/>
      <c r="N609" s="463"/>
      <c r="O609" s="459"/>
      <c r="P609" s="459"/>
      <c r="Q609" s="459"/>
      <c r="R609" s="463"/>
      <c r="S609" s="459"/>
      <c r="T609" s="450">
        <f t="shared" si="42"/>
        <v>0</v>
      </c>
      <c r="U609" s="451">
        <f t="shared" si="43"/>
        <v>0</v>
      </c>
      <c r="V609" s="463"/>
      <c r="W609" s="459"/>
      <c r="X609" s="463"/>
      <c r="Y609" s="459"/>
      <c r="Z609" s="463"/>
      <c r="AA609" s="463"/>
      <c r="AB609" s="463"/>
      <c r="AC609" s="459"/>
      <c r="AD609" s="459"/>
      <c r="AE609" s="459"/>
      <c r="AF609" s="463"/>
      <c r="AG609" s="617"/>
    </row>
    <row r="610" spans="1:33">
      <c r="A610" s="410" t="s">
        <v>477</v>
      </c>
      <c r="B610" s="347" t="s">
        <v>742</v>
      </c>
      <c r="C610" s="590"/>
      <c r="D610" s="591" t="s">
        <v>437</v>
      </c>
      <c r="E610" s="517">
        <v>15</v>
      </c>
      <c r="F610" s="450">
        <f t="shared" si="40"/>
        <v>0</v>
      </c>
      <c r="G610" s="451">
        <f t="shared" si="41"/>
        <v>0</v>
      </c>
      <c r="H610" s="463"/>
      <c r="I610" s="459">
        <v>0</v>
      </c>
      <c r="J610" s="463"/>
      <c r="K610" s="459"/>
      <c r="L610" s="463"/>
      <c r="M610" s="463"/>
      <c r="N610" s="463"/>
      <c r="O610" s="459"/>
      <c r="P610" s="459"/>
      <c r="Q610" s="459"/>
      <c r="R610" s="463"/>
      <c r="S610" s="459"/>
      <c r="T610" s="450">
        <f t="shared" si="42"/>
        <v>0</v>
      </c>
      <c r="U610" s="451">
        <f t="shared" si="43"/>
        <v>0</v>
      </c>
      <c r="V610" s="463"/>
      <c r="W610" s="459"/>
      <c r="X610" s="463"/>
      <c r="Y610" s="459"/>
      <c r="Z610" s="463"/>
      <c r="AA610" s="463"/>
      <c r="AB610" s="463"/>
      <c r="AC610" s="459"/>
      <c r="AD610" s="459"/>
      <c r="AE610" s="459"/>
      <c r="AF610" s="463"/>
      <c r="AG610" s="617"/>
    </row>
    <row r="611" spans="1:33" s="14" customFormat="1" ht="15" customHeight="1">
      <c r="A611" s="410" t="s">
        <v>477</v>
      </c>
      <c r="B611" s="347" t="s">
        <v>512</v>
      </c>
      <c r="C611" s="590"/>
      <c r="D611" s="549">
        <v>486202</v>
      </c>
      <c r="E611" s="517">
        <v>15</v>
      </c>
      <c r="F611" s="450">
        <f t="shared" si="40"/>
        <v>0</v>
      </c>
      <c r="G611" s="451">
        <f t="shared" si="41"/>
        <v>0</v>
      </c>
      <c r="H611" s="463"/>
      <c r="I611" s="459">
        <v>0</v>
      </c>
      <c r="J611" s="463"/>
      <c r="K611" s="459"/>
      <c r="L611" s="463"/>
      <c r="M611" s="463"/>
      <c r="N611" s="463"/>
      <c r="O611" s="459"/>
      <c r="P611" s="459"/>
      <c r="Q611" s="459"/>
      <c r="R611" s="463"/>
      <c r="S611" s="459"/>
      <c r="T611" s="450">
        <f t="shared" si="42"/>
        <v>0</v>
      </c>
      <c r="U611" s="451">
        <f t="shared" si="43"/>
        <v>0</v>
      </c>
      <c r="V611" s="463"/>
      <c r="W611" s="459"/>
      <c r="X611" s="463"/>
      <c r="Y611" s="459"/>
      <c r="Z611" s="463"/>
      <c r="AA611" s="463"/>
      <c r="AB611" s="463"/>
      <c r="AC611" s="459"/>
      <c r="AD611" s="459"/>
      <c r="AE611" s="459"/>
      <c r="AF611" s="463"/>
      <c r="AG611" s="617"/>
    </row>
    <row r="612" spans="1:33" s="14" customFormat="1" ht="15" customHeight="1">
      <c r="A612" s="350" t="s">
        <v>477</v>
      </c>
      <c r="B612" s="347" t="s">
        <v>513</v>
      </c>
      <c r="C612" s="590"/>
      <c r="D612" s="549">
        <v>486406</v>
      </c>
      <c r="E612" s="517">
        <v>15</v>
      </c>
      <c r="F612" s="450">
        <f t="shared" si="40"/>
        <v>0</v>
      </c>
      <c r="G612" s="451">
        <f t="shared" si="41"/>
        <v>0</v>
      </c>
      <c r="H612" s="463"/>
      <c r="I612" s="459">
        <v>0</v>
      </c>
      <c r="J612" s="463"/>
      <c r="K612" s="459"/>
      <c r="L612" s="463"/>
      <c r="M612" s="463"/>
      <c r="N612" s="463"/>
      <c r="O612" s="459"/>
      <c r="P612" s="459"/>
      <c r="Q612" s="459"/>
      <c r="R612" s="463"/>
      <c r="S612" s="459"/>
      <c r="T612" s="450">
        <f t="shared" si="42"/>
        <v>0</v>
      </c>
      <c r="U612" s="451">
        <f t="shared" si="43"/>
        <v>0</v>
      </c>
      <c r="V612" s="463"/>
      <c r="W612" s="459"/>
      <c r="X612" s="463"/>
      <c r="Y612" s="459"/>
      <c r="Z612" s="463"/>
      <c r="AA612" s="463"/>
      <c r="AB612" s="463"/>
      <c r="AC612" s="459"/>
      <c r="AD612" s="459"/>
      <c r="AE612" s="459"/>
      <c r="AF612" s="463"/>
      <c r="AG612" s="617"/>
    </row>
    <row r="613" spans="1:33">
      <c r="A613" s="410" t="s">
        <v>477</v>
      </c>
      <c r="B613" s="347" t="s">
        <v>743</v>
      </c>
      <c r="C613" s="590"/>
      <c r="D613" s="591" t="s">
        <v>437</v>
      </c>
      <c r="E613" s="517">
        <v>15</v>
      </c>
      <c r="F613" s="450">
        <f t="shared" si="40"/>
        <v>0</v>
      </c>
      <c r="G613" s="451">
        <f t="shared" si="41"/>
        <v>0</v>
      </c>
      <c r="H613" s="463"/>
      <c r="I613" s="459">
        <v>0</v>
      </c>
      <c r="J613" s="463"/>
      <c r="K613" s="459"/>
      <c r="L613" s="463"/>
      <c r="M613" s="463"/>
      <c r="N613" s="463"/>
      <c r="O613" s="459"/>
      <c r="P613" s="459"/>
      <c r="Q613" s="459"/>
      <c r="R613" s="463"/>
      <c r="S613" s="459"/>
      <c r="T613" s="450">
        <f t="shared" si="42"/>
        <v>0</v>
      </c>
      <c r="U613" s="451">
        <f t="shared" si="43"/>
        <v>0</v>
      </c>
      <c r="V613" s="463"/>
      <c r="W613" s="459"/>
      <c r="X613" s="463"/>
      <c r="Y613" s="459"/>
      <c r="Z613" s="463"/>
      <c r="AA613" s="463"/>
      <c r="AB613" s="463"/>
      <c r="AC613" s="459"/>
      <c r="AD613" s="459"/>
      <c r="AE613" s="459"/>
      <c r="AF613" s="463"/>
      <c r="AG613" s="617"/>
    </row>
    <row r="614" spans="1:33" s="14" customFormat="1" ht="15" customHeight="1">
      <c r="A614" s="350" t="s">
        <v>477</v>
      </c>
      <c r="B614" s="347" t="s">
        <v>514</v>
      </c>
      <c r="C614" s="590"/>
      <c r="D614" s="549">
        <v>238096</v>
      </c>
      <c r="E614" s="517">
        <v>15</v>
      </c>
      <c r="F614" s="450">
        <f t="shared" si="40"/>
        <v>0</v>
      </c>
      <c r="G614" s="451">
        <f t="shared" si="41"/>
        <v>0</v>
      </c>
      <c r="H614" s="463"/>
      <c r="I614" s="459">
        <v>0</v>
      </c>
      <c r="J614" s="463"/>
      <c r="K614" s="459"/>
      <c r="L614" s="463"/>
      <c r="M614" s="463"/>
      <c r="N614" s="463"/>
      <c r="O614" s="459"/>
      <c r="P614" s="459"/>
      <c r="Q614" s="459"/>
      <c r="R614" s="463"/>
      <c r="S614" s="459"/>
      <c r="T614" s="450">
        <f t="shared" si="42"/>
        <v>0</v>
      </c>
      <c r="U614" s="451">
        <f t="shared" si="43"/>
        <v>0</v>
      </c>
      <c r="V614" s="463"/>
      <c r="W614" s="459"/>
      <c r="X614" s="463"/>
      <c r="Y614" s="459"/>
      <c r="Z614" s="463"/>
      <c r="AA614" s="463"/>
      <c r="AB614" s="463"/>
      <c r="AC614" s="459"/>
      <c r="AD614" s="459"/>
      <c r="AE614" s="459"/>
      <c r="AF614" s="463"/>
      <c r="AG614" s="617"/>
    </row>
    <row r="615" spans="1:33">
      <c r="A615" s="34"/>
      <c r="B615" s="34"/>
      <c r="C615" s="34"/>
      <c r="D615" s="34"/>
      <c r="E615" s="34"/>
      <c r="G615" s="34"/>
      <c r="I615" s="34"/>
      <c r="M615" s="34"/>
      <c r="N615" s="34"/>
      <c r="O615" s="34"/>
      <c r="Q615" s="34"/>
      <c r="S615" s="34"/>
      <c r="U615" s="34"/>
      <c r="W615" s="34"/>
      <c r="AA615" s="34"/>
      <c r="AB615" s="34"/>
      <c r="AC615" s="34"/>
      <c r="AE615" s="34"/>
    </row>
    <row r="616" spans="1:33">
      <c r="A616" s="34"/>
      <c r="B616" s="34"/>
      <c r="C616" s="34"/>
      <c r="D616" s="34"/>
      <c r="E616" s="34"/>
      <c r="G616" s="34"/>
      <c r="I616" s="34"/>
      <c r="M616" s="34"/>
      <c r="N616" s="34"/>
      <c r="O616" s="34"/>
      <c r="Q616" s="34"/>
      <c r="S616" s="34"/>
      <c r="U616" s="34"/>
      <c r="W616" s="34"/>
      <c r="AA616" s="34"/>
      <c r="AB616" s="34"/>
      <c r="AC616" s="34"/>
      <c r="AE616" s="34"/>
    </row>
    <row r="617" spans="1:33">
      <c r="A617" s="34"/>
      <c r="B617" s="34"/>
      <c r="C617" s="34"/>
      <c r="D617" s="34"/>
      <c r="E617" s="34"/>
      <c r="G617" s="34"/>
      <c r="I617" s="34"/>
      <c r="M617" s="34"/>
      <c r="N617" s="34"/>
      <c r="O617" s="34"/>
      <c r="Q617" s="34"/>
      <c r="S617" s="34"/>
      <c r="U617" s="34"/>
      <c r="W617" s="34"/>
      <c r="AA617" s="34"/>
      <c r="AB617" s="34"/>
      <c r="AC617" s="34"/>
      <c r="AE617" s="34"/>
    </row>
    <row r="618" spans="1:33">
      <c r="A618" s="34"/>
      <c r="B618" s="34"/>
      <c r="C618" s="34"/>
      <c r="D618" s="34"/>
      <c r="E618" s="34"/>
      <c r="G618" s="34"/>
      <c r="I618" s="34"/>
      <c r="M618" s="34"/>
      <c r="N618" s="34"/>
      <c r="O618" s="34"/>
      <c r="Q618" s="34"/>
      <c r="S618" s="34"/>
      <c r="U618" s="34"/>
      <c r="W618" s="34"/>
      <c r="AA618" s="34"/>
      <c r="AB618" s="34"/>
      <c r="AC618" s="34"/>
      <c r="AE618" s="34"/>
    </row>
    <row r="619" spans="1:33">
      <c r="A619" s="34"/>
      <c r="B619" s="34"/>
      <c r="C619" s="34"/>
      <c r="D619" s="34"/>
      <c r="E619" s="34"/>
      <c r="G619" s="34"/>
      <c r="I619" s="34"/>
      <c r="M619" s="34"/>
      <c r="N619" s="34"/>
      <c r="O619" s="34"/>
      <c r="Q619" s="34"/>
      <c r="S619" s="34"/>
      <c r="U619" s="34"/>
      <c r="W619" s="34"/>
      <c r="AA619" s="34"/>
      <c r="AB619" s="34"/>
      <c r="AC619" s="34"/>
      <c r="AE619" s="34"/>
    </row>
    <row r="620" spans="1:33">
      <c r="A620" s="34"/>
      <c r="B620" s="34"/>
      <c r="C620" s="34"/>
      <c r="D620" s="34"/>
      <c r="E620" s="34"/>
      <c r="G620" s="34"/>
      <c r="I620" s="34"/>
      <c r="M620" s="34"/>
      <c r="N620" s="34"/>
      <c r="O620" s="34"/>
      <c r="Q620" s="34"/>
      <c r="S620" s="34"/>
      <c r="U620" s="34"/>
      <c r="W620" s="34"/>
      <c r="AA620" s="34"/>
      <c r="AB620" s="34"/>
      <c r="AC620" s="34"/>
      <c r="AE620" s="34"/>
    </row>
    <row r="621" spans="1:33">
      <c r="A621" s="34"/>
      <c r="B621" s="34"/>
      <c r="C621" s="34"/>
      <c r="D621" s="34"/>
      <c r="E621" s="34"/>
      <c r="G621" s="34"/>
      <c r="I621" s="34"/>
      <c r="M621" s="34"/>
      <c r="N621" s="34"/>
      <c r="O621" s="34"/>
      <c r="Q621" s="34"/>
      <c r="S621" s="34"/>
      <c r="U621" s="34"/>
      <c r="W621" s="34"/>
      <c r="AA621" s="34"/>
      <c r="AB621" s="34"/>
      <c r="AC621" s="34"/>
      <c r="AE621" s="34"/>
    </row>
    <row r="622" spans="1:33">
      <c r="A622" s="34"/>
      <c r="B622" s="34"/>
      <c r="C622" s="34"/>
      <c r="D622" s="34"/>
      <c r="E622" s="34"/>
      <c r="G622" s="34"/>
      <c r="I622" s="34"/>
      <c r="M622" s="34"/>
      <c r="N622" s="34"/>
      <c r="O622" s="34"/>
      <c r="Q622" s="34"/>
      <c r="S622" s="34"/>
      <c r="U622" s="34"/>
      <c r="W622" s="34"/>
      <c r="AA622" s="34"/>
      <c r="AB622" s="34"/>
      <c r="AC622" s="34"/>
      <c r="AE622" s="34"/>
    </row>
    <row r="623" spans="1:33">
      <c r="A623" s="34"/>
      <c r="B623" s="34"/>
      <c r="C623" s="34"/>
      <c r="D623" s="34"/>
      <c r="E623" s="34"/>
      <c r="G623" s="34"/>
      <c r="I623" s="34"/>
      <c r="M623" s="34"/>
      <c r="N623" s="34"/>
      <c r="O623" s="34"/>
      <c r="Q623" s="34"/>
      <c r="S623" s="34"/>
      <c r="U623" s="34"/>
      <c r="W623" s="34"/>
      <c r="AA623" s="34"/>
      <c r="AB623" s="34"/>
      <c r="AC623" s="34"/>
      <c r="AE623" s="34"/>
    </row>
    <row r="624" spans="1:33">
      <c r="A624" s="34"/>
      <c r="B624" s="34"/>
      <c r="C624" s="34"/>
      <c r="D624" s="34"/>
      <c r="E624" s="34"/>
      <c r="G624" s="34"/>
      <c r="I624" s="34"/>
      <c r="M624" s="34"/>
      <c r="N624" s="34"/>
      <c r="O624" s="34"/>
      <c r="Q624" s="34"/>
      <c r="S624" s="34"/>
      <c r="U624" s="34"/>
      <c r="W624" s="34"/>
      <c r="AA624" s="34"/>
      <c r="AB624" s="34"/>
      <c r="AC624" s="34"/>
      <c r="AE624" s="34"/>
    </row>
    <row r="625" spans="1:31">
      <c r="A625" s="34"/>
      <c r="B625" s="34"/>
      <c r="C625" s="34"/>
      <c r="D625" s="34"/>
      <c r="E625" s="34"/>
      <c r="G625" s="34"/>
      <c r="I625" s="34"/>
      <c r="M625" s="34"/>
      <c r="N625" s="34"/>
      <c r="O625" s="34"/>
      <c r="Q625" s="34"/>
      <c r="S625" s="34"/>
      <c r="U625" s="34"/>
      <c r="W625" s="34"/>
      <c r="AA625" s="34"/>
      <c r="AB625" s="34"/>
      <c r="AC625" s="34"/>
      <c r="AE625" s="34"/>
    </row>
    <row r="626" spans="1:31">
      <c r="A626" s="34"/>
      <c r="B626" s="34"/>
      <c r="C626" s="34"/>
      <c r="D626" s="34"/>
      <c r="E626" s="34"/>
      <c r="G626" s="34"/>
      <c r="I626" s="34"/>
      <c r="M626" s="34"/>
      <c r="N626" s="34"/>
      <c r="O626" s="34"/>
      <c r="Q626" s="34"/>
      <c r="S626" s="34"/>
      <c r="U626" s="34"/>
      <c r="W626" s="34"/>
      <c r="AA626" s="34"/>
      <c r="AB626" s="34"/>
      <c r="AC626" s="34"/>
      <c r="AE626" s="34"/>
    </row>
    <row r="627" spans="1:31">
      <c r="A627" s="34"/>
      <c r="B627" s="34"/>
      <c r="C627" s="34"/>
      <c r="D627" s="34"/>
      <c r="E627" s="34"/>
      <c r="G627" s="34"/>
      <c r="I627" s="34"/>
      <c r="M627" s="34"/>
      <c r="N627" s="34"/>
      <c r="O627" s="34"/>
      <c r="Q627" s="34"/>
      <c r="S627" s="34"/>
      <c r="U627" s="34"/>
      <c r="W627" s="34"/>
      <c r="AA627" s="34"/>
      <c r="AB627" s="34"/>
      <c r="AC627" s="34"/>
      <c r="AE627" s="34"/>
    </row>
  </sheetData>
  <sheetProtection insertRows="0" deleteRows="0"/>
  <sortState xmlns:xlrd2="http://schemas.microsoft.com/office/spreadsheetml/2017/richdata2" ref="A7:AG9">
    <sortCondition ref="A7:A9"/>
    <sortCondition ref="E7:E9"/>
    <sortCondition ref="B7:B9"/>
  </sortState>
  <mergeCells count="1">
    <mergeCell ref="H4:I4"/>
  </mergeCells>
  <conditionalFormatting sqref="H110:S157 V110:AG157">
    <cfRule type="expression" dxfId="6329" priority="3">
      <formula>MOD(AJ110,1)&gt;0</formula>
    </cfRule>
    <cfRule type="expression" dxfId="6328" priority="4">
      <formula>"AND(AH7&lt;&gt;"""",AH7&lt;&gt;INT(A1))"</formula>
    </cfRule>
  </conditionalFormatting>
  <conditionalFormatting sqref="H182:S212 V182:AG212">
    <cfRule type="expression" dxfId="6327" priority="1">
      <formula>MOD(AJ182,1)&gt;0</formula>
    </cfRule>
    <cfRule type="expression" dxfId="6326" priority="2">
      <formula>"AND(AH7&lt;&gt;"""",AH7&lt;&gt;INT(A1))"</formula>
    </cfRule>
  </conditionalFormatting>
  <pageMargins left="0.7" right="0.7" top="0.75" bottom="0.75" header="0.3" footer="0.3"/>
  <pageSetup orientation="portrait"/>
  <legacyDrawing r:id="rId1"/>
  <extLst>
    <x:ext xmlns:x="http://schemas.openxmlformats.org/spreadsheetml/2006/main" xmlns:mx="http://schemas.microsoft.com/office/mac/excel/2008/main" uri="{64002731-A6B0-56B0-2670-7721B7C09600}">
      <mx:PLV Mode="0" OnePage="0" WScale="0"/>
    </x: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E72FC-4D63-4F74-B043-5BB905F51D78}">
  <dimension ref="A1:E592"/>
  <sheetViews>
    <sheetView workbookViewId="0">
      <selection sqref="A1:E592"/>
    </sheetView>
  </sheetViews>
  <sheetFormatPr defaultRowHeight="15"/>
  <sheetData>
    <row r="1" spans="1:5">
      <c r="A1" s="393" t="s">
        <v>50</v>
      </c>
      <c r="B1" s="394" t="s">
        <v>51</v>
      </c>
      <c r="C1" s="1"/>
      <c r="D1" s="395">
        <v>100858</v>
      </c>
      <c r="E1" s="395">
        <v>1</v>
      </c>
    </row>
    <row r="2" spans="1:5">
      <c r="A2" s="393" t="s">
        <v>50</v>
      </c>
      <c r="B2" s="394" t="s">
        <v>52</v>
      </c>
      <c r="C2" s="1"/>
      <c r="D2" s="395">
        <v>100751</v>
      </c>
      <c r="E2" s="395">
        <v>1</v>
      </c>
    </row>
    <row r="3" spans="1:5">
      <c r="A3" s="393" t="s">
        <v>50</v>
      </c>
      <c r="B3" s="394" t="s">
        <v>53</v>
      </c>
      <c r="C3" s="396"/>
      <c r="D3" s="395">
        <v>100663</v>
      </c>
      <c r="E3" s="395">
        <v>1</v>
      </c>
    </row>
    <row r="4" spans="1:5">
      <c r="A4" s="393" t="s">
        <v>50</v>
      </c>
      <c r="B4" s="394" t="s">
        <v>54</v>
      </c>
      <c r="C4" s="397" t="s">
        <v>715</v>
      </c>
      <c r="D4" s="395">
        <v>100706</v>
      </c>
      <c r="E4" s="395">
        <v>2</v>
      </c>
    </row>
    <row r="5" spans="1:5">
      <c r="A5" s="393" t="s">
        <v>50</v>
      </c>
      <c r="B5" s="394" t="s">
        <v>58</v>
      </c>
      <c r="C5" s="398"/>
      <c r="D5" s="395">
        <v>102094</v>
      </c>
      <c r="E5" s="395">
        <v>2</v>
      </c>
    </row>
    <row r="6" spans="1:5">
      <c r="A6" s="393" t="s">
        <v>50</v>
      </c>
      <c r="B6" s="394" t="s">
        <v>55</v>
      </c>
      <c r="C6" s="1"/>
      <c r="D6" s="395">
        <v>100654</v>
      </c>
      <c r="E6" s="395">
        <v>3</v>
      </c>
    </row>
    <row r="7" spans="1:5">
      <c r="A7" s="393" t="s">
        <v>50</v>
      </c>
      <c r="B7" s="394" t="s">
        <v>56</v>
      </c>
      <c r="C7" s="1"/>
      <c r="D7" s="395">
        <v>101480</v>
      </c>
      <c r="E7" s="395">
        <v>3</v>
      </c>
    </row>
    <row r="8" spans="1:5">
      <c r="A8" s="393" t="s">
        <v>50</v>
      </c>
      <c r="B8" s="394" t="s">
        <v>57</v>
      </c>
      <c r="C8" s="1"/>
      <c r="D8" s="395">
        <v>102368</v>
      </c>
      <c r="E8" s="395">
        <v>3</v>
      </c>
    </row>
    <row r="9" spans="1:5">
      <c r="A9" s="393" t="s">
        <v>50</v>
      </c>
      <c r="B9" s="394" t="s">
        <v>61</v>
      </c>
      <c r="C9" s="396"/>
      <c r="D9" s="395">
        <v>101879</v>
      </c>
      <c r="E9" s="395">
        <v>3</v>
      </c>
    </row>
    <row r="10" spans="1:5">
      <c r="A10" s="393" t="s">
        <v>50</v>
      </c>
      <c r="B10" s="394" t="s">
        <v>59</v>
      </c>
      <c r="C10" s="1"/>
      <c r="D10" s="395">
        <v>100724</v>
      </c>
      <c r="E10" s="395">
        <v>4</v>
      </c>
    </row>
    <row r="11" spans="1:5">
      <c r="A11" s="393" t="s">
        <v>50</v>
      </c>
      <c r="B11" s="394" t="s">
        <v>60</v>
      </c>
      <c r="C11" s="396" t="s">
        <v>879</v>
      </c>
      <c r="D11" s="399">
        <v>100830</v>
      </c>
      <c r="E11" s="399">
        <v>3</v>
      </c>
    </row>
    <row r="12" spans="1:5">
      <c r="A12" s="393" t="s">
        <v>50</v>
      </c>
      <c r="B12" s="394" t="s">
        <v>62</v>
      </c>
      <c r="C12" s="1"/>
      <c r="D12" s="395">
        <v>101709</v>
      </c>
      <c r="E12" s="395">
        <v>5</v>
      </c>
    </row>
    <row r="13" spans="1:5">
      <c r="A13" s="393" t="s">
        <v>50</v>
      </c>
      <c r="B13" s="394" t="s">
        <v>63</v>
      </c>
      <c r="C13" s="400" t="s">
        <v>880</v>
      </c>
      <c r="D13" s="395">
        <v>101587</v>
      </c>
      <c r="E13" s="401">
        <v>4</v>
      </c>
    </row>
    <row r="14" spans="1:5">
      <c r="A14" s="393" t="s">
        <v>50</v>
      </c>
      <c r="B14" s="394" t="s">
        <v>64</v>
      </c>
      <c r="C14" s="397" t="s">
        <v>889</v>
      </c>
      <c r="D14" s="402">
        <v>100812</v>
      </c>
      <c r="E14" s="395">
        <v>6</v>
      </c>
    </row>
    <row r="15" spans="1:5">
      <c r="A15" s="393" t="s">
        <v>50</v>
      </c>
      <c r="B15" s="403" t="s">
        <v>65</v>
      </c>
      <c r="C15" s="1"/>
      <c r="D15" s="395">
        <v>101505</v>
      </c>
      <c r="E15" s="395">
        <v>8</v>
      </c>
    </row>
    <row r="16" spans="1:5">
      <c r="A16" s="393" t="s">
        <v>50</v>
      </c>
      <c r="B16" s="403" t="s">
        <v>701</v>
      </c>
      <c r="C16" s="1"/>
      <c r="D16" s="395">
        <v>101514</v>
      </c>
      <c r="E16" s="395">
        <v>8</v>
      </c>
    </row>
    <row r="17" spans="1:5">
      <c r="A17" s="393" t="s">
        <v>50</v>
      </c>
      <c r="B17" s="394" t="s">
        <v>66</v>
      </c>
      <c r="C17" s="397" t="s">
        <v>890</v>
      </c>
      <c r="D17" s="395">
        <v>102429</v>
      </c>
      <c r="E17" s="395">
        <v>9</v>
      </c>
    </row>
    <row r="18" spans="1:5">
      <c r="A18" s="393" t="s">
        <v>50</v>
      </c>
      <c r="B18" s="405" t="s">
        <v>67</v>
      </c>
      <c r="C18" s="404"/>
      <c r="D18" s="395">
        <v>102030</v>
      </c>
      <c r="E18" s="395">
        <v>9</v>
      </c>
    </row>
    <row r="19" spans="1:5">
      <c r="A19" s="393" t="s">
        <v>50</v>
      </c>
      <c r="B19" s="405" t="s">
        <v>717</v>
      </c>
      <c r="C19" s="400" t="s">
        <v>881</v>
      </c>
      <c r="D19" s="393">
        <v>101161</v>
      </c>
      <c r="E19" s="401">
        <v>8</v>
      </c>
    </row>
    <row r="20" spans="1:5">
      <c r="A20" s="393" t="s">
        <v>50</v>
      </c>
      <c r="B20" s="394" t="s">
        <v>68</v>
      </c>
      <c r="C20" s="404"/>
      <c r="D20" s="395">
        <v>101240</v>
      </c>
      <c r="E20" s="395">
        <v>9</v>
      </c>
    </row>
    <row r="21" spans="1:5">
      <c r="A21" s="393" t="s">
        <v>50</v>
      </c>
      <c r="B21" s="403" t="s">
        <v>702</v>
      </c>
      <c r="C21" s="1"/>
      <c r="D21" s="395">
        <v>101286</v>
      </c>
      <c r="E21" s="395">
        <v>9</v>
      </c>
    </row>
    <row r="22" spans="1:5">
      <c r="A22" s="393" t="s">
        <v>50</v>
      </c>
      <c r="B22" s="403" t="s">
        <v>703</v>
      </c>
      <c r="C22" s="396"/>
      <c r="D22" s="395">
        <v>101295</v>
      </c>
      <c r="E22" s="395">
        <v>9</v>
      </c>
    </row>
    <row r="23" spans="1:5">
      <c r="A23" s="393" t="s">
        <v>50</v>
      </c>
      <c r="B23" s="394" t="s">
        <v>69</v>
      </c>
      <c r="C23" s="1"/>
      <c r="D23" s="395">
        <v>101569</v>
      </c>
      <c r="E23" s="395">
        <v>9</v>
      </c>
    </row>
    <row r="24" spans="1:5">
      <c r="A24" s="393" t="s">
        <v>50</v>
      </c>
      <c r="B24" s="394" t="s">
        <v>70</v>
      </c>
      <c r="C24" s="1"/>
      <c r="D24" s="395">
        <v>101736</v>
      </c>
      <c r="E24" s="395">
        <v>9</v>
      </c>
    </row>
    <row r="25" spans="1:5">
      <c r="A25" s="393" t="s">
        <v>50</v>
      </c>
      <c r="B25" s="394" t="s">
        <v>71</v>
      </c>
      <c r="C25" s="1"/>
      <c r="D25" s="395">
        <v>102067</v>
      </c>
      <c r="E25" s="395">
        <v>9</v>
      </c>
    </row>
    <row r="26" spans="1:5">
      <c r="A26" s="393" t="s">
        <v>50</v>
      </c>
      <c r="B26" s="394" t="s">
        <v>72</v>
      </c>
      <c r="C26" s="1"/>
      <c r="D26" s="395">
        <v>251260</v>
      </c>
      <c r="E26" s="395">
        <v>9</v>
      </c>
    </row>
    <row r="27" spans="1:5">
      <c r="A27" s="393" t="s">
        <v>50</v>
      </c>
      <c r="B27" s="394" t="s">
        <v>73</v>
      </c>
      <c r="C27" s="404"/>
      <c r="D27" s="395">
        <v>100760</v>
      </c>
      <c r="E27" s="395">
        <v>10</v>
      </c>
    </row>
    <row r="28" spans="1:5">
      <c r="A28" s="393" t="s">
        <v>50</v>
      </c>
      <c r="B28" s="403" t="s">
        <v>704</v>
      </c>
      <c r="C28" s="1"/>
      <c r="D28" s="395">
        <v>101028</v>
      </c>
      <c r="E28" s="395">
        <v>10</v>
      </c>
    </row>
    <row r="29" spans="1:5">
      <c r="A29" s="393" t="s">
        <v>50</v>
      </c>
      <c r="B29" s="406" t="s">
        <v>705</v>
      </c>
      <c r="C29" s="396"/>
      <c r="D29" s="395">
        <v>101143</v>
      </c>
      <c r="E29" s="395">
        <v>10</v>
      </c>
    </row>
    <row r="30" spans="1:5">
      <c r="A30" s="393" t="s">
        <v>50</v>
      </c>
      <c r="B30" s="394" t="s">
        <v>74</v>
      </c>
      <c r="C30" s="1"/>
      <c r="D30" s="395">
        <v>101301</v>
      </c>
      <c r="E30" s="395">
        <v>10</v>
      </c>
    </row>
    <row r="31" spans="1:5">
      <c r="A31" s="393" t="s">
        <v>50</v>
      </c>
      <c r="B31" s="394" t="s">
        <v>75</v>
      </c>
      <c r="C31" s="1"/>
      <c r="D31" s="395">
        <v>101602</v>
      </c>
      <c r="E31" s="395">
        <v>10</v>
      </c>
    </row>
    <row r="32" spans="1:5">
      <c r="A32" s="393" t="s">
        <v>50</v>
      </c>
      <c r="B32" s="407" t="s">
        <v>706</v>
      </c>
      <c r="C32" s="329" t="s">
        <v>718</v>
      </c>
      <c r="D32" s="395">
        <v>101897</v>
      </c>
      <c r="E32" s="395">
        <v>10</v>
      </c>
    </row>
    <row r="33" spans="1:5">
      <c r="A33" s="393" t="s">
        <v>50</v>
      </c>
      <c r="B33" s="394" t="s">
        <v>76</v>
      </c>
      <c r="C33" s="329" t="s">
        <v>718</v>
      </c>
      <c r="D33" s="395">
        <v>102076</v>
      </c>
      <c r="E33" s="395">
        <v>10</v>
      </c>
    </row>
    <row r="34" spans="1:5">
      <c r="A34" s="393" t="s">
        <v>50</v>
      </c>
      <c r="B34" s="403" t="s">
        <v>707</v>
      </c>
      <c r="C34" s="404"/>
      <c r="D34" s="395">
        <v>102313</v>
      </c>
      <c r="E34" s="395">
        <v>12</v>
      </c>
    </row>
    <row r="35" spans="1:5">
      <c r="A35" s="393" t="s">
        <v>50</v>
      </c>
      <c r="B35" s="403" t="s">
        <v>708</v>
      </c>
      <c r="C35" s="1"/>
      <c r="D35" s="395">
        <v>101462</v>
      </c>
      <c r="E35" s="395">
        <v>13</v>
      </c>
    </row>
    <row r="36" spans="1:5">
      <c r="A36" s="393" t="s">
        <v>50</v>
      </c>
      <c r="B36" s="394" t="s">
        <v>77</v>
      </c>
      <c r="C36" s="1"/>
      <c r="D36" s="395">
        <v>101471</v>
      </c>
      <c r="E36" s="395">
        <v>13</v>
      </c>
    </row>
    <row r="37" spans="1:5">
      <c r="A37" s="393" t="s">
        <v>50</v>
      </c>
      <c r="B37" s="394" t="s">
        <v>78</v>
      </c>
      <c r="C37" s="1"/>
      <c r="D37" s="395">
        <v>101994</v>
      </c>
      <c r="E37" s="395">
        <v>13</v>
      </c>
    </row>
    <row r="38" spans="1:5">
      <c r="A38" s="393" t="s">
        <v>50</v>
      </c>
      <c r="B38" s="394" t="s">
        <v>79</v>
      </c>
      <c r="C38" s="1"/>
      <c r="D38" s="395">
        <v>101648</v>
      </c>
      <c r="E38" s="395">
        <v>15</v>
      </c>
    </row>
    <row r="39" spans="1:5">
      <c r="A39" s="408" t="s">
        <v>80</v>
      </c>
      <c r="B39" s="333" t="s">
        <v>83</v>
      </c>
      <c r="C39" s="334"/>
      <c r="D39" s="335">
        <v>106458</v>
      </c>
      <c r="E39" s="335">
        <v>3</v>
      </c>
    </row>
    <row r="40" spans="1:5">
      <c r="A40" s="408" t="s">
        <v>80</v>
      </c>
      <c r="B40" s="333" t="s">
        <v>84</v>
      </c>
      <c r="C40" s="336"/>
      <c r="D40" s="335">
        <v>106467</v>
      </c>
      <c r="E40" s="335">
        <v>3</v>
      </c>
    </row>
    <row r="41" spans="1:5">
      <c r="A41" s="408" t="s">
        <v>80</v>
      </c>
      <c r="B41" s="333" t="s">
        <v>86</v>
      </c>
      <c r="C41" s="334"/>
      <c r="D41" s="335">
        <v>107071</v>
      </c>
      <c r="E41" s="335">
        <v>4</v>
      </c>
    </row>
    <row r="42" spans="1:5">
      <c r="A42" s="408" t="s">
        <v>80</v>
      </c>
      <c r="B42" s="333" t="s">
        <v>87</v>
      </c>
      <c r="C42" s="336"/>
      <c r="D42" s="335">
        <v>107983</v>
      </c>
      <c r="E42" s="335">
        <v>4</v>
      </c>
    </row>
    <row r="43" spans="1:5">
      <c r="A43" s="408" t="s">
        <v>80</v>
      </c>
      <c r="B43" s="333" t="s">
        <v>81</v>
      </c>
      <c r="C43" s="334"/>
      <c r="D43" s="335">
        <v>106397</v>
      </c>
      <c r="E43" s="335">
        <v>1</v>
      </c>
    </row>
    <row r="44" spans="1:5">
      <c r="A44" s="408" t="s">
        <v>80</v>
      </c>
      <c r="B44" s="333" t="s">
        <v>89</v>
      </c>
      <c r="C44" s="334"/>
      <c r="D44" s="335">
        <v>108092</v>
      </c>
      <c r="E44" s="335">
        <v>6</v>
      </c>
    </row>
    <row r="45" spans="1:5">
      <c r="A45" s="408" t="s">
        <v>80</v>
      </c>
      <c r="B45" s="333" t="s">
        <v>82</v>
      </c>
      <c r="C45" s="334"/>
      <c r="D45" s="335">
        <v>106245</v>
      </c>
      <c r="E45" s="335">
        <v>2</v>
      </c>
    </row>
    <row r="46" spans="1:5">
      <c r="A46" s="408" t="s">
        <v>80</v>
      </c>
      <c r="B46" s="333" t="s">
        <v>88</v>
      </c>
      <c r="C46" s="334"/>
      <c r="D46" s="335">
        <v>106485</v>
      </c>
      <c r="E46" s="335">
        <v>4</v>
      </c>
    </row>
    <row r="47" spans="1:5">
      <c r="A47" s="408" t="s">
        <v>80</v>
      </c>
      <c r="B47" s="333" t="s">
        <v>109</v>
      </c>
      <c r="C47" s="334"/>
      <c r="D47" s="335">
        <v>106263</v>
      </c>
      <c r="E47" s="335">
        <v>15</v>
      </c>
    </row>
    <row r="48" spans="1:5">
      <c r="A48" s="408" t="s">
        <v>80</v>
      </c>
      <c r="B48" s="333" t="s">
        <v>90</v>
      </c>
      <c r="C48" s="440" t="s">
        <v>892</v>
      </c>
      <c r="D48" s="335">
        <v>106412</v>
      </c>
      <c r="E48" s="335">
        <v>6</v>
      </c>
    </row>
    <row r="49" spans="1:5">
      <c r="A49" s="408" t="s">
        <v>80</v>
      </c>
      <c r="B49" s="333" t="s">
        <v>85</v>
      </c>
      <c r="C49" s="334"/>
      <c r="D49" s="335">
        <v>106704</v>
      </c>
      <c r="E49" s="335">
        <v>3</v>
      </c>
    </row>
    <row r="50" spans="1:5">
      <c r="A50" s="408" t="s">
        <v>80</v>
      </c>
      <c r="B50" s="333" t="s">
        <v>94</v>
      </c>
      <c r="C50" s="334"/>
      <c r="D50" s="335">
        <v>107327</v>
      </c>
      <c r="E50" s="335">
        <v>10</v>
      </c>
    </row>
    <row r="51" spans="1:5">
      <c r="A51" s="408" t="s">
        <v>80</v>
      </c>
      <c r="B51" s="333" t="s">
        <v>92</v>
      </c>
      <c r="C51" s="334"/>
      <c r="D51" s="335">
        <v>106449</v>
      </c>
      <c r="E51" s="335">
        <v>9</v>
      </c>
    </row>
    <row r="52" spans="1:5">
      <c r="A52" s="408" t="s">
        <v>80</v>
      </c>
      <c r="B52" s="333" t="s">
        <v>96</v>
      </c>
      <c r="C52" s="334"/>
      <c r="D52" s="335">
        <v>420538</v>
      </c>
      <c r="E52" s="335">
        <v>10</v>
      </c>
    </row>
    <row r="53" spans="1:5">
      <c r="A53" s="408" t="s">
        <v>80</v>
      </c>
      <c r="B53" s="337" t="s">
        <v>95</v>
      </c>
      <c r="C53" s="334"/>
      <c r="D53" s="335">
        <v>107318</v>
      </c>
      <c r="E53" s="335">
        <v>10</v>
      </c>
    </row>
    <row r="54" spans="1:5">
      <c r="A54" s="408" t="s">
        <v>80</v>
      </c>
      <c r="B54" s="333" t="s">
        <v>97</v>
      </c>
      <c r="C54" s="334"/>
      <c r="D54" s="335">
        <v>440402</v>
      </c>
      <c r="E54" s="335">
        <v>10</v>
      </c>
    </row>
    <row r="55" spans="1:5">
      <c r="A55" s="408" t="s">
        <v>80</v>
      </c>
      <c r="B55" s="333" t="s">
        <v>720</v>
      </c>
      <c r="C55" s="334" t="s">
        <v>721</v>
      </c>
      <c r="D55" s="335">
        <v>107521</v>
      </c>
      <c r="E55" s="335">
        <v>10</v>
      </c>
    </row>
    <row r="56" spans="1:5">
      <c r="A56" s="408" t="s">
        <v>80</v>
      </c>
      <c r="B56" s="333" t="s">
        <v>98</v>
      </c>
      <c r="C56" s="334"/>
      <c r="D56" s="335">
        <v>106625</v>
      </c>
      <c r="E56" s="335">
        <v>10</v>
      </c>
    </row>
    <row r="57" spans="1:5">
      <c r="A57" s="408" t="s">
        <v>80</v>
      </c>
      <c r="B57" s="333" t="s">
        <v>99</v>
      </c>
      <c r="C57" s="334"/>
      <c r="D57" s="335">
        <v>106795</v>
      </c>
      <c r="E57" s="335">
        <v>10</v>
      </c>
    </row>
    <row r="58" spans="1:5">
      <c r="A58" s="335" t="s">
        <v>80</v>
      </c>
      <c r="B58" s="333" t="s">
        <v>100</v>
      </c>
      <c r="C58" s="334"/>
      <c r="D58" s="335">
        <v>106883</v>
      </c>
      <c r="E58" s="335">
        <v>10</v>
      </c>
    </row>
    <row r="59" spans="1:5">
      <c r="A59" s="408" t="s">
        <v>80</v>
      </c>
      <c r="B59" s="333" t="s">
        <v>101</v>
      </c>
      <c r="C59" s="334"/>
      <c r="D59" s="335">
        <v>107460</v>
      </c>
      <c r="E59" s="335">
        <v>10</v>
      </c>
    </row>
    <row r="60" spans="1:5">
      <c r="A60" s="335" t="s">
        <v>80</v>
      </c>
      <c r="B60" s="337" t="s">
        <v>93</v>
      </c>
      <c r="C60" s="336"/>
      <c r="D60" s="335">
        <v>106980</v>
      </c>
      <c r="E60" s="335">
        <v>10</v>
      </c>
    </row>
    <row r="61" spans="1:5">
      <c r="A61" s="408" t="s">
        <v>80</v>
      </c>
      <c r="B61" s="333" t="s">
        <v>91</v>
      </c>
      <c r="C61" s="440" t="s">
        <v>891</v>
      </c>
      <c r="D61" s="335">
        <v>367459</v>
      </c>
      <c r="E61" s="335">
        <v>8</v>
      </c>
    </row>
    <row r="62" spans="1:5">
      <c r="A62" s="408" t="s">
        <v>80</v>
      </c>
      <c r="B62" s="333" t="s">
        <v>102</v>
      </c>
      <c r="C62" s="334"/>
      <c r="D62" s="335">
        <v>107549</v>
      </c>
      <c r="E62" s="335">
        <v>10</v>
      </c>
    </row>
    <row r="63" spans="1:5">
      <c r="A63" s="408" t="s">
        <v>80</v>
      </c>
      <c r="B63" s="333" t="s">
        <v>103</v>
      </c>
      <c r="C63" s="334"/>
      <c r="D63" s="335">
        <v>107619</v>
      </c>
      <c r="E63" s="335">
        <v>10</v>
      </c>
    </row>
    <row r="64" spans="1:5">
      <c r="A64" s="408" t="s">
        <v>80</v>
      </c>
      <c r="B64" s="333" t="s">
        <v>104</v>
      </c>
      <c r="C64" s="334"/>
      <c r="D64" s="335">
        <v>107974</v>
      </c>
      <c r="E64" s="335">
        <v>10</v>
      </c>
    </row>
    <row r="65" spans="1:5">
      <c r="A65" s="335" t="s">
        <v>80</v>
      </c>
      <c r="B65" s="333" t="s">
        <v>106</v>
      </c>
      <c r="C65" s="334"/>
      <c r="D65" s="335">
        <v>107992</v>
      </c>
      <c r="E65" s="335">
        <v>10</v>
      </c>
    </row>
    <row r="66" spans="1:5">
      <c r="A66" s="408" t="s">
        <v>80</v>
      </c>
      <c r="B66" s="333" t="s">
        <v>105</v>
      </c>
      <c r="C66" s="334"/>
      <c r="D66" s="335">
        <v>107637</v>
      </c>
      <c r="E66" s="335">
        <v>10</v>
      </c>
    </row>
    <row r="67" spans="1:5">
      <c r="A67" s="335" t="s">
        <v>80</v>
      </c>
      <c r="B67" s="333" t="s">
        <v>107</v>
      </c>
      <c r="C67" s="334"/>
      <c r="D67" s="335">
        <v>106999</v>
      </c>
      <c r="E67" s="335">
        <v>10</v>
      </c>
    </row>
    <row r="68" spans="1:5">
      <c r="A68" s="408" t="s">
        <v>80</v>
      </c>
      <c r="B68" s="333" t="s">
        <v>722</v>
      </c>
      <c r="C68" s="334"/>
      <c r="D68" s="335">
        <v>107725</v>
      </c>
      <c r="E68" s="335">
        <v>10</v>
      </c>
    </row>
    <row r="69" spans="1:5">
      <c r="A69" s="335" t="s">
        <v>80</v>
      </c>
      <c r="B69" s="333" t="s">
        <v>108</v>
      </c>
      <c r="C69" s="334"/>
      <c r="D69" s="335">
        <v>107585</v>
      </c>
      <c r="E69" s="335">
        <v>10</v>
      </c>
    </row>
    <row r="70" spans="1:5">
      <c r="A70" s="408" t="s">
        <v>80</v>
      </c>
      <c r="B70" s="333" t="s">
        <v>710</v>
      </c>
      <c r="C70" s="334"/>
      <c r="D70" s="335">
        <v>107743</v>
      </c>
      <c r="E70" s="335">
        <v>10</v>
      </c>
    </row>
    <row r="71" spans="1:5">
      <c r="A71" s="335" t="s">
        <v>80</v>
      </c>
      <c r="B71" s="333" t="s">
        <v>709</v>
      </c>
      <c r="C71" s="336"/>
      <c r="D71" s="335">
        <v>107664</v>
      </c>
      <c r="E71" s="335">
        <v>9</v>
      </c>
    </row>
    <row r="72" spans="1:5">
      <c r="A72" s="338" t="s">
        <v>110</v>
      </c>
      <c r="B72" s="339" t="s">
        <v>111</v>
      </c>
      <c r="C72" s="340"/>
      <c r="D72" s="338">
        <v>130943</v>
      </c>
      <c r="E72" s="338">
        <v>1</v>
      </c>
    </row>
    <row r="73" spans="1:5">
      <c r="A73" s="409" t="s">
        <v>110</v>
      </c>
      <c r="B73" s="339" t="s">
        <v>112</v>
      </c>
      <c r="C73" s="341"/>
      <c r="D73" s="338">
        <v>130934</v>
      </c>
      <c r="E73" s="338">
        <v>3</v>
      </c>
    </row>
    <row r="74" spans="1:5">
      <c r="A74" s="409" t="s">
        <v>110</v>
      </c>
      <c r="B74" s="339" t="s">
        <v>113</v>
      </c>
      <c r="C74" s="340" t="s">
        <v>723</v>
      </c>
      <c r="D74" s="338">
        <v>130907</v>
      </c>
      <c r="E74" s="338">
        <v>9</v>
      </c>
    </row>
    <row r="75" spans="1:5">
      <c r="A75" s="39" t="s">
        <v>114</v>
      </c>
      <c r="B75" s="40"/>
      <c r="C75" s="49"/>
      <c r="D75" s="41"/>
      <c r="E75" s="41"/>
    </row>
    <row r="76" spans="1:5">
      <c r="A76" s="342" t="s">
        <v>114</v>
      </c>
      <c r="B76" s="343" t="s">
        <v>115</v>
      </c>
      <c r="C76" s="344"/>
      <c r="D76" s="342">
        <v>132693</v>
      </c>
      <c r="E76" s="342">
        <v>7</v>
      </c>
    </row>
    <row r="77" spans="1:5">
      <c r="A77" s="342" t="s">
        <v>114</v>
      </c>
      <c r="B77" s="343" t="s">
        <v>116</v>
      </c>
      <c r="C77" s="344"/>
      <c r="D77" s="342">
        <v>132709</v>
      </c>
      <c r="E77" s="342">
        <v>7</v>
      </c>
    </row>
    <row r="78" spans="1:5">
      <c r="A78" s="342" t="s">
        <v>114</v>
      </c>
      <c r="B78" s="343" t="s">
        <v>117</v>
      </c>
      <c r="C78" s="344"/>
      <c r="D78" s="342">
        <v>132851</v>
      </c>
      <c r="E78" s="342">
        <v>7</v>
      </c>
    </row>
    <row r="79" spans="1:5">
      <c r="A79" s="342" t="s">
        <v>114</v>
      </c>
      <c r="B79" s="343" t="s">
        <v>118</v>
      </c>
      <c r="C79" s="345"/>
      <c r="D79" s="342">
        <v>133021</v>
      </c>
      <c r="E79" s="342">
        <v>7</v>
      </c>
    </row>
    <row r="80" spans="1:5">
      <c r="A80" s="342" t="s">
        <v>114</v>
      </c>
      <c r="B80" s="343" t="s">
        <v>119</v>
      </c>
      <c r="C80" s="345"/>
      <c r="D80" s="342">
        <v>133386</v>
      </c>
      <c r="E80" s="342">
        <v>7</v>
      </c>
    </row>
    <row r="81" spans="1:5">
      <c r="A81" s="342" t="s">
        <v>114</v>
      </c>
      <c r="B81" s="343" t="s">
        <v>120</v>
      </c>
      <c r="C81" s="345"/>
      <c r="D81" s="342">
        <v>133508</v>
      </c>
      <c r="E81" s="342">
        <v>7</v>
      </c>
    </row>
    <row r="82" spans="1:5">
      <c r="A82" s="342" t="s">
        <v>114</v>
      </c>
      <c r="B82" s="343" t="s">
        <v>121</v>
      </c>
      <c r="C82" s="346"/>
      <c r="D82" s="342">
        <v>133702</v>
      </c>
      <c r="E82" s="342">
        <v>7</v>
      </c>
    </row>
    <row r="83" spans="1:5">
      <c r="A83" s="342" t="s">
        <v>114</v>
      </c>
      <c r="B83" s="343" t="s">
        <v>724</v>
      </c>
      <c r="C83" s="345" t="s">
        <v>725</v>
      </c>
      <c r="D83" s="342">
        <v>133960</v>
      </c>
      <c r="E83" s="342">
        <v>10</v>
      </c>
    </row>
    <row r="84" spans="1:5">
      <c r="A84" s="342" t="s">
        <v>114</v>
      </c>
      <c r="B84" s="343" t="s">
        <v>122</v>
      </c>
      <c r="C84" s="344"/>
      <c r="D84" s="342">
        <v>134343</v>
      </c>
      <c r="E84" s="342">
        <v>7</v>
      </c>
    </row>
    <row r="85" spans="1:5">
      <c r="A85" s="342" t="s">
        <v>114</v>
      </c>
      <c r="B85" s="343" t="s">
        <v>123</v>
      </c>
      <c r="C85" s="345"/>
      <c r="D85" s="342">
        <v>134495</v>
      </c>
      <c r="E85" s="342">
        <v>8</v>
      </c>
    </row>
    <row r="86" spans="1:5">
      <c r="A86" s="342" t="s">
        <v>114</v>
      </c>
      <c r="B86" s="343" t="s">
        <v>124</v>
      </c>
      <c r="C86" s="346"/>
      <c r="D86" s="342">
        <v>134608</v>
      </c>
      <c r="E86" s="342">
        <v>7</v>
      </c>
    </row>
    <row r="87" spans="1:5">
      <c r="A87" s="342" t="s">
        <v>114</v>
      </c>
      <c r="B87" s="343" t="s">
        <v>125</v>
      </c>
      <c r="C87" s="344"/>
      <c r="D87" s="342">
        <v>135160</v>
      </c>
      <c r="E87" s="342">
        <v>7</v>
      </c>
    </row>
    <row r="88" spans="1:5">
      <c r="A88" s="342" t="s">
        <v>114</v>
      </c>
      <c r="B88" s="343" t="s">
        <v>126</v>
      </c>
      <c r="C88" s="344"/>
      <c r="D88" s="342">
        <v>135188</v>
      </c>
      <c r="E88" s="342">
        <v>7</v>
      </c>
    </row>
    <row r="89" spans="1:5">
      <c r="A89" s="342" t="s">
        <v>114</v>
      </c>
      <c r="B89" s="343" t="s">
        <v>127</v>
      </c>
      <c r="C89" s="344"/>
      <c r="D89" s="342">
        <v>135391</v>
      </c>
      <c r="E89" s="342">
        <v>7</v>
      </c>
    </row>
    <row r="90" spans="1:5">
      <c r="A90" s="342" t="s">
        <v>114</v>
      </c>
      <c r="B90" s="343" t="s">
        <v>128</v>
      </c>
      <c r="C90" s="345"/>
      <c r="D90" s="342">
        <v>135717</v>
      </c>
      <c r="E90" s="342">
        <v>7</v>
      </c>
    </row>
    <row r="91" spans="1:5">
      <c r="A91" s="342" t="s">
        <v>114</v>
      </c>
      <c r="B91" s="343" t="s">
        <v>726</v>
      </c>
      <c r="C91" s="345" t="s">
        <v>723</v>
      </c>
      <c r="D91" s="342">
        <v>136145</v>
      </c>
      <c r="E91" s="342">
        <v>10</v>
      </c>
    </row>
    <row r="92" spans="1:5">
      <c r="A92" s="342" t="s">
        <v>114</v>
      </c>
      <c r="B92" s="343" t="s">
        <v>129</v>
      </c>
      <c r="C92" s="345"/>
      <c r="D92" s="342">
        <v>136233</v>
      </c>
      <c r="E92" s="342">
        <v>7</v>
      </c>
    </row>
    <row r="93" spans="1:5">
      <c r="A93" s="342" t="s">
        <v>114</v>
      </c>
      <c r="B93" s="343" t="s">
        <v>130</v>
      </c>
      <c r="C93" s="344"/>
      <c r="D93" s="342">
        <v>136358</v>
      </c>
      <c r="E93" s="342">
        <v>7</v>
      </c>
    </row>
    <row r="94" spans="1:5">
      <c r="A94" s="342" t="s">
        <v>114</v>
      </c>
      <c r="B94" s="343" t="s">
        <v>131</v>
      </c>
      <c r="C94" s="344"/>
      <c r="D94" s="342">
        <v>136400</v>
      </c>
      <c r="E94" s="342">
        <v>7</v>
      </c>
    </row>
    <row r="95" spans="1:5">
      <c r="A95" s="342" t="s">
        <v>114</v>
      </c>
      <c r="B95" s="343" t="s">
        <v>132</v>
      </c>
      <c r="C95" s="344"/>
      <c r="D95" s="342">
        <v>136473</v>
      </c>
      <c r="E95" s="342">
        <v>7</v>
      </c>
    </row>
    <row r="96" spans="1:5">
      <c r="A96" s="342" t="s">
        <v>114</v>
      </c>
      <c r="B96" s="343" t="s">
        <v>133</v>
      </c>
      <c r="C96" s="344"/>
      <c r="D96" s="342">
        <v>136516</v>
      </c>
      <c r="E96" s="342">
        <v>7</v>
      </c>
    </row>
    <row r="97" spans="1:5">
      <c r="A97" s="342" t="s">
        <v>114</v>
      </c>
      <c r="B97" s="343" t="s">
        <v>134</v>
      </c>
      <c r="C97" s="344"/>
      <c r="D97" s="342">
        <v>137281</v>
      </c>
      <c r="E97" s="342">
        <v>7</v>
      </c>
    </row>
    <row r="98" spans="1:5">
      <c r="A98" s="342" t="s">
        <v>114</v>
      </c>
      <c r="B98" s="343" t="s">
        <v>135</v>
      </c>
      <c r="C98" s="345"/>
      <c r="D98" s="342">
        <v>137078</v>
      </c>
      <c r="E98" s="342">
        <v>7</v>
      </c>
    </row>
    <row r="99" spans="1:5">
      <c r="A99" s="342" t="s">
        <v>114</v>
      </c>
      <c r="B99" s="343" t="s">
        <v>136</v>
      </c>
      <c r="C99" s="344"/>
      <c r="D99" s="342">
        <v>137096</v>
      </c>
      <c r="E99" s="342">
        <v>7</v>
      </c>
    </row>
    <row r="100" spans="1:5">
      <c r="A100" s="342" t="s">
        <v>114</v>
      </c>
      <c r="B100" s="343" t="s">
        <v>137</v>
      </c>
      <c r="C100" s="344"/>
      <c r="D100" s="342">
        <v>137209</v>
      </c>
      <c r="E100" s="342">
        <v>7</v>
      </c>
    </row>
    <row r="101" spans="1:5">
      <c r="A101" s="342" t="s">
        <v>114</v>
      </c>
      <c r="B101" s="343" t="s">
        <v>138</v>
      </c>
      <c r="C101" s="344"/>
      <c r="D101" s="342">
        <v>137315</v>
      </c>
      <c r="E101" s="342">
        <v>7</v>
      </c>
    </row>
    <row r="102" spans="1:5">
      <c r="A102" s="342" t="s">
        <v>114</v>
      </c>
      <c r="B102" s="343" t="s">
        <v>139</v>
      </c>
      <c r="C102" s="345" t="s">
        <v>723</v>
      </c>
      <c r="D102" s="342">
        <v>137759</v>
      </c>
      <c r="E102" s="342">
        <v>8</v>
      </c>
    </row>
    <row r="103" spans="1:5">
      <c r="A103" s="342" t="s">
        <v>114</v>
      </c>
      <c r="B103" s="343" t="s">
        <v>140</v>
      </c>
      <c r="C103" s="344"/>
      <c r="D103" s="342">
        <v>138187</v>
      </c>
      <c r="E103" s="342">
        <v>7</v>
      </c>
    </row>
    <row r="104" spans="1:5">
      <c r="A104" s="410" t="s">
        <v>141</v>
      </c>
      <c r="B104" s="347" t="s">
        <v>711</v>
      </c>
      <c r="C104" s="348"/>
      <c r="D104" s="349">
        <v>139940</v>
      </c>
      <c r="E104" s="350">
        <v>1</v>
      </c>
    </row>
    <row r="105" spans="1:5">
      <c r="A105" s="410" t="s">
        <v>141</v>
      </c>
      <c r="B105" s="347" t="s">
        <v>142</v>
      </c>
      <c r="C105" s="348"/>
      <c r="D105" s="349">
        <v>139959</v>
      </c>
      <c r="E105" s="350">
        <v>1</v>
      </c>
    </row>
    <row r="106" spans="1:5">
      <c r="A106" s="410" t="s">
        <v>141</v>
      </c>
      <c r="B106" s="347" t="s">
        <v>143</v>
      </c>
      <c r="C106" s="348"/>
      <c r="D106" s="349">
        <v>139755</v>
      </c>
      <c r="E106" s="350">
        <v>2</v>
      </c>
    </row>
    <row r="107" spans="1:5">
      <c r="A107" s="410" t="s">
        <v>141</v>
      </c>
      <c r="B107" s="347" t="s">
        <v>144</v>
      </c>
      <c r="C107" s="348" t="s">
        <v>727</v>
      </c>
      <c r="D107" s="349">
        <v>139931</v>
      </c>
      <c r="E107" s="350">
        <v>3</v>
      </c>
    </row>
    <row r="108" spans="1:5">
      <c r="A108" s="410" t="s">
        <v>141</v>
      </c>
      <c r="B108" s="347" t="s">
        <v>145</v>
      </c>
      <c r="C108" s="348" t="s">
        <v>727</v>
      </c>
      <c r="D108" s="349">
        <v>486840</v>
      </c>
      <c r="E108" s="350">
        <v>3</v>
      </c>
    </row>
    <row r="109" spans="1:5">
      <c r="A109" s="410" t="s">
        <v>141</v>
      </c>
      <c r="B109" s="347" t="s">
        <v>146</v>
      </c>
      <c r="C109" s="348"/>
      <c r="D109" s="349">
        <v>141334</v>
      </c>
      <c r="E109" s="350">
        <v>3</v>
      </c>
    </row>
    <row r="110" spans="1:5">
      <c r="A110" s="410" t="s">
        <v>141</v>
      </c>
      <c r="B110" s="347" t="s">
        <v>147</v>
      </c>
      <c r="C110" s="348"/>
      <c r="D110" s="349">
        <v>141264</v>
      </c>
      <c r="E110" s="350">
        <v>3</v>
      </c>
    </row>
    <row r="111" spans="1:5">
      <c r="A111" s="410" t="s">
        <v>141</v>
      </c>
      <c r="B111" s="347" t="s">
        <v>148</v>
      </c>
      <c r="C111" s="348"/>
      <c r="D111" s="349">
        <v>138716</v>
      </c>
      <c r="E111" s="350">
        <v>4</v>
      </c>
    </row>
    <row r="112" spans="1:5">
      <c r="A112" s="410" t="s">
        <v>141</v>
      </c>
      <c r="B112" s="351" t="s">
        <v>712</v>
      </c>
      <c r="C112" s="348"/>
      <c r="D112" s="349">
        <v>482149</v>
      </c>
      <c r="E112" s="350">
        <v>4</v>
      </c>
    </row>
    <row r="113" spans="1:5">
      <c r="A113" s="410" t="s">
        <v>141</v>
      </c>
      <c r="B113" s="347" t="s">
        <v>149</v>
      </c>
      <c r="C113" s="352"/>
      <c r="D113" s="349">
        <v>139311</v>
      </c>
      <c r="E113" s="350">
        <v>4</v>
      </c>
    </row>
    <row r="114" spans="1:5">
      <c r="A114" s="410" t="s">
        <v>141</v>
      </c>
      <c r="B114" s="347" t="s">
        <v>150</v>
      </c>
      <c r="C114" s="348" t="s">
        <v>715</v>
      </c>
      <c r="D114" s="349">
        <v>139366</v>
      </c>
      <c r="E114" s="350">
        <v>4</v>
      </c>
    </row>
    <row r="115" spans="1:5">
      <c r="A115" s="410" t="s">
        <v>141</v>
      </c>
      <c r="B115" s="347" t="s">
        <v>151</v>
      </c>
      <c r="C115" s="411" t="s">
        <v>882</v>
      </c>
      <c r="D115" s="412">
        <v>139719</v>
      </c>
      <c r="E115" s="413">
        <v>5</v>
      </c>
    </row>
    <row r="116" spans="1:5">
      <c r="A116" s="410" t="s">
        <v>141</v>
      </c>
      <c r="B116" s="347" t="s">
        <v>152</v>
      </c>
      <c r="C116" s="348"/>
      <c r="D116" s="349">
        <v>139861</v>
      </c>
      <c r="E116" s="350">
        <v>4</v>
      </c>
    </row>
    <row r="117" spans="1:5">
      <c r="A117" s="410" t="s">
        <v>141</v>
      </c>
      <c r="B117" s="347" t="s">
        <v>154</v>
      </c>
      <c r="C117" s="348" t="s">
        <v>716</v>
      </c>
      <c r="D117" s="349">
        <v>139764</v>
      </c>
      <c r="E117" s="350">
        <v>4</v>
      </c>
    </row>
    <row r="118" spans="1:5">
      <c r="A118" s="410" t="s">
        <v>141</v>
      </c>
      <c r="B118" s="347" t="s">
        <v>153</v>
      </c>
      <c r="C118" s="348"/>
      <c r="D118" s="350">
        <v>482680</v>
      </c>
      <c r="E118" s="350">
        <v>4</v>
      </c>
    </row>
    <row r="119" spans="1:5">
      <c r="A119" s="410" t="s">
        <v>141</v>
      </c>
      <c r="B119" s="347" t="s">
        <v>155</v>
      </c>
      <c r="C119" s="441" t="s">
        <v>892</v>
      </c>
      <c r="D119" s="349">
        <v>140960</v>
      </c>
      <c r="E119" s="350">
        <v>5</v>
      </c>
    </row>
    <row r="120" spans="1:5">
      <c r="A120" s="410" t="s">
        <v>141</v>
      </c>
      <c r="B120" s="347" t="s">
        <v>160</v>
      </c>
      <c r="C120" s="348"/>
      <c r="D120" s="349">
        <v>138558</v>
      </c>
      <c r="E120" s="414">
        <v>6</v>
      </c>
    </row>
    <row r="121" spans="1:5">
      <c r="A121" s="410" t="s">
        <v>141</v>
      </c>
      <c r="B121" s="347" t="s">
        <v>156</v>
      </c>
      <c r="C121" s="352"/>
      <c r="D121" s="349">
        <v>139250</v>
      </c>
      <c r="E121" s="350">
        <v>6</v>
      </c>
    </row>
    <row r="122" spans="1:5">
      <c r="A122" s="410" t="s">
        <v>141</v>
      </c>
      <c r="B122" s="347" t="s">
        <v>157</v>
      </c>
      <c r="C122" s="352"/>
      <c r="D122" s="349">
        <v>139463</v>
      </c>
      <c r="E122" s="350">
        <v>6</v>
      </c>
    </row>
    <row r="123" spans="1:5">
      <c r="A123" s="410" t="s">
        <v>141</v>
      </c>
      <c r="B123" s="347" t="s">
        <v>158</v>
      </c>
      <c r="C123" s="352"/>
      <c r="D123" s="349">
        <v>447689</v>
      </c>
      <c r="E123" s="350">
        <v>6</v>
      </c>
    </row>
    <row r="124" spans="1:5">
      <c r="A124" s="410" t="s">
        <v>141</v>
      </c>
      <c r="B124" s="347" t="s">
        <v>164</v>
      </c>
      <c r="C124" s="348"/>
      <c r="D124" s="349">
        <v>139968</v>
      </c>
      <c r="E124" s="350">
        <v>6</v>
      </c>
    </row>
    <row r="125" spans="1:5">
      <c r="A125" s="410" t="s">
        <v>141</v>
      </c>
      <c r="B125" s="347" t="s">
        <v>159</v>
      </c>
      <c r="C125" s="411" t="s">
        <v>882</v>
      </c>
      <c r="D125" s="350">
        <v>482158</v>
      </c>
      <c r="E125" s="350">
        <v>6</v>
      </c>
    </row>
    <row r="126" spans="1:5">
      <c r="A126" s="410" t="s">
        <v>141</v>
      </c>
      <c r="B126" s="347" t="s">
        <v>161</v>
      </c>
      <c r="C126" s="352"/>
      <c r="D126" s="349">
        <v>138901</v>
      </c>
      <c r="E126" s="350">
        <v>7</v>
      </c>
    </row>
    <row r="127" spans="1:5">
      <c r="A127" s="410" t="s">
        <v>141</v>
      </c>
      <c r="B127" s="347" t="s">
        <v>162</v>
      </c>
      <c r="C127" s="352"/>
      <c r="D127" s="349">
        <v>139621</v>
      </c>
      <c r="E127" s="350">
        <v>7</v>
      </c>
    </row>
    <row r="128" spans="1:5">
      <c r="A128" s="410" t="s">
        <v>141</v>
      </c>
      <c r="B128" s="347" t="s">
        <v>163</v>
      </c>
      <c r="C128" s="352"/>
      <c r="D128" s="349">
        <v>139700</v>
      </c>
      <c r="E128" s="350">
        <v>7</v>
      </c>
    </row>
    <row r="129" spans="1:5">
      <c r="A129" s="410" t="s">
        <v>141</v>
      </c>
      <c r="B129" s="347" t="s">
        <v>165</v>
      </c>
      <c r="C129" s="352"/>
      <c r="D129" s="350">
        <v>482699</v>
      </c>
      <c r="E129" s="350">
        <v>7</v>
      </c>
    </row>
    <row r="130" spans="1:5">
      <c r="A130" s="415" t="s">
        <v>141</v>
      </c>
      <c r="B130" s="332" t="s">
        <v>166</v>
      </c>
      <c r="C130" s="329"/>
      <c r="D130" s="331">
        <v>138682</v>
      </c>
      <c r="E130" s="331">
        <v>12</v>
      </c>
    </row>
    <row r="131" spans="1:5">
      <c r="A131" s="415" t="s">
        <v>141</v>
      </c>
      <c r="B131" s="332" t="s">
        <v>167</v>
      </c>
      <c r="C131" s="329"/>
      <c r="D131" s="331">
        <v>246813</v>
      </c>
      <c r="E131" s="331">
        <v>12</v>
      </c>
    </row>
    <row r="132" spans="1:5">
      <c r="A132" s="415" t="s">
        <v>141</v>
      </c>
      <c r="B132" s="332" t="s">
        <v>168</v>
      </c>
      <c r="C132" s="329"/>
      <c r="D132" s="331">
        <v>138840</v>
      </c>
      <c r="E132" s="331">
        <v>12</v>
      </c>
    </row>
    <row r="133" spans="1:5">
      <c r="A133" s="415" t="s">
        <v>141</v>
      </c>
      <c r="B133" s="332" t="s">
        <v>169</v>
      </c>
      <c r="C133" s="332"/>
      <c r="D133" s="331">
        <v>138956</v>
      </c>
      <c r="E133" s="331">
        <v>12</v>
      </c>
    </row>
    <row r="134" spans="1:5">
      <c r="A134" s="415" t="s">
        <v>141</v>
      </c>
      <c r="B134" s="332" t="s">
        <v>170</v>
      </c>
      <c r="C134" s="332"/>
      <c r="D134" s="331">
        <v>483045</v>
      </c>
      <c r="E134" s="331">
        <v>12</v>
      </c>
    </row>
    <row r="135" spans="1:5">
      <c r="A135" s="415" t="s">
        <v>141</v>
      </c>
      <c r="B135" s="332" t="s">
        <v>171</v>
      </c>
      <c r="C135" s="332"/>
      <c r="D135" s="331">
        <v>140331</v>
      </c>
      <c r="E135" s="331">
        <v>12</v>
      </c>
    </row>
    <row r="136" spans="1:5">
      <c r="A136" s="415" t="s">
        <v>141</v>
      </c>
      <c r="B136" s="354" t="s">
        <v>172</v>
      </c>
      <c r="C136" s="332"/>
      <c r="D136" s="355">
        <v>485458</v>
      </c>
      <c r="E136" s="331">
        <v>12</v>
      </c>
    </row>
    <row r="137" spans="1:5">
      <c r="A137" s="415" t="s">
        <v>141</v>
      </c>
      <c r="B137" s="332" t="s">
        <v>173</v>
      </c>
      <c r="C137" s="332"/>
      <c r="D137" s="331">
        <v>139357</v>
      </c>
      <c r="E137" s="331">
        <v>12</v>
      </c>
    </row>
    <row r="138" spans="1:5">
      <c r="A138" s="415" t="s">
        <v>141</v>
      </c>
      <c r="B138" s="332" t="s">
        <v>174</v>
      </c>
      <c r="C138" s="332"/>
      <c r="D138" s="331">
        <v>139384</v>
      </c>
      <c r="E138" s="331">
        <v>12</v>
      </c>
    </row>
    <row r="139" spans="1:5">
      <c r="A139" s="415" t="s">
        <v>141</v>
      </c>
      <c r="B139" s="332" t="s">
        <v>175</v>
      </c>
      <c r="C139" s="332"/>
      <c r="D139" s="331">
        <v>244446</v>
      </c>
      <c r="E139" s="331">
        <v>12</v>
      </c>
    </row>
    <row r="140" spans="1:5">
      <c r="A140" s="415" t="s">
        <v>141</v>
      </c>
      <c r="B140" s="332" t="s">
        <v>176</v>
      </c>
      <c r="C140" s="332"/>
      <c r="D140" s="331">
        <v>140012</v>
      </c>
      <c r="E140" s="331">
        <v>12</v>
      </c>
    </row>
    <row r="141" spans="1:5">
      <c r="A141" s="415" t="s">
        <v>141</v>
      </c>
      <c r="B141" s="332" t="s">
        <v>177</v>
      </c>
      <c r="C141" s="332"/>
      <c r="D141" s="331">
        <v>140243</v>
      </c>
      <c r="E141" s="331">
        <v>12</v>
      </c>
    </row>
    <row r="142" spans="1:5">
      <c r="A142" s="415" t="s">
        <v>141</v>
      </c>
      <c r="B142" s="332" t="s">
        <v>178</v>
      </c>
      <c r="C142" s="332"/>
      <c r="D142" s="331">
        <v>140678</v>
      </c>
      <c r="E142" s="331">
        <v>12</v>
      </c>
    </row>
    <row r="143" spans="1:5">
      <c r="A143" s="415" t="s">
        <v>141</v>
      </c>
      <c r="B143" s="332" t="s">
        <v>179</v>
      </c>
      <c r="C143" s="329"/>
      <c r="D143" s="331">
        <v>420431</v>
      </c>
      <c r="E143" s="331">
        <v>12</v>
      </c>
    </row>
    <row r="144" spans="1:5">
      <c r="A144" s="331" t="s">
        <v>141</v>
      </c>
      <c r="B144" s="332" t="s">
        <v>180</v>
      </c>
      <c r="C144" s="332"/>
      <c r="D144" s="331">
        <v>366465</v>
      </c>
      <c r="E144" s="331">
        <v>12</v>
      </c>
    </row>
    <row r="145" spans="1:5">
      <c r="A145" s="331" t="s">
        <v>141</v>
      </c>
      <c r="B145" s="332" t="s">
        <v>181</v>
      </c>
      <c r="C145" s="332"/>
      <c r="D145" s="331">
        <v>140942</v>
      </c>
      <c r="E145" s="331">
        <v>12</v>
      </c>
    </row>
    <row r="146" spans="1:5">
      <c r="A146" s="331" t="s">
        <v>141</v>
      </c>
      <c r="B146" s="332" t="s">
        <v>182</v>
      </c>
      <c r="C146" s="332"/>
      <c r="D146" s="331">
        <v>141006</v>
      </c>
      <c r="E146" s="331">
        <v>12</v>
      </c>
    </row>
    <row r="147" spans="1:5">
      <c r="A147" s="331" t="s">
        <v>141</v>
      </c>
      <c r="B147" s="332" t="s">
        <v>183</v>
      </c>
      <c r="C147" s="332"/>
      <c r="D147" s="331">
        <v>368911</v>
      </c>
      <c r="E147" s="331">
        <v>12</v>
      </c>
    </row>
    <row r="148" spans="1:5">
      <c r="A148" s="331" t="s">
        <v>141</v>
      </c>
      <c r="B148" s="332" t="s">
        <v>184</v>
      </c>
      <c r="C148" s="332"/>
      <c r="D148" s="331">
        <v>139986</v>
      </c>
      <c r="E148" s="331">
        <v>12</v>
      </c>
    </row>
    <row r="149" spans="1:5">
      <c r="A149" s="331" t="s">
        <v>141</v>
      </c>
      <c r="B149" s="354" t="s">
        <v>185</v>
      </c>
      <c r="C149" s="332"/>
      <c r="D149" s="355">
        <v>487162</v>
      </c>
      <c r="E149" s="331">
        <v>12</v>
      </c>
    </row>
    <row r="150" spans="1:5">
      <c r="A150" s="331" t="s">
        <v>141</v>
      </c>
      <c r="B150" s="332" t="s">
        <v>186</v>
      </c>
      <c r="C150" s="332"/>
      <c r="D150" s="331">
        <v>139278</v>
      </c>
      <c r="E150" s="331">
        <v>12</v>
      </c>
    </row>
    <row r="151" spans="1:5">
      <c r="A151" s="331" t="s">
        <v>141</v>
      </c>
      <c r="B151" s="332" t="s">
        <v>187</v>
      </c>
      <c r="C151" s="332"/>
      <c r="D151" s="331">
        <v>141255</v>
      </c>
      <c r="E151" s="331">
        <v>12</v>
      </c>
    </row>
    <row r="152" spans="1:5">
      <c r="A152" s="335" t="s">
        <v>188</v>
      </c>
      <c r="B152" s="333" t="s">
        <v>189</v>
      </c>
      <c r="C152" s="334"/>
      <c r="D152" s="335">
        <v>157085</v>
      </c>
      <c r="E152" s="335">
        <v>1</v>
      </c>
    </row>
    <row r="153" spans="1:5">
      <c r="A153" s="335" t="s">
        <v>188</v>
      </c>
      <c r="B153" s="333" t="s">
        <v>190</v>
      </c>
      <c r="C153" s="334"/>
      <c r="D153" s="335">
        <v>157289</v>
      </c>
      <c r="E153" s="335">
        <v>1</v>
      </c>
    </row>
    <row r="154" spans="1:5">
      <c r="A154" s="335" t="s">
        <v>188</v>
      </c>
      <c r="B154" s="333" t="s">
        <v>191</v>
      </c>
      <c r="C154" s="334"/>
      <c r="D154" s="335">
        <v>156620</v>
      </c>
      <c r="E154" s="335">
        <v>3</v>
      </c>
    </row>
    <row r="155" spans="1:5">
      <c r="A155" s="335" t="s">
        <v>188</v>
      </c>
      <c r="B155" s="333" t="s">
        <v>192</v>
      </c>
      <c r="C155" s="334"/>
      <c r="D155" s="335">
        <v>157386</v>
      </c>
      <c r="E155" s="335">
        <v>3</v>
      </c>
    </row>
    <row r="156" spans="1:5">
      <c r="A156" s="335" t="s">
        <v>188</v>
      </c>
      <c r="B156" s="333" t="s">
        <v>193</v>
      </c>
      <c r="C156" s="334"/>
      <c r="D156" s="335">
        <v>157401</v>
      </c>
      <c r="E156" s="335">
        <v>3</v>
      </c>
    </row>
    <row r="157" spans="1:5">
      <c r="A157" s="335" t="s">
        <v>188</v>
      </c>
      <c r="B157" s="333" t="s">
        <v>194</v>
      </c>
      <c r="C157" s="336"/>
      <c r="D157" s="335">
        <v>157447</v>
      </c>
      <c r="E157" s="335">
        <v>3</v>
      </c>
    </row>
    <row r="158" spans="1:5">
      <c r="A158" s="335" t="s">
        <v>188</v>
      </c>
      <c r="B158" s="333" t="s">
        <v>195</v>
      </c>
      <c r="C158" s="334"/>
      <c r="D158" s="335">
        <v>157951</v>
      </c>
      <c r="E158" s="335">
        <v>3</v>
      </c>
    </row>
    <row r="159" spans="1:5">
      <c r="A159" s="335" t="s">
        <v>188</v>
      </c>
      <c r="B159" s="333" t="s">
        <v>196</v>
      </c>
      <c r="C159" s="440" t="s">
        <v>893</v>
      </c>
      <c r="D159" s="335">
        <v>157058</v>
      </c>
      <c r="E159" s="335">
        <v>4</v>
      </c>
    </row>
    <row r="160" spans="1:5">
      <c r="A160" s="335" t="s">
        <v>188</v>
      </c>
      <c r="B160" s="333" t="s">
        <v>197</v>
      </c>
      <c r="C160" s="334" t="s">
        <v>747</v>
      </c>
      <c r="D160" s="356">
        <v>156392</v>
      </c>
      <c r="E160" s="335">
        <v>8</v>
      </c>
    </row>
    <row r="161" spans="1:5">
      <c r="A161" s="335" t="s">
        <v>188</v>
      </c>
      <c r="B161" s="333" t="s">
        <v>198</v>
      </c>
      <c r="C161" s="334"/>
      <c r="D161" s="335">
        <v>156921</v>
      </c>
      <c r="E161" s="335">
        <v>8</v>
      </c>
    </row>
    <row r="162" spans="1:5">
      <c r="A162" s="335" t="s">
        <v>188</v>
      </c>
      <c r="B162" s="333" t="s">
        <v>200</v>
      </c>
      <c r="C162" s="440" t="s">
        <v>894</v>
      </c>
      <c r="D162" s="335">
        <v>157553</v>
      </c>
      <c r="E162" s="335">
        <v>9</v>
      </c>
    </row>
    <row r="163" spans="1:5">
      <c r="A163" s="335" t="s">
        <v>188</v>
      </c>
      <c r="B163" s="333" t="s">
        <v>201</v>
      </c>
      <c r="C163" s="334"/>
      <c r="D163" s="335">
        <v>156648</v>
      </c>
      <c r="E163" s="335">
        <v>9</v>
      </c>
    </row>
    <row r="164" spans="1:5">
      <c r="A164" s="335" t="s">
        <v>188</v>
      </c>
      <c r="B164" s="333" t="s">
        <v>204</v>
      </c>
      <c r="C164" s="334"/>
      <c r="D164" s="335">
        <v>157331</v>
      </c>
      <c r="E164" s="335">
        <v>9</v>
      </c>
    </row>
    <row r="165" spans="1:5">
      <c r="A165" s="335" t="s">
        <v>188</v>
      </c>
      <c r="B165" s="333" t="s">
        <v>205</v>
      </c>
      <c r="C165" s="334"/>
      <c r="D165" s="335">
        <v>247940</v>
      </c>
      <c r="E165" s="335">
        <v>9</v>
      </c>
    </row>
    <row r="166" spans="1:5">
      <c r="A166" s="335" t="s">
        <v>188</v>
      </c>
      <c r="B166" s="333" t="s">
        <v>206</v>
      </c>
      <c r="C166" s="334"/>
      <c r="D166" s="335">
        <v>157711</v>
      </c>
      <c r="E166" s="335">
        <v>9</v>
      </c>
    </row>
    <row r="167" spans="1:5">
      <c r="A167" s="335" t="s">
        <v>188</v>
      </c>
      <c r="B167" s="333" t="s">
        <v>208</v>
      </c>
      <c r="C167" s="334"/>
      <c r="D167" s="335">
        <v>157483</v>
      </c>
      <c r="E167" s="335">
        <v>9</v>
      </c>
    </row>
    <row r="168" spans="1:5">
      <c r="A168" s="335" t="s">
        <v>188</v>
      </c>
      <c r="B168" s="333" t="s">
        <v>199</v>
      </c>
      <c r="C168" s="334"/>
      <c r="D168" s="335">
        <v>156231</v>
      </c>
      <c r="E168" s="335">
        <v>10</v>
      </c>
    </row>
    <row r="169" spans="1:5">
      <c r="A169" s="335" t="s">
        <v>188</v>
      </c>
      <c r="B169" s="333" t="s">
        <v>209</v>
      </c>
      <c r="C169" s="336"/>
      <c r="D169" s="335">
        <v>156790</v>
      </c>
      <c r="E169" s="335">
        <v>10</v>
      </c>
    </row>
    <row r="170" spans="1:5">
      <c r="A170" s="335" t="s">
        <v>188</v>
      </c>
      <c r="B170" s="333" t="s">
        <v>210</v>
      </c>
      <c r="C170" s="334"/>
      <c r="D170" s="335">
        <v>156851</v>
      </c>
      <c r="E170" s="335">
        <v>10</v>
      </c>
    </row>
    <row r="171" spans="1:5">
      <c r="A171" s="335" t="s">
        <v>188</v>
      </c>
      <c r="B171" s="333" t="s">
        <v>202</v>
      </c>
      <c r="C171" s="336"/>
      <c r="D171" s="335">
        <v>156860</v>
      </c>
      <c r="E171" s="335">
        <v>10</v>
      </c>
    </row>
    <row r="172" spans="1:5">
      <c r="A172" s="335" t="s">
        <v>188</v>
      </c>
      <c r="B172" s="333" t="s">
        <v>203</v>
      </c>
      <c r="C172" s="336"/>
      <c r="D172" s="335">
        <v>157304</v>
      </c>
      <c r="E172" s="335">
        <v>10</v>
      </c>
    </row>
    <row r="173" spans="1:5">
      <c r="A173" s="357" t="s">
        <v>188</v>
      </c>
      <c r="B173" s="333" t="s">
        <v>207</v>
      </c>
      <c r="C173" s="336"/>
      <c r="D173" s="335">
        <v>157739</v>
      </c>
      <c r="E173" s="335">
        <v>10</v>
      </c>
    </row>
    <row r="174" spans="1:5">
      <c r="A174" s="335" t="s">
        <v>188</v>
      </c>
      <c r="B174" s="333" t="s">
        <v>211</v>
      </c>
      <c r="C174" s="334"/>
      <c r="D174" s="335">
        <v>157438</v>
      </c>
      <c r="E174" s="335">
        <v>12</v>
      </c>
    </row>
    <row r="175" spans="1:5">
      <c r="A175" s="335" t="s">
        <v>188</v>
      </c>
      <c r="B175" s="333" t="s">
        <v>212</v>
      </c>
      <c r="C175" s="334"/>
      <c r="D175" s="335">
        <v>156338</v>
      </c>
      <c r="E175" s="335">
        <v>12</v>
      </c>
    </row>
    <row r="176" spans="1:5">
      <c r="A176" s="416" t="s">
        <v>213</v>
      </c>
      <c r="B176" s="358" t="s">
        <v>214</v>
      </c>
      <c r="C176" s="359"/>
      <c r="D176" s="360">
        <v>159391</v>
      </c>
      <c r="E176" s="360">
        <v>1</v>
      </c>
    </row>
    <row r="177" spans="1:5">
      <c r="A177" s="416" t="s">
        <v>213</v>
      </c>
      <c r="B177" s="358" t="s">
        <v>215</v>
      </c>
      <c r="C177" s="359"/>
      <c r="D177" s="360">
        <v>159647</v>
      </c>
      <c r="E177" s="360">
        <v>2</v>
      </c>
    </row>
    <row r="178" spans="1:5">
      <c r="A178" s="416" t="s">
        <v>213</v>
      </c>
      <c r="B178" s="358" t="s">
        <v>216</v>
      </c>
      <c r="C178" s="359"/>
      <c r="D178" s="360">
        <v>160658</v>
      </c>
      <c r="E178" s="360">
        <v>2</v>
      </c>
    </row>
    <row r="179" spans="1:5">
      <c r="A179" s="416" t="s">
        <v>213</v>
      </c>
      <c r="B179" s="358" t="s">
        <v>217</v>
      </c>
      <c r="C179" s="359"/>
      <c r="D179" s="360">
        <v>159939</v>
      </c>
      <c r="E179" s="360">
        <v>2</v>
      </c>
    </row>
    <row r="180" spans="1:5">
      <c r="A180" s="416" t="s">
        <v>213</v>
      </c>
      <c r="B180" s="358" t="s">
        <v>223</v>
      </c>
      <c r="C180" s="361"/>
      <c r="D180" s="360">
        <v>159717</v>
      </c>
      <c r="E180" s="360">
        <v>3</v>
      </c>
    </row>
    <row r="181" spans="1:5">
      <c r="A181" s="416" t="s">
        <v>213</v>
      </c>
      <c r="B181" s="358" t="s">
        <v>218</v>
      </c>
      <c r="C181" s="359"/>
      <c r="D181" s="360">
        <v>160612</v>
      </c>
      <c r="E181" s="360">
        <v>3</v>
      </c>
    </row>
    <row r="182" spans="1:5">
      <c r="A182" s="416" t="s">
        <v>213</v>
      </c>
      <c r="B182" s="358" t="s">
        <v>219</v>
      </c>
      <c r="C182" s="359"/>
      <c r="D182" s="360">
        <v>160621</v>
      </c>
      <c r="E182" s="360">
        <v>3</v>
      </c>
    </row>
    <row r="183" spans="1:5">
      <c r="A183" s="416" t="s">
        <v>213</v>
      </c>
      <c r="B183" s="358" t="s">
        <v>220</v>
      </c>
      <c r="C183" s="359"/>
      <c r="D183" s="360">
        <v>159993</v>
      </c>
      <c r="E183" s="360">
        <v>3</v>
      </c>
    </row>
    <row r="184" spans="1:5">
      <c r="A184" s="416" t="s">
        <v>213</v>
      </c>
      <c r="B184" s="358" t="s">
        <v>221</v>
      </c>
      <c r="C184" s="359"/>
      <c r="D184" s="360">
        <v>159009</v>
      </c>
      <c r="E184" s="360">
        <v>4</v>
      </c>
    </row>
    <row r="185" spans="1:5">
      <c r="A185" s="416" t="s">
        <v>213</v>
      </c>
      <c r="B185" s="358" t="s">
        <v>222</v>
      </c>
      <c r="C185" s="359"/>
      <c r="D185" s="360">
        <v>159416</v>
      </c>
      <c r="E185" s="360">
        <v>4</v>
      </c>
    </row>
    <row r="186" spans="1:5">
      <c r="A186" s="416" t="s">
        <v>213</v>
      </c>
      <c r="B186" s="358" t="s">
        <v>224</v>
      </c>
      <c r="C186" s="359"/>
      <c r="D186" s="360">
        <v>159966</v>
      </c>
      <c r="E186" s="360">
        <v>4</v>
      </c>
    </row>
    <row r="187" spans="1:5">
      <c r="A187" s="416" t="s">
        <v>213</v>
      </c>
      <c r="B187" s="358" t="s">
        <v>225</v>
      </c>
      <c r="C187" s="359"/>
      <c r="D187" s="360">
        <v>160038</v>
      </c>
      <c r="E187" s="360">
        <v>4</v>
      </c>
    </row>
    <row r="188" spans="1:5">
      <c r="A188" s="360" t="s">
        <v>213</v>
      </c>
      <c r="B188" s="358" t="s">
        <v>226</v>
      </c>
      <c r="C188" s="361"/>
      <c r="D188" s="360">
        <v>160630</v>
      </c>
      <c r="E188" s="360">
        <v>5</v>
      </c>
    </row>
    <row r="189" spans="1:5">
      <c r="A189" s="416" t="s">
        <v>213</v>
      </c>
      <c r="B189" s="358" t="s">
        <v>227</v>
      </c>
      <c r="C189" s="361"/>
      <c r="D189" s="360">
        <v>159382</v>
      </c>
      <c r="E189" s="360">
        <v>6</v>
      </c>
    </row>
    <row r="190" spans="1:5">
      <c r="A190" s="416" t="s">
        <v>213</v>
      </c>
      <c r="B190" s="358" t="s">
        <v>228</v>
      </c>
      <c r="C190" s="359"/>
      <c r="D190" s="360">
        <v>437103</v>
      </c>
      <c r="E190" s="360">
        <v>8</v>
      </c>
    </row>
    <row r="191" spans="1:5">
      <c r="A191" s="416" t="s">
        <v>213</v>
      </c>
      <c r="B191" s="358" t="s">
        <v>230</v>
      </c>
      <c r="C191" s="359"/>
      <c r="D191" s="360">
        <v>158662</v>
      </c>
      <c r="E191" s="360">
        <v>8</v>
      </c>
    </row>
    <row r="192" spans="1:5">
      <c r="A192" s="416" t="s">
        <v>213</v>
      </c>
      <c r="B192" s="358" t="s">
        <v>229</v>
      </c>
      <c r="C192" s="359"/>
      <c r="D192" s="360">
        <v>158431</v>
      </c>
      <c r="E192" s="360">
        <v>9</v>
      </c>
    </row>
    <row r="193" spans="1:5">
      <c r="A193" s="416" t="s">
        <v>213</v>
      </c>
      <c r="B193" s="358" t="s">
        <v>231</v>
      </c>
      <c r="C193" s="361"/>
      <c r="D193" s="360">
        <v>483212</v>
      </c>
      <c r="E193" s="360">
        <v>9</v>
      </c>
    </row>
    <row r="194" spans="1:5">
      <c r="A194" s="416" t="s">
        <v>213</v>
      </c>
      <c r="B194" s="358" t="s">
        <v>232</v>
      </c>
      <c r="C194" s="359"/>
      <c r="D194" s="360">
        <v>434061</v>
      </c>
      <c r="E194" s="360">
        <v>9</v>
      </c>
    </row>
    <row r="195" spans="1:5">
      <c r="A195" s="416" t="s">
        <v>213</v>
      </c>
      <c r="B195" s="358" t="s">
        <v>233</v>
      </c>
      <c r="C195" s="361"/>
      <c r="D195" s="360">
        <v>160649</v>
      </c>
      <c r="E195" s="360">
        <v>9</v>
      </c>
    </row>
    <row r="196" spans="1:5">
      <c r="A196" s="416" t="s">
        <v>213</v>
      </c>
      <c r="B196" s="358" t="s">
        <v>234</v>
      </c>
      <c r="C196" s="417" t="s">
        <v>883</v>
      </c>
      <c r="D196" s="418">
        <v>159407</v>
      </c>
      <c r="E196" s="419">
        <v>9</v>
      </c>
    </row>
    <row r="197" spans="1:5">
      <c r="A197" s="416" t="s">
        <v>213</v>
      </c>
      <c r="B197" s="358" t="s">
        <v>235</v>
      </c>
      <c r="C197" s="359"/>
      <c r="D197" s="360">
        <v>158884</v>
      </c>
      <c r="E197" s="360">
        <v>10</v>
      </c>
    </row>
    <row r="198" spans="1:5">
      <c r="A198" s="360" t="s">
        <v>213</v>
      </c>
      <c r="B198" s="358" t="s">
        <v>236</v>
      </c>
      <c r="C198" s="359" t="s">
        <v>718</v>
      </c>
      <c r="D198" s="360">
        <v>436304</v>
      </c>
      <c r="E198" s="360">
        <v>10</v>
      </c>
    </row>
    <row r="199" spans="1:5">
      <c r="A199" s="360" t="s">
        <v>213</v>
      </c>
      <c r="B199" s="358" t="s">
        <v>713</v>
      </c>
      <c r="C199" s="359"/>
      <c r="D199" s="360">
        <v>158088</v>
      </c>
      <c r="E199" s="360">
        <v>12</v>
      </c>
    </row>
    <row r="200" spans="1:5">
      <c r="A200" s="360" t="s">
        <v>213</v>
      </c>
      <c r="B200" s="358" t="s">
        <v>237</v>
      </c>
      <c r="C200" s="361"/>
      <c r="D200" s="360">
        <v>160481</v>
      </c>
      <c r="E200" s="360">
        <v>12</v>
      </c>
    </row>
    <row r="201" spans="1:5">
      <c r="A201" s="360" t="s">
        <v>213</v>
      </c>
      <c r="B201" s="358" t="s">
        <v>238</v>
      </c>
      <c r="C201" s="359"/>
      <c r="D201" s="360">
        <v>160667</v>
      </c>
      <c r="E201" s="360">
        <v>12</v>
      </c>
    </row>
    <row r="202" spans="1:5">
      <c r="A202" s="360" t="s">
        <v>213</v>
      </c>
      <c r="B202" s="358" t="s">
        <v>240</v>
      </c>
      <c r="C202" s="359"/>
      <c r="D202" s="360">
        <v>160579</v>
      </c>
      <c r="E202" s="360">
        <v>12</v>
      </c>
    </row>
    <row r="203" spans="1:5">
      <c r="A203" s="360" t="s">
        <v>213</v>
      </c>
      <c r="B203" s="358" t="s">
        <v>239</v>
      </c>
      <c r="C203" s="359"/>
      <c r="D203" s="360">
        <v>160010</v>
      </c>
      <c r="E203" s="360">
        <v>13</v>
      </c>
    </row>
    <row r="204" spans="1:5">
      <c r="A204" s="360" t="s">
        <v>213</v>
      </c>
      <c r="B204" s="358" t="s">
        <v>241</v>
      </c>
      <c r="C204" s="359"/>
      <c r="D204" s="360">
        <v>159373</v>
      </c>
      <c r="E204" s="360">
        <v>15</v>
      </c>
    </row>
    <row r="205" spans="1:5">
      <c r="A205" s="360" t="s">
        <v>213</v>
      </c>
      <c r="B205" s="358" t="s">
        <v>242</v>
      </c>
      <c r="C205" s="359"/>
      <c r="D205" s="360">
        <v>435000</v>
      </c>
      <c r="E205" s="360">
        <v>15</v>
      </c>
    </row>
    <row r="206" spans="1:5">
      <c r="A206" s="360" t="s">
        <v>213</v>
      </c>
      <c r="B206" s="362" t="s">
        <v>729</v>
      </c>
      <c r="C206" s="359"/>
      <c r="D206" s="363">
        <v>440916</v>
      </c>
      <c r="E206" s="360">
        <v>15</v>
      </c>
    </row>
    <row r="207" spans="1:5">
      <c r="A207" s="338" t="s">
        <v>243</v>
      </c>
      <c r="B207" s="339" t="s">
        <v>260</v>
      </c>
      <c r="C207" s="341"/>
      <c r="D207" s="338">
        <v>161688</v>
      </c>
      <c r="E207" s="338">
        <v>10</v>
      </c>
    </row>
    <row r="208" spans="1:5">
      <c r="A208" s="338" t="s">
        <v>243</v>
      </c>
      <c r="B208" s="339" t="s">
        <v>254</v>
      </c>
      <c r="C208" s="340"/>
      <c r="D208" s="338">
        <v>161767</v>
      </c>
      <c r="E208" s="338">
        <v>8</v>
      </c>
    </row>
    <row r="209" spans="1:5">
      <c r="A209" s="338" t="s">
        <v>243</v>
      </c>
      <c r="B209" s="339" t="s">
        <v>261</v>
      </c>
      <c r="C209" s="340"/>
      <c r="D209" s="338">
        <v>161864</v>
      </c>
      <c r="E209" s="338">
        <v>9</v>
      </c>
    </row>
    <row r="210" spans="1:5">
      <c r="A210" s="338" t="s">
        <v>243</v>
      </c>
      <c r="B210" s="339" t="s">
        <v>262</v>
      </c>
      <c r="C210" s="340" t="s">
        <v>730</v>
      </c>
      <c r="D210" s="338">
        <v>405872</v>
      </c>
      <c r="E210" s="338">
        <v>9</v>
      </c>
    </row>
    <row r="211" spans="1:5">
      <c r="A211" s="338" t="s">
        <v>243</v>
      </c>
      <c r="B211" s="339" t="s">
        <v>267</v>
      </c>
      <c r="C211" s="340"/>
      <c r="D211" s="338">
        <v>162104</v>
      </c>
      <c r="E211" s="338">
        <v>10</v>
      </c>
    </row>
    <row r="212" spans="1:5">
      <c r="A212" s="338" t="s">
        <v>243</v>
      </c>
      <c r="B212" s="339" t="s">
        <v>268</v>
      </c>
      <c r="C212" s="341"/>
      <c r="D212" s="338">
        <v>162168</v>
      </c>
      <c r="E212" s="338">
        <v>10</v>
      </c>
    </row>
    <row r="213" spans="1:5">
      <c r="A213" s="409" t="s">
        <v>243</v>
      </c>
      <c r="B213" s="339" t="s">
        <v>255</v>
      </c>
      <c r="C213" s="340" t="s">
        <v>728</v>
      </c>
      <c r="D213" s="338">
        <v>162122</v>
      </c>
      <c r="E213" s="420">
        <v>9</v>
      </c>
    </row>
    <row r="214" spans="1:5">
      <c r="A214" s="338" t="s">
        <v>243</v>
      </c>
      <c r="B214" s="339" t="s">
        <v>256</v>
      </c>
      <c r="C214" s="340"/>
      <c r="D214" s="338">
        <v>434672</v>
      </c>
      <c r="E214" s="338">
        <v>8</v>
      </c>
    </row>
    <row r="215" spans="1:5">
      <c r="A215" s="338" t="s">
        <v>243</v>
      </c>
      <c r="B215" s="339" t="s">
        <v>263</v>
      </c>
      <c r="C215" s="340"/>
      <c r="D215" s="338">
        <v>162557</v>
      </c>
      <c r="E215" s="338">
        <v>9</v>
      </c>
    </row>
    <row r="216" spans="1:5">
      <c r="A216" s="338" t="s">
        <v>243</v>
      </c>
      <c r="B216" s="339" t="s">
        <v>269</v>
      </c>
      <c r="C216" s="340"/>
      <c r="D216" s="338">
        <v>162609</v>
      </c>
      <c r="E216" s="338">
        <v>10</v>
      </c>
    </row>
    <row r="217" spans="1:5">
      <c r="A217" s="338" t="s">
        <v>243</v>
      </c>
      <c r="B217" s="339" t="s">
        <v>264</v>
      </c>
      <c r="C217" s="340"/>
      <c r="D217" s="338">
        <v>162690</v>
      </c>
      <c r="E217" s="338">
        <v>9</v>
      </c>
    </row>
    <row r="218" spans="1:5">
      <c r="A218" s="338" t="s">
        <v>243</v>
      </c>
      <c r="B218" s="339" t="s">
        <v>265</v>
      </c>
      <c r="C218" s="341"/>
      <c r="D218" s="338">
        <v>162706</v>
      </c>
      <c r="E218" s="338">
        <v>9</v>
      </c>
    </row>
    <row r="219" spans="1:5">
      <c r="A219" s="338" t="s">
        <v>243</v>
      </c>
      <c r="B219" s="339" t="s">
        <v>257</v>
      </c>
      <c r="C219" s="340"/>
      <c r="D219" s="338">
        <v>162779</v>
      </c>
      <c r="E219" s="338">
        <v>8</v>
      </c>
    </row>
    <row r="220" spans="1:5">
      <c r="A220" s="338" t="s">
        <v>243</v>
      </c>
      <c r="B220" s="339" t="s">
        <v>258</v>
      </c>
      <c r="C220" s="340"/>
      <c r="D220" s="338">
        <v>163426</v>
      </c>
      <c r="E220" s="338">
        <v>8</v>
      </c>
    </row>
    <row r="221" spans="1:5">
      <c r="A221" s="338" t="s">
        <v>243</v>
      </c>
      <c r="B221" s="339" t="s">
        <v>259</v>
      </c>
      <c r="C221" s="340"/>
      <c r="D221" s="338">
        <v>163657</v>
      </c>
      <c r="E221" s="338">
        <v>8</v>
      </c>
    </row>
    <row r="222" spans="1:5">
      <c r="A222" s="338" t="s">
        <v>243</v>
      </c>
      <c r="B222" s="339" t="s">
        <v>266</v>
      </c>
      <c r="C222" s="341"/>
      <c r="D222" s="338">
        <v>164313</v>
      </c>
      <c r="E222" s="338">
        <v>10</v>
      </c>
    </row>
    <row r="223" spans="1:5">
      <c r="A223" s="338" t="s">
        <v>243</v>
      </c>
      <c r="B223" s="339" t="s">
        <v>247</v>
      </c>
      <c r="C223" s="340" t="s">
        <v>715</v>
      </c>
      <c r="D223" s="338">
        <v>162007</v>
      </c>
      <c r="E223" s="338">
        <v>4</v>
      </c>
    </row>
    <row r="224" spans="1:5">
      <c r="A224" s="338" t="s">
        <v>243</v>
      </c>
      <c r="B224" s="339" t="s">
        <v>252</v>
      </c>
      <c r="C224" s="340" t="s">
        <v>731</v>
      </c>
      <c r="D224" s="338">
        <v>162283</v>
      </c>
      <c r="E224" s="338">
        <v>5</v>
      </c>
    </row>
    <row r="225" spans="1:5">
      <c r="A225" s="338" t="s">
        <v>243</v>
      </c>
      <c r="B225" s="339" t="s">
        <v>248</v>
      </c>
      <c r="C225" s="340"/>
      <c r="D225" s="338">
        <v>162584</v>
      </c>
      <c r="E225" s="338">
        <v>4</v>
      </c>
    </row>
    <row r="226" spans="1:5">
      <c r="A226" s="338" t="s">
        <v>243</v>
      </c>
      <c r="B226" s="339" t="s">
        <v>249</v>
      </c>
      <c r="C226" s="340"/>
      <c r="D226" s="338">
        <v>163851</v>
      </c>
      <c r="E226" s="338">
        <v>4</v>
      </c>
    </row>
    <row r="227" spans="1:5">
      <c r="A227" s="338" t="s">
        <v>243</v>
      </c>
      <c r="B227" s="339" t="s">
        <v>246</v>
      </c>
      <c r="C227" s="340"/>
      <c r="D227" s="338">
        <v>164076</v>
      </c>
      <c r="E227" s="338">
        <v>3</v>
      </c>
    </row>
    <row r="228" spans="1:5">
      <c r="A228" s="338" t="s">
        <v>243</v>
      </c>
      <c r="B228" s="339" t="s">
        <v>250</v>
      </c>
      <c r="C228" s="341"/>
      <c r="D228" s="338">
        <v>161873</v>
      </c>
      <c r="E228" s="338">
        <v>3</v>
      </c>
    </row>
    <row r="229" spans="1:5">
      <c r="A229" s="338" t="s">
        <v>243</v>
      </c>
      <c r="B229" s="339" t="s">
        <v>270</v>
      </c>
      <c r="C229" s="341"/>
      <c r="D229" s="338">
        <v>163259</v>
      </c>
      <c r="E229" s="338">
        <v>15</v>
      </c>
    </row>
    <row r="230" spans="1:5">
      <c r="A230" s="338" t="s">
        <v>243</v>
      </c>
      <c r="B230" s="339" t="s">
        <v>245</v>
      </c>
      <c r="C230" s="340"/>
      <c r="D230" s="338">
        <v>163268</v>
      </c>
      <c r="E230" s="338">
        <v>2</v>
      </c>
    </row>
    <row r="231" spans="1:5">
      <c r="A231" s="338" t="s">
        <v>243</v>
      </c>
      <c r="B231" s="364" t="s">
        <v>748</v>
      </c>
      <c r="C231" s="340"/>
      <c r="D231" s="338">
        <v>163286</v>
      </c>
      <c r="E231" s="338">
        <v>1</v>
      </c>
    </row>
    <row r="232" spans="1:5">
      <c r="A232" s="338" t="s">
        <v>243</v>
      </c>
      <c r="B232" s="339" t="s">
        <v>251</v>
      </c>
      <c r="C232" s="340"/>
      <c r="D232" s="338">
        <v>163338</v>
      </c>
      <c r="E232" s="338">
        <v>4</v>
      </c>
    </row>
    <row r="233" spans="1:5">
      <c r="A233" s="338" t="s">
        <v>243</v>
      </c>
      <c r="B233" s="339" t="s">
        <v>732</v>
      </c>
      <c r="C233" s="340"/>
      <c r="D233" s="338">
        <v>163204</v>
      </c>
      <c r="E233" s="338">
        <v>15</v>
      </c>
    </row>
    <row r="234" spans="1:5">
      <c r="A234" s="338" t="s">
        <v>243</v>
      </c>
      <c r="B234" s="339" t="s">
        <v>244</v>
      </c>
      <c r="C234" s="341"/>
      <c r="D234" s="338">
        <v>163453</v>
      </c>
      <c r="E234" s="338">
        <v>2</v>
      </c>
    </row>
    <row r="235" spans="1:5">
      <c r="A235" s="338" t="s">
        <v>243</v>
      </c>
      <c r="B235" s="339" t="s">
        <v>253</v>
      </c>
      <c r="C235" s="340"/>
      <c r="D235" s="338">
        <v>163912</v>
      </c>
      <c r="E235" s="338">
        <v>6</v>
      </c>
    </row>
    <row r="236" spans="1:5">
      <c r="A236" s="421" t="s">
        <v>271</v>
      </c>
      <c r="B236" s="365" t="s">
        <v>272</v>
      </c>
      <c r="C236" s="366"/>
      <c r="D236" s="367">
        <v>176080</v>
      </c>
      <c r="E236" s="367">
        <v>1</v>
      </c>
    </row>
    <row r="237" spans="1:5" ht="15.75">
      <c r="A237" s="421" t="s">
        <v>271</v>
      </c>
      <c r="B237" s="365" t="s">
        <v>275</v>
      </c>
      <c r="C237" s="368"/>
      <c r="D237" s="367">
        <v>176017</v>
      </c>
      <c r="E237" s="367">
        <v>1</v>
      </c>
    </row>
    <row r="238" spans="1:5">
      <c r="A238" s="421" t="s">
        <v>271</v>
      </c>
      <c r="B238" s="365" t="s">
        <v>273</v>
      </c>
      <c r="C238" s="366"/>
      <c r="D238" s="367">
        <v>176372</v>
      </c>
      <c r="E238" s="367">
        <v>1</v>
      </c>
    </row>
    <row r="239" spans="1:5">
      <c r="A239" s="421" t="s">
        <v>271</v>
      </c>
      <c r="B239" s="365" t="s">
        <v>274</v>
      </c>
      <c r="C239" s="366"/>
      <c r="D239" s="367">
        <v>175856</v>
      </c>
      <c r="E239" s="367">
        <v>2</v>
      </c>
    </row>
    <row r="240" spans="1:5">
      <c r="A240" s="421" t="s">
        <v>271</v>
      </c>
      <c r="B240" s="365" t="s">
        <v>276</v>
      </c>
      <c r="C240" s="366"/>
      <c r="D240" s="367">
        <v>175342</v>
      </c>
      <c r="E240" s="367">
        <v>4</v>
      </c>
    </row>
    <row r="241" spans="1:5">
      <c r="A241" s="421" t="s">
        <v>271</v>
      </c>
      <c r="B241" s="365" t="s">
        <v>277</v>
      </c>
      <c r="C241" s="366"/>
      <c r="D241" s="367">
        <v>175616</v>
      </c>
      <c r="E241" s="367">
        <v>4</v>
      </c>
    </row>
    <row r="242" spans="1:5">
      <c r="A242" s="421" t="s">
        <v>271</v>
      </c>
      <c r="B242" s="365" t="s">
        <v>279</v>
      </c>
      <c r="C242" s="366" t="s">
        <v>719</v>
      </c>
      <c r="D242" s="367">
        <v>176035</v>
      </c>
      <c r="E242" s="422">
        <v>4</v>
      </c>
    </row>
    <row r="243" spans="1:5">
      <c r="A243" s="367" t="s">
        <v>271</v>
      </c>
      <c r="B243" s="365" t="s">
        <v>278</v>
      </c>
      <c r="C243" s="366"/>
      <c r="D243" s="367">
        <v>176044</v>
      </c>
      <c r="E243" s="367">
        <v>4</v>
      </c>
    </row>
    <row r="244" spans="1:5">
      <c r="A244" s="46" t="s">
        <v>271</v>
      </c>
      <c r="B244" s="42"/>
      <c r="C244" s="43"/>
      <c r="D244" s="47"/>
      <c r="E244" s="48"/>
    </row>
    <row r="245" spans="1:5">
      <c r="A245" s="423" t="s">
        <v>280</v>
      </c>
      <c r="B245" s="371" t="s">
        <v>281</v>
      </c>
      <c r="C245" s="372"/>
      <c r="D245" s="373">
        <v>199193</v>
      </c>
      <c r="E245" s="373">
        <v>1</v>
      </c>
    </row>
    <row r="246" spans="1:5">
      <c r="A246" s="423" t="s">
        <v>280</v>
      </c>
      <c r="B246" s="371" t="s">
        <v>282</v>
      </c>
      <c r="C246" s="372"/>
      <c r="D246" s="373">
        <v>199120</v>
      </c>
      <c r="E246" s="373">
        <v>1</v>
      </c>
    </row>
    <row r="247" spans="1:5">
      <c r="A247" s="423" t="s">
        <v>280</v>
      </c>
      <c r="B247" s="371" t="s">
        <v>283</v>
      </c>
      <c r="C247" s="374"/>
      <c r="D247" s="373">
        <v>199139</v>
      </c>
      <c r="E247" s="373">
        <v>1</v>
      </c>
    </row>
    <row r="248" spans="1:5">
      <c r="A248" s="423" t="s">
        <v>280</v>
      </c>
      <c r="B248" s="371" t="s">
        <v>284</v>
      </c>
      <c r="C248" s="372"/>
      <c r="D248" s="373">
        <v>199148</v>
      </c>
      <c r="E248" s="373">
        <v>1</v>
      </c>
    </row>
    <row r="249" spans="1:5">
      <c r="A249" s="423" t="s">
        <v>280</v>
      </c>
      <c r="B249" s="371" t="s">
        <v>285</v>
      </c>
      <c r="C249" s="374"/>
      <c r="D249" s="373">
        <v>198464</v>
      </c>
      <c r="E249" s="373">
        <v>2</v>
      </c>
    </row>
    <row r="250" spans="1:5">
      <c r="A250" s="423" t="s">
        <v>280</v>
      </c>
      <c r="B250" s="371" t="s">
        <v>286</v>
      </c>
      <c r="C250" s="372"/>
      <c r="D250" s="373">
        <v>197869</v>
      </c>
      <c r="E250" s="373">
        <v>3</v>
      </c>
    </row>
    <row r="251" spans="1:5">
      <c r="A251" s="423" t="s">
        <v>280</v>
      </c>
      <c r="B251" s="371" t="s">
        <v>287</v>
      </c>
      <c r="C251" s="442" t="s">
        <v>895</v>
      </c>
      <c r="D251" s="373">
        <v>199102</v>
      </c>
      <c r="E251" s="373">
        <v>3</v>
      </c>
    </row>
    <row r="252" spans="1:5">
      <c r="A252" s="423" t="s">
        <v>280</v>
      </c>
      <c r="B252" s="371" t="s">
        <v>288</v>
      </c>
      <c r="C252" s="372"/>
      <c r="D252" s="373">
        <v>199157</v>
      </c>
      <c r="E252" s="373">
        <v>3</v>
      </c>
    </row>
    <row r="253" spans="1:5">
      <c r="A253" s="423" t="s">
        <v>280</v>
      </c>
      <c r="B253" s="371" t="s">
        <v>289</v>
      </c>
      <c r="C253" s="372"/>
      <c r="D253" s="373">
        <v>199218</v>
      </c>
      <c r="E253" s="373">
        <v>3</v>
      </c>
    </row>
    <row r="254" spans="1:5">
      <c r="A254" s="423" t="s">
        <v>280</v>
      </c>
      <c r="B254" s="371" t="s">
        <v>290</v>
      </c>
      <c r="C254" s="372"/>
      <c r="D254" s="373">
        <v>200004</v>
      </c>
      <c r="E254" s="373">
        <v>3</v>
      </c>
    </row>
    <row r="255" spans="1:5">
      <c r="A255" s="423" t="s">
        <v>280</v>
      </c>
      <c r="B255" s="371" t="s">
        <v>291</v>
      </c>
      <c r="C255" s="372"/>
      <c r="D255" s="373">
        <v>198543</v>
      </c>
      <c r="E255" s="373">
        <v>4</v>
      </c>
    </row>
    <row r="256" spans="1:5">
      <c r="A256" s="423" t="s">
        <v>280</v>
      </c>
      <c r="B256" s="371" t="s">
        <v>292</v>
      </c>
      <c r="C256" s="372"/>
      <c r="D256" s="373">
        <v>199281</v>
      </c>
      <c r="E256" s="373">
        <v>5</v>
      </c>
    </row>
    <row r="257" spans="1:5">
      <c r="A257" s="423" t="s">
        <v>280</v>
      </c>
      <c r="B257" s="371" t="s">
        <v>293</v>
      </c>
      <c r="C257" s="372"/>
      <c r="D257" s="373">
        <v>199999</v>
      </c>
      <c r="E257" s="373">
        <v>5</v>
      </c>
    </row>
    <row r="258" spans="1:5">
      <c r="A258" s="423" t="s">
        <v>280</v>
      </c>
      <c r="B258" s="371" t="s">
        <v>294</v>
      </c>
      <c r="C258" s="372"/>
      <c r="D258" s="373">
        <v>198507</v>
      </c>
      <c r="E258" s="373">
        <v>6</v>
      </c>
    </row>
    <row r="259" spans="1:5">
      <c r="A259" s="423" t="s">
        <v>280</v>
      </c>
      <c r="B259" s="371" t="s">
        <v>295</v>
      </c>
      <c r="C259" s="372"/>
      <c r="D259" s="373">
        <v>199111</v>
      </c>
      <c r="E259" s="373">
        <v>6</v>
      </c>
    </row>
    <row r="260" spans="1:5">
      <c r="A260" s="423" t="s">
        <v>280</v>
      </c>
      <c r="B260" s="371" t="s">
        <v>714</v>
      </c>
      <c r="C260" s="372"/>
      <c r="D260" s="373">
        <v>199184</v>
      </c>
      <c r="E260" s="373">
        <v>15</v>
      </c>
    </row>
    <row r="261" spans="1:5">
      <c r="A261" s="410" t="s">
        <v>280</v>
      </c>
      <c r="B261" s="347" t="s">
        <v>297</v>
      </c>
      <c r="C261" s="348"/>
      <c r="D261" s="350">
        <v>197887</v>
      </c>
      <c r="E261" s="350">
        <v>8</v>
      </c>
    </row>
    <row r="262" spans="1:5">
      <c r="A262" s="410" t="s">
        <v>280</v>
      </c>
      <c r="B262" s="347" t="s">
        <v>303</v>
      </c>
      <c r="C262" s="348"/>
      <c r="D262" s="350">
        <v>198154</v>
      </c>
      <c r="E262" s="350">
        <v>8</v>
      </c>
    </row>
    <row r="263" spans="1:5">
      <c r="A263" s="410" t="s">
        <v>280</v>
      </c>
      <c r="B263" s="347" t="s">
        <v>307</v>
      </c>
      <c r="C263" s="348"/>
      <c r="D263" s="350">
        <v>198260</v>
      </c>
      <c r="E263" s="350">
        <v>8</v>
      </c>
    </row>
    <row r="264" spans="1:5">
      <c r="A264" s="410" t="s">
        <v>280</v>
      </c>
      <c r="B264" s="347" t="s">
        <v>313</v>
      </c>
      <c r="C264" s="348"/>
      <c r="D264" s="350">
        <v>198534</v>
      </c>
      <c r="E264" s="350">
        <v>8</v>
      </c>
    </row>
    <row r="265" spans="1:5">
      <c r="A265" s="410" t="s">
        <v>280</v>
      </c>
      <c r="B265" s="347" t="s">
        <v>314</v>
      </c>
      <c r="C265" s="348"/>
      <c r="D265" s="350">
        <v>198552</v>
      </c>
      <c r="E265" s="350">
        <v>8</v>
      </c>
    </row>
    <row r="266" spans="1:5">
      <c r="A266" s="410" t="s">
        <v>280</v>
      </c>
      <c r="B266" s="347" t="s">
        <v>316</v>
      </c>
      <c r="C266" s="348"/>
      <c r="D266" s="350">
        <v>198622</v>
      </c>
      <c r="E266" s="350">
        <v>8</v>
      </c>
    </row>
    <row r="267" spans="1:5">
      <c r="A267" s="410" t="s">
        <v>280</v>
      </c>
      <c r="B267" s="347" t="s">
        <v>331</v>
      </c>
      <c r="C267" s="348"/>
      <c r="D267" s="350">
        <v>199333</v>
      </c>
      <c r="E267" s="350">
        <v>8</v>
      </c>
    </row>
    <row r="268" spans="1:5">
      <c r="A268" s="410" t="s">
        <v>280</v>
      </c>
      <c r="B268" s="347" t="s">
        <v>337</v>
      </c>
      <c r="C268" s="348"/>
      <c r="D268" s="350">
        <v>199494</v>
      </c>
      <c r="E268" s="350">
        <v>8</v>
      </c>
    </row>
    <row r="269" spans="1:5">
      <c r="A269" s="410" t="s">
        <v>280</v>
      </c>
      <c r="B269" s="347" t="s">
        <v>347</v>
      </c>
      <c r="C269" s="348"/>
      <c r="D269" s="350">
        <v>199856</v>
      </c>
      <c r="E269" s="350">
        <v>8</v>
      </c>
    </row>
    <row r="270" spans="1:5">
      <c r="A270" s="410" t="s">
        <v>280</v>
      </c>
      <c r="B270" s="347" t="s">
        <v>296</v>
      </c>
      <c r="C270" s="348"/>
      <c r="D270" s="350">
        <v>199786</v>
      </c>
      <c r="E270" s="350">
        <v>9</v>
      </c>
    </row>
    <row r="271" spans="1:5">
      <c r="A271" s="410" t="s">
        <v>280</v>
      </c>
      <c r="B271" s="347" t="s">
        <v>302</v>
      </c>
      <c r="C271" s="348"/>
      <c r="D271" s="350">
        <v>198118</v>
      </c>
      <c r="E271" s="350">
        <v>9</v>
      </c>
    </row>
    <row r="272" spans="1:5">
      <c r="A272" s="410" t="s">
        <v>280</v>
      </c>
      <c r="B272" s="347" t="s">
        <v>305</v>
      </c>
      <c r="C272" s="348"/>
      <c r="D272" s="350">
        <v>198233</v>
      </c>
      <c r="E272" s="350">
        <v>9</v>
      </c>
    </row>
    <row r="273" spans="1:5">
      <c r="A273" s="410" t="s">
        <v>280</v>
      </c>
      <c r="B273" s="347" t="s">
        <v>306</v>
      </c>
      <c r="C273" s="348"/>
      <c r="D273" s="350">
        <v>198251</v>
      </c>
      <c r="E273" s="350">
        <v>9</v>
      </c>
    </row>
    <row r="274" spans="1:5">
      <c r="A274" s="410" t="s">
        <v>280</v>
      </c>
      <c r="B274" s="347" t="s">
        <v>308</v>
      </c>
      <c r="C274" s="348"/>
      <c r="D274" s="350">
        <v>198321</v>
      </c>
      <c r="E274" s="350">
        <v>9</v>
      </c>
    </row>
    <row r="275" spans="1:5">
      <c r="A275" s="410" t="s">
        <v>280</v>
      </c>
      <c r="B275" s="347" t="s">
        <v>309</v>
      </c>
      <c r="C275" s="348"/>
      <c r="D275" s="350">
        <v>198330</v>
      </c>
      <c r="E275" s="350">
        <v>9</v>
      </c>
    </row>
    <row r="276" spans="1:5">
      <c r="A276" s="410" t="s">
        <v>280</v>
      </c>
      <c r="B276" s="347" t="s">
        <v>310</v>
      </c>
      <c r="C276" s="348"/>
      <c r="D276" s="350">
        <v>198367</v>
      </c>
      <c r="E276" s="350">
        <v>9</v>
      </c>
    </row>
    <row r="277" spans="1:5">
      <c r="A277" s="410" t="s">
        <v>280</v>
      </c>
      <c r="B277" s="347" t="s">
        <v>749</v>
      </c>
      <c r="C277" s="348"/>
      <c r="D277" s="350">
        <v>198376</v>
      </c>
      <c r="E277" s="350">
        <v>9</v>
      </c>
    </row>
    <row r="278" spans="1:5">
      <c r="A278" s="410" t="s">
        <v>280</v>
      </c>
      <c r="B278" s="347" t="s">
        <v>311</v>
      </c>
      <c r="C278" s="348"/>
      <c r="D278" s="350">
        <v>198455</v>
      </c>
      <c r="E278" s="350">
        <v>9</v>
      </c>
    </row>
    <row r="279" spans="1:5">
      <c r="A279" s="410" t="s">
        <v>280</v>
      </c>
      <c r="B279" s="347" t="s">
        <v>315</v>
      </c>
      <c r="C279" s="348"/>
      <c r="D279" s="350">
        <v>198570</v>
      </c>
      <c r="E279" s="350">
        <v>9</v>
      </c>
    </row>
    <row r="280" spans="1:5">
      <c r="A280" s="410" t="s">
        <v>280</v>
      </c>
      <c r="B280" s="347" t="s">
        <v>321</v>
      </c>
      <c r="C280" s="348"/>
      <c r="D280" s="350">
        <v>198774</v>
      </c>
      <c r="E280" s="350">
        <v>9</v>
      </c>
    </row>
    <row r="281" spans="1:5">
      <c r="A281" s="410" t="s">
        <v>280</v>
      </c>
      <c r="B281" s="347" t="s">
        <v>322</v>
      </c>
      <c r="C281" s="348"/>
      <c r="D281" s="350">
        <v>198817</v>
      </c>
      <c r="E281" s="350">
        <v>9</v>
      </c>
    </row>
    <row r="282" spans="1:5">
      <c r="A282" s="410" t="s">
        <v>280</v>
      </c>
      <c r="B282" s="347" t="s">
        <v>326</v>
      </c>
      <c r="C282" s="348"/>
      <c r="D282" s="350">
        <v>198987</v>
      </c>
      <c r="E282" s="350">
        <v>9</v>
      </c>
    </row>
    <row r="283" spans="1:5">
      <c r="A283" s="410" t="s">
        <v>280</v>
      </c>
      <c r="B283" s="347" t="s">
        <v>328</v>
      </c>
      <c r="C283" s="348"/>
      <c r="D283" s="350">
        <v>199087</v>
      </c>
      <c r="E283" s="350">
        <v>9</v>
      </c>
    </row>
    <row r="284" spans="1:5">
      <c r="A284" s="410" t="s">
        <v>280</v>
      </c>
      <c r="B284" s="347" t="s">
        <v>332</v>
      </c>
      <c r="C284" s="348"/>
      <c r="D284" s="350">
        <v>199421</v>
      </c>
      <c r="E284" s="350">
        <v>9</v>
      </c>
    </row>
    <row r="285" spans="1:5">
      <c r="A285" s="410" t="s">
        <v>280</v>
      </c>
      <c r="B285" s="347" t="s">
        <v>333</v>
      </c>
      <c r="C285" s="352"/>
      <c r="D285" s="350">
        <v>199449</v>
      </c>
      <c r="E285" s="350">
        <v>9</v>
      </c>
    </row>
    <row r="286" spans="1:5">
      <c r="A286" s="410" t="s">
        <v>280</v>
      </c>
      <c r="B286" s="347" t="s">
        <v>339</v>
      </c>
      <c r="C286" s="348"/>
      <c r="D286" s="350">
        <v>199634</v>
      </c>
      <c r="E286" s="350">
        <v>9</v>
      </c>
    </row>
    <row r="287" spans="1:5">
      <c r="A287" s="410" t="s">
        <v>280</v>
      </c>
      <c r="B287" s="347" t="s">
        <v>340</v>
      </c>
      <c r="C287" s="352"/>
      <c r="D287" s="350">
        <v>197850</v>
      </c>
      <c r="E287" s="350">
        <v>9</v>
      </c>
    </row>
    <row r="288" spans="1:5">
      <c r="A288" s="410" t="s">
        <v>280</v>
      </c>
      <c r="B288" s="347" t="s">
        <v>343</v>
      </c>
      <c r="C288" s="348"/>
      <c r="D288" s="350">
        <v>199740</v>
      </c>
      <c r="E288" s="350">
        <v>9</v>
      </c>
    </row>
    <row r="289" spans="1:5">
      <c r="A289" s="410" t="s">
        <v>280</v>
      </c>
      <c r="B289" s="347" t="s">
        <v>344</v>
      </c>
      <c r="C289" s="348"/>
      <c r="D289" s="350">
        <v>199768</v>
      </c>
      <c r="E289" s="350">
        <v>9</v>
      </c>
    </row>
    <row r="290" spans="1:5">
      <c r="A290" s="410" t="s">
        <v>280</v>
      </c>
      <c r="B290" s="347" t="s">
        <v>346</v>
      </c>
      <c r="C290" s="348"/>
      <c r="D290" s="350">
        <v>199838</v>
      </c>
      <c r="E290" s="350">
        <v>9</v>
      </c>
    </row>
    <row r="291" spans="1:5">
      <c r="A291" s="410" t="s">
        <v>280</v>
      </c>
      <c r="B291" s="347" t="s">
        <v>348</v>
      </c>
      <c r="C291" s="348"/>
      <c r="D291" s="350">
        <v>199892</v>
      </c>
      <c r="E291" s="350">
        <v>9</v>
      </c>
    </row>
    <row r="292" spans="1:5">
      <c r="A292" s="410" t="s">
        <v>280</v>
      </c>
      <c r="B292" s="347" t="s">
        <v>350</v>
      </c>
      <c r="C292" s="348"/>
      <c r="D292" s="350">
        <v>199926</v>
      </c>
      <c r="E292" s="350">
        <v>9</v>
      </c>
    </row>
    <row r="293" spans="1:5">
      <c r="A293" s="410" t="s">
        <v>280</v>
      </c>
      <c r="B293" s="347" t="s">
        <v>298</v>
      </c>
      <c r="C293" s="348"/>
      <c r="D293" s="350">
        <v>197966</v>
      </c>
      <c r="E293" s="350">
        <v>10</v>
      </c>
    </row>
    <row r="294" spans="1:5">
      <c r="A294" s="410" t="s">
        <v>280</v>
      </c>
      <c r="B294" s="347" t="s">
        <v>299</v>
      </c>
      <c r="C294" s="348"/>
      <c r="D294" s="350">
        <v>198011</v>
      </c>
      <c r="E294" s="350">
        <v>10</v>
      </c>
    </row>
    <row r="295" spans="1:5">
      <c r="A295" s="410" t="s">
        <v>280</v>
      </c>
      <c r="B295" s="347" t="s">
        <v>300</v>
      </c>
      <c r="C295" s="348"/>
      <c r="D295" s="350">
        <v>198039</v>
      </c>
      <c r="E295" s="350">
        <v>10</v>
      </c>
    </row>
    <row r="296" spans="1:5">
      <c r="A296" s="410" t="s">
        <v>280</v>
      </c>
      <c r="B296" s="347" t="s">
        <v>301</v>
      </c>
      <c r="C296" s="348"/>
      <c r="D296" s="350">
        <v>198084</v>
      </c>
      <c r="E296" s="350">
        <v>10</v>
      </c>
    </row>
    <row r="297" spans="1:5">
      <c r="A297" s="410" t="s">
        <v>280</v>
      </c>
      <c r="B297" s="347" t="s">
        <v>304</v>
      </c>
      <c r="C297" s="348"/>
      <c r="D297" s="350">
        <v>198206</v>
      </c>
      <c r="E297" s="350">
        <v>10</v>
      </c>
    </row>
    <row r="298" spans="1:5">
      <c r="A298" s="410" t="s">
        <v>280</v>
      </c>
      <c r="B298" s="347" t="s">
        <v>750</v>
      </c>
      <c r="C298" s="348" t="s">
        <v>733</v>
      </c>
      <c r="D298" s="350">
        <v>197814</v>
      </c>
      <c r="E298" s="350">
        <v>10</v>
      </c>
    </row>
    <row r="299" spans="1:5">
      <c r="A299" s="410" t="s">
        <v>280</v>
      </c>
      <c r="B299" s="347" t="s">
        <v>312</v>
      </c>
      <c r="C299" s="352"/>
      <c r="D299" s="350">
        <v>198491</v>
      </c>
      <c r="E299" s="350">
        <v>10</v>
      </c>
    </row>
    <row r="300" spans="1:5">
      <c r="A300" s="410" t="s">
        <v>280</v>
      </c>
      <c r="B300" s="347" t="s">
        <v>317</v>
      </c>
      <c r="C300" s="348"/>
      <c r="D300" s="350">
        <v>198640</v>
      </c>
      <c r="E300" s="350">
        <v>10</v>
      </c>
    </row>
    <row r="301" spans="1:5">
      <c r="A301" s="410" t="s">
        <v>280</v>
      </c>
      <c r="B301" s="347" t="s">
        <v>318</v>
      </c>
      <c r="C301" s="352"/>
      <c r="D301" s="350">
        <v>198668</v>
      </c>
      <c r="E301" s="350">
        <v>10</v>
      </c>
    </row>
    <row r="302" spans="1:5">
      <c r="A302" s="410" t="s">
        <v>280</v>
      </c>
      <c r="B302" s="347" t="s">
        <v>319</v>
      </c>
      <c r="C302" s="352"/>
      <c r="D302" s="350">
        <v>198710</v>
      </c>
      <c r="E302" s="350">
        <v>10</v>
      </c>
    </row>
    <row r="303" spans="1:5">
      <c r="A303" s="410" t="s">
        <v>280</v>
      </c>
      <c r="B303" s="347" t="s">
        <v>320</v>
      </c>
      <c r="C303" s="348"/>
      <c r="D303" s="350">
        <v>198729</v>
      </c>
      <c r="E303" s="350">
        <v>10</v>
      </c>
    </row>
    <row r="304" spans="1:5">
      <c r="A304" s="410" t="s">
        <v>280</v>
      </c>
      <c r="B304" s="347" t="s">
        <v>323</v>
      </c>
      <c r="C304" s="348"/>
      <c r="D304" s="350">
        <v>198905</v>
      </c>
      <c r="E304" s="350">
        <v>10</v>
      </c>
    </row>
    <row r="305" spans="1:5">
      <c r="A305" s="410" t="s">
        <v>280</v>
      </c>
      <c r="B305" s="347" t="s">
        <v>324</v>
      </c>
      <c r="C305" s="348"/>
      <c r="D305" s="350">
        <v>198914</v>
      </c>
      <c r="E305" s="350">
        <v>10</v>
      </c>
    </row>
    <row r="306" spans="1:5">
      <c r="A306" s="410" t="s">
        <v>280</v>
      </c>
      <c r="B306" s="347" t="s">
        <v>325</v>
      </c>
      <c r="C306" s="348"/>
      <c r="D306" s="350">
        <v>198923</v>
      </c>
      <c r="E306" s="350">
        <v>10</v>
      </c>
    </row>
    <row r="307" spans="1:5">
      <c r="A307" s="410" t="s">
        <v>280</v>
      </c>
      <c r="B307" s="347" t="s">
        <v>327</v>
      </c>
      <c r="C307" s="348"/>
      <c r="D307" s="350">
        <v>199023</v>
      </c>
      <c r="E307" s="350">
        <v>10</v>
      </c>
    </row>
    <row r="308" spans="1:5">
      <c r="A308" s="410" t="s">
        <v>280</v>
      </c>
      <c r="B308" s="347" t="s">
        <v>329</v>
      </c>
      <c r="C308" s="348"/>
      <c r="D308" s="350">
        <v>199263</v>
      </c>
      <c r="E308" s="350">
        <v>10</v>
      </c>
    </row>
    <row r="309" spans="1:5">
      <c r="A309" s="410" t="s">
        <v>280</v>
      </c>
      <c r="B309" s="347" t="s">
        <v>330</v>
      </c>
      <c r="C309" s="348"/>
      <c r="D309" s="350">
        <v>199324</v>
      </c>
      <c r="E309" s="350">
        <v>10</v>
      </c>
    </row>
    <row r="310" spans="1:5">
      <c r="A310" s="410" t="s">
        <v>280</v>
      </c>
      <c r="B310" s="347" t="s">
        <v>334</v>
      </c>
      <c r="C310" s="348"/>
      <c r="D310" s="350">
        <v>199467</v>
      </c>
      <c r="E310" s="350">
        <v>10</v>
      </c>
    </row>
    <row r="311" spans="1:5">
      <c r="A311" s="410" t="s">
        <v>280</v>
      </c>
      <c r="B311" s="347" t="s">
        <v>335</v>
      </c>
      <c r="C311" s="443" t="s">
        <v>891</v>
      </c>
      <c r="D311" s="350">
        <v>199476</v>
      </c>
      <c r="E311" s="350">
        <v>10</v>
      </c>
    </row>
    <row r="312" spans="1:5">
      <c r="A312" s="410" t="s">
        <v>280</v>
      </c>
      <c r="B312" s="347" t="s">
        <v>336</v>
      </c>
      <c r="C312" s="348"/>
      <c r="D312" s="350">
        <v>199485</v>
      </c>
      <c r="E312" s="350">
        <v>10</v>
      </c>
    </row>
    <row r="313" spans="1:5">
      <c r="A313" s="410" t="s">
        <v>280</v>
      </c>
      <c r="B313" s="347" t="s">
        <v>338</v>
      </c>
      <c r="C313" s="348"/>
      <c r="D313" s="350">
        <v>199625</v>
      </c>
      <c r="E313" s="350">
        <v>10</v>
      </c>
    </row>
    <row r="314" spans="1:5">
      <c r="A314" s="410" t="s">
        <v>280</v>
      </c>
      <c r="B314" s="347" t="s">
        <v>341</v>
      </c>
      <c r="C314" s="348"/>
      <c r="D314" s="350">
        <v>199722</v>
      </c>
      <c r="E314" s="350">
        <v>10</v>
      </c>
    </row>
    <row r="315" spans="1:5">
      <c r="A315" s="410" t="s">
        <v>280</v>
      </c>
      <c r="B315" s="347" t="s">
        <v>342</v>
      </c>
      <c r="C315" s="348"/>
      <c r="D315" s="350">
        <v>199731</v>
      </c>
      <c r="E315" s="350">
        <v>10</v>
      </c>
    </row>
    <row r="316" spans="1:5">
      <c r="A316" s="410" t="s">
        <v>280</v>
      </c>
      <c r="B316" s="347" t="s">
        <v>345</v>
      </c>
      <c r="C316" s="348"/>
      <c r="D316" s="350">
        <v>199795</v>
      </c>
      <c r="E316" s="350">
        <v>10</v>
      </c>
    </row>
    <row r="317" spans="1:5">
      <c r="A317" s="410" t="s">
        <v>280</v>
      </c>
      <c r="B317" s="347" t="s">
        <v>349</v>
      </c>
      <c r="C317" s="352"/>
      <c r="D317" s="350">
        <v>199908</v>
      </c>
      <c r="E317" s="350">
        <v>10</v>
      </c>
    </row>
    <row r="318" spans="1:5">
      <c r="A318" s="410" t="s">
        <v>280</v>
      </c>
      <c r="B318" s="347" t="s">
        <v>351</v>
      </c>
      <c r="C318" s="348"/>
      <c r="D318" s="350">
        <v>199953</v>
      </c>
      <c r="E318" s="350">
        <v>10</v>
      </c>
    </row>
    <row r="319" spans="1:5">
      <c r="A319" s="45" t="s">
        <v>352</v>
      </c>
      <c r="B319" s="44"/>
      <c r="C319" s="1"/>
      <c r="D319" s="33"/>
      <c r="E319" s="33"/>
    </row>
    <row r="320" spans="1:5">
      <c r="A320" s="375" t="s">
        <v>353</v>
      </c>
      <c r="B320" s="358" t="s">
        <v>354</v>
      </c>
      <c r="C320" s="359"/>
      <c r="D320" s="360">
        <v>217882</v>
      </c>
      <c r="E320" s="360">
        <v>1</v>
      </c>
    </row>
    <row r="321" spans="1:5">
      <c r="A321" s="375" t="s">
        <v>353</v>
      </c>
      <c r="B321" s="358" t="s">
        <v>355</v>
      </c>
      <c r="C321" s="359"/>
      <c r="D321" s="360">
        <v>218663</v>
      </c>
      <c r="E321" s="360">
        <v>1</v>
      </c>
    </row>
    <row r="322" spans="1:5">
      <c r="A322" s="375" t="s">
        <v>353</v>
      </c>
      <c r="B322" s="358" t="s">
        <v>356</v>
      </c>
      <c r="C322" s="359"/>
      <c r="D322" s="360">
        <v>217819</v>
      </c>
      <c r="E322" s="360">
        <v>3</v>
      </c>
    </row>
    <row r="323" spans="1:5">
      <c r="A323" s="375" t="s">
        <v>353</v>
      </c>
      <c r="B323" s="358" t="s">
        <v>357</v>
      </c>
      <c r="C323" s="361"/>
      <c r="D323" s="360">
        <v>217864</v>
      </c>
      <c r="E323" s="360">
        <v>3</v>
      </c>
    </row>
    <row r="324" spans="1:5">
      <c r="A324" s="375" t="s">
        <v>353</v>
      </c>
      <c r="B324" s="358" t="s">
        <v>358</v>
      </c>
      <c r="C324" s="359"/>
      <c r="D324" s="360">
        <v>218964</v>
      </c>
      <c r="E324" s="360">
        <v>3</v>
      </c>
    </row>
    <row r="325" spans="1:5" ht="15.75">
      <c r="A325" s="375" t="s">
        <v>353</v>
      </c>
      <c r="B325" s="358" t="s">
        <v>359</v>
      </c>
      <c r="C325" s="376"/>
      <c r="D325" s="360">
        <v>218724</v>
      </c>
      <c r="E325" s="360">
        <v>4</v>
      </c>
    </row>
    <row r="326" spans="1:5" ht="15.75">
      <c r="A326" s="375" t="s">
        <v>353</v>
      </c>
      <c r="B326" s="358" t="s">
        <v>360</v>
      </c>
      <c r="C326" s="377"/>
      <c r="D326" s="360">
        <v>218061</v>
      </c>
      <c r="E326" s="360">
        <v>5</v>
      </c>
    </row>
    <row r="327" spans="1:5" ht="15.75">
      <c r="A327" s="375" t="s">
        <v>353</v>
      </c>
      <c r="B327" s="358" t="s">
        <v>361</v>
      </c>
      <c r="C327" s="377"/>
      <c r="D327" s="360">
        <v>218733</v>
      </c>
      <c r="E327" s="360">
        <v>5</v>
      </c>
    </row>
    <row r="328" spans="1:5" ht="15.75">
      <c r="A328" s="375" t="s">
        <v>353</v>
      </c>
      <c r="B328" s="358" t="s">
        <v>362</v>
      </c>
      <c r="C328" s="377" t="s">
        <v>716</v>
      </c>
      <c r="D328" s="360">
        <v>218229</v>
      </c>
      <c r="E328" s="360">
        <v>6</v>
      </c>
    </row>
    <row r="329" spans="1:5" ht="15.75">
      <c r="A329" s="375" t="s">
        <v>353</v>
      </c>
      <c r="B329" s="358" t="s">
        <v>363</v>
      </c>
      <c r="C329" s="446" t="s">
        <v>889</v>
      </c>
      <c r="D329" s="360">
        <v>218645</v>
      </c>
      <c r="E329" s="360">
        <v>6</v>
      </c>
    </row>
    <row r="330" spans="1:5" ht="15.75">
      <c r="A330" s="375" t="s">
        <v>353</v>
      </c>
      <c r="B330" s="358" t="s">
        <v>364</v>
      </c>
      <c r="C330" s="377"/>
      <c r="D330" s="360">
        <v>218654</v>
      </c>
      <c r="E330" s="360">
        <v>6</v>
      </c>
    </row>
    <row r="331" spans="1:5" ht="15.75">
      <c r="A331" s="375" t="s">
        <v>353</v>
      </c>
      <c r="B331" s="358" t="s">
        <v>365</v>
      </c>
      <c r="C331" s="377"/>
      <c r="D331" s="360">
        <v>218742</v>
      </c>
      <c r="E331" s="360">
        <v>6</v>
      </c>
    </row>
    <row r="332" spans="1:5" ht="15.75">
      <c r="A332" s="375" t="s">
        <v>353</v>
      </c>
      <c r="B332" s="358" t="s">
        <v>367</v>
      </c>
      <c r="C332" s="377"/>
      <c r="D332" s="360">
        <v>218113</v>
      </c>
      <c r="E332" s="360">
        <v>8</v>
      </c>
    </row>
    <row r="333" spans="1:5" ht="15.75">
      <c r="A333" s="375" t="s">
        <v>353</v>
      </c>
      <c r="B333" s="358" t="s">
        <v>368</v>
      </c>
      <c r="C333" s="446" t="s">
        <v>891</v>
      </c>
      <c r="D333" s="360">
        <v>218140</v>
      </c>
      <c r="E333" s="360">
        <v>8</v>
      </c>
    </row>
    <row r="334" spans="1:5" ht="15.75">
      <c r="A334" s="375" t="s">
        <v>353</v>
      </c>
      <c r="B334" s="358" t="s">
        <v>369</v>
      </c>
      <c r="C334" s="377"/>
      <c r="D334" s="360">
        <v>218353</v>
      </c>
      <c r="E334" s="360">
        <v>8</v>
      </c>
    </row>
    <row r="335" spans="1:5" ht="15.75">
      <c r="A335" s="375" t="s">
        <v>353</v>
      </c>
      <c r="B335" s="358" t="s">
        <v>372</v>
      </c>
      <c r="C335" s="377"/>
      <c r="D335" s="360">
        <v>218894</v>
      </c>
      <c r="E335" s="360">
        <v>8</v>
      </c>
    </row>
    <row r="336" spans="1:5" ht="15.75">
      <c r="A336" s="375" t="s">
        <v>353</v>
      </c>
      <c r="B336" s="358" t="s">
        <v>374</v>
      </c>
      <c r="C336" s="377"/>
      <c r="D336" s="360">
        <v>218858</v>
      </c>
      <c r="E336" s="360">
        <v>9</v>
      </c>
    </row>
    <row r="337" spans="1:5" ht="15.75">
      <c r="A337" s="375" t="s">
        <v>353</v>
      </c>
      <c r="B337" s="358" t="s">
        <v>366</v>
      </c>
      <c r="C337" s="376"/>
      <c r="D337" s="360">
        <v>218025</v>
      </c>
      <c r="E337" s="360">
        <v>9</v>
      </c>
    </row>
    <row r="338" spans="1:5" ht="15.75">
      <c r="A338" s="375" t="s">
        <v>353</v>
      </c>
      <c r="B338" s="358" t="s">
        <v>370</v>
      </c>
      <c r="C338" s="376"/>
      <c r="D338" s="360">
        <v>218520</v>
      </c>
      <c r="E338" s="360">
        <v>9</v>
      </c>
    </row>
    <row r="339" spans="1:5" ht="15.75">
      <c r="A339" s="375" t="s">
        <v>353</v>
      </c>
      <c r="B339" s="358" t="s">
        <v>376</v>
      </c>
      <c r="C339" s="377"/>
      <c r="D339" s="360">
        <v>218830</v>
      </c>
      <c r="E339" s="360">
        <v>9</v>
      </c>
    </row>
    <row r="340" spans="1:5" ht="15.75">
      <c r="A340" s="375" t="s">
        <v>353</v>
      </c>
      <c r="B340" s="358" t="s">
        <v>371</v>
      </c>
      <c r="C340" s="376"/>
      <c r="D340" s="360">
        <v>218885</v>
      </c>
      <c r="E340" s="360">
        <v>9</v>
      </c>
    </row>
    <row r="341" spans="1:5" ht="15.75">
      <c r="A341" s="375" t="s">
        <v>353</v>
      </c>
      <c r="B341" s="358" t="s">
        <v>377</v>
      </c>
      <c r="C341" s="377"/>
      <c r="D341" s="360">
        <v>218991</v>
      </c>
      <c r="E341" s="360">
        <v>9</v>
      </c>
    </row>
    <row r="342" spans="1:5" ht="15.75">
      <c r="A342" s="375" t="s">
        <v>353</v>
      </c>
      <c r="B342" s="358" t="s">
        <v>373</v>
      </c>
      <c r="C342" s="376"/>
      <c r="D342" s="360">
        <v>217615</v>
      </c>
      <c r="E342" s="360">
        <v>10</v>
      </c>
    </row>
    <row r="343" spans="1:5">
      <c r="A343" s="375" t="s">
        <v>353</v>
      </c>
      <c r="B343" s="358" t="s">
        <v>378</v>
      </c>
      <c r="C343" s="359"/>
      <c r="D343" s="360">
        <v>217989</v>
      </c>
      <c r="E343" s="360">
        <v>10</v>
      </c>
    </row>
    <row r="344" spans="1:5">
      <c r="A344" s="375" t="s">
        <v>353</v>
      </c>
      <c r="B344" s="358" t="s">
        <v>379</v>
      </c>
      <c r="C344" s="359"/>
      <c r="D344" s="360">
        <v>217837</v>
      </c>
      <c r="E344" s="360">
        <v>10</v>
      </c>
    </row>
    <row r="345" spans="1:5" ht="15.75">
      <c r="A345" s="375" t="s">
        <v>353</v>
      </c>
      <c r="B345" s="358" t="s">
        <v>375</v>
      </c>
      <c r="C345" s="376"/>
      <c r="D345" s="360">
        <v>218487</v>
      </c>
      <c r="E345" s="360">
        <v>10</v>
      </c>
    </row>
    <row r="346" spans="1:5">
      <c r="A346" s="375" t="s">
        <v>353</v>
      </c>
      <c r="B346" s="358" t="s">
        <v>380</v>
      </c>
      <c r="C346" s="359"/>
      <c r="D346" s="360">
        <v>217712</v>
      </c>
      <c r="E346" s="360">
        <v>10</v>
      </c>
    </row>
    <row r="347" spans="1:5">
      <c r="A347" s="375" t="s">
        <v>353</v>
      </c>
      <c r="B347" s="358" t="s">
        <v>381</v>
      </c>
      <c r="C347" s="359"/>
      <c r="D347" s="360">
        <v>218672</v>
      </c>
      <c r="E347" s="360">
        <v>10</v>
      </c>
    </row>
    <row r="348" spans="1:5">
      <c r="A348" s="375" t="s">
        <v>353</v>
      </c>
      <c r="B348" s="358" t="s">
        <v>382</v>
      </c>
      <c r="C348" s="359"/>
      <c r="D348" s="360">
        <v>218681</v>
      </c>
      <c r="E348" s="360">
        <v>10</v>
      </c>
    </row>
    <row r="349" spans="1:5" ht="15.75">
      <c r="A349" s="375" t="s">
        <v>353</v>
      </c>
      <c r="B349" s="358" t="s">
        <v>383</v>
      </c>
      <c r="C349" s="377"/>
      <c r="D349" s="360">
        <v>218690</v>
      </c>
      <c r="E349" s="360">
        <v>10</v>
      </c>
    </row>
    <row r="350" spans="1:5" ht="15.75">
      <c r="A350" s="375" t="s">
        <v>353</v>
      </c>
      <c r="B350" s="358" t="s">
        <v>384</v>
      </c>
      <c r="C350" s="377"/>
      <c r="D350" s="360">
        <v>218706</v>
      </c>
      <c r="E350" s="360">
        <v>10</v>
      </c>
    </row>
    <row r="351" spans="1:5" ht="15.75">
      <c r="A351" s="375" t="s">
        <v>353</v>
      </c>
      <c r="B351" s="362" t="s">
        <v>734</v>
      </c>
      <c r="C351" s="377"/>
      <c r="D351" s="360">
        <v>218955</v>
      </c>
      <c r="E351" s="360">
        <v>10</v>
      </c>
    </row>
    <row r="352" spans="1:5">
      <c r="A352" s="338" t="s">
        <v>385</v>
      </c>
      <c r="B352" s="339" t="s">
        <v>386</v>
      </c>
      <c r="C352" s="340"/>
      <c r="D352" s="338">
        <v>220862</v>
      </c>
      <c r="E352" s="338">
        <v>1</v>
      </c>
    </row>
    <row r="353" spans="1:5">
      <c r="A353" s="409" t="s">
        <v>385</v>
      </c>
      <c r="B353" s="339" t="s">
        <v>387</v>
      </c>
      <c r="C353" s="341"/>
      <c r="D353" s="338">
        <v>221759</v>
      </c>
      <c r="E353" s="338">
        <v>1</v>
      </c>
    </row>
    <row r="354" spans="1:5">
      <c r="A354" s="409" t="s">
        <v>385</v>
      </c>
      <c r="B354" s="339" t="s">
        <v>388</v>
      </c>
      <c r="C354" s="340"/>
      <c r="D354" s="338">
        <v>220075</v>
      </c>
      <c r="E354" s="338">
        <v>2</v>
      </c>
    </row>
    <row r="355" spans="1:5" ht="15.75">
      <c r="A355" s="338" t="s">
        <v>385</v>
      </c>
      <c r="B355" s="339" t="s">
        <v>391</v>
      </c>
      <c r="C355" s="378"/>
      <c r="D355" s="338">
        <v>220978</v>
      </c>
      <c r="E355" s="338">
        <v>2</v>
      </c>
    </row>
    <row r="356" spans="1:5">
      <c r="A356" s="409" t="s">
        <v>385</v>
      </c>
      <c r="B356" s="339" t="s">
        <v>389</v>
      </c>
      <c r="C356" s="340"/>
      <c r="D356" s="338">
        <v>221838</v>
      </c>
      <c r="E356" s="338">
        <v>2</v>
      </c>
    </row>
    <row r="357" spans="1:5">
      <c r="A357" s="409" t="s">
        <v>385</v>
      </c>
      <c r="B357" s="339" t="s">
        <v>390</v>
      </c>
      <c r="C357" s="341"/>
      <c r="D357" s="338">
        <v>219602</v>
      </c>
      <c r="E357" s="338">
        <v>3</v>
      </c>
    </row>
    <row r="358" spans="1:5" ht="15.75">
      <c r="A358" s="338" t="s">
        <v>385</v>
      </c>
      <c r="B358" s="339" t="s">
        <v>392</v>
      </c>
      <c r="C358" s="379"/>
      <c r="D358" s="338">
        <v>221847</v>
      </c>
      <c r="E358" s="338">
        <v>3</v>
      </c>
    </row>
    <row r="359" spans="1:5" ht="15.75">
      <c r="A359" s="409" t="s">
        <v>385</v>
      </c>
      <c r="B359" s="339" t="s">
        <v>393</v>
      </c>
      <c r="C359" s="379"/>
      <c r="D359" s="338">
        <v>221740</v>
      </c>
      <c r="E359" s="338">
        <v>3</v>
      </c>
    </row>
    <row r="360" spans="1:5" ht="15.75">
      <c r="A360" s="409" t="s">
        <v>385</v>
      </c>
      <c r="B360" s="339" t="s">
        <v>394</v>
      </c>
      <c r="C360" s="424" t="s">
        <v>880</v>
      </c>
      <c r="D360" s="425">
        <v>221768</v>
      </c>
      <c r="E360" s="426">
        <v>4</v>
      </c>
    </row>
    <row r="361" spans="1:5" ht="15.75">
      <c r="A361" s="338" t="s">
        <v>385</v>
      </c>
      <c r="B361" s="339" t="s">
        <v>395</v>
      </c>
      <c r="C361" s="379"/>
      <c r="D361" s="338">
        <v>219824</v>
      </c>
      <c r="E361" s="338">
        <v>8</v>
      </c>
    </row>
    <row r="362" spans="1:5" ht="15.75">
      <c r="A362" s="409" t="s">
        <v>385</v>
      </c>
      <c r="B362" s="339" t="s">
        <v>396</v>
      </c>
      <c r="C362" s="379"/>
      <c r="D362" s="338">
        <v>221184</v>
      </c>
      <c r="E362" s="338">
        <v>8</v>
      </c>
    </row>
    <row r="363" spans="1:5" ht="15.75">
      <c r="A363" s="409" t="s">
        <v>385</v>
      </c>
      <c r="B363" s="339" t="s">
        <v>397</v>
      </c>
      <c r="C363" s="379"/>
      <c r="D363" s="338">
        <v>221643</v>
      </c>
      <c r="E363" s="338">
        <v>8</v>
      </c>
    </row>
    <row r="364" spans="1:5" ht="15.75">
      <c r="A364" s="338" t="s">
        <v>385</v>
      </c>
      <c r="B364" s="339" t="s">
        <v>398</v>
      </c>
      <c r="C364" s="379"/>
      <c r="D364" s="338">
        <v>221485</v>
      </c>
      <c r="E364" s="338">
        <v>8</v>
      </c>
    </row>
    <row r="365" spans="1:5" ht="15.75">
      <c r="A365" s="409" t="s">
        <v>385</v>
      </c>
      <c r="B365" s="339" t="s">
        <v>399</v>
      </c>
      <c r="C365" s="379"/>
      <c r="D365" s="338">
        <v>222053</v>
      </c>
      <c r="E365" s="338">
        <v>8</v>
      </c>
    </row>
    <row r="366" spans="1:5" ht="15.75">
      <c r="A366" s="409" t="s">
        <v>385</v>
      </c>
      <c r="B366" s="339" t="s">
        <v>400</v>
      </c>
      <c r="C366" s="379"/>
      <c r="D366" s="338">
        <v>219879</v>
      </c>
      <c r="E366" s="338">
        <v>9</v>
      </c>
    </row>
    <row r="367" spans="1:5" ht="15.75">
      <c r="A367" s="338" t="s">
        <v>385</v>
      </c>
      <c r="B367" s="339" t="s">
        <v>401</v>
      </c>
      <c r="C367" s="379"/>
      <c r="D367" s="338">
        <v>219888</v>
      </c>
      <c r="E367" s="338">
        <v>9</v>
      </c>
    </row>
    <row r="368" spans="1:5" ht="15.75">
      <c r="A368" s="409" t="s">
        <v>385</v>
      </c>
      <c r="B368" s="339" t="s">
        <v>403</v>
      </c>
      <c r="C368" s="379"/>
      <c r="D368" s="338">
        <v>220400</v>
      </c>
      <c r="E368" s="338">
        <v>9</v>
      </c>
    </row>
    <row r="369" spans="1:5" ht="15.75">
      <c r="A369" s="409" t="s">
        <v>385</v>
      </c>
      <c r="B369" s="339" t="s">
        <v>404</v>
      </c>
      <c r="C369" s="379"/>
      <c r="D369" s="338">
        <v>221096</v>
      </c>
      <c r="E369" s="338">
        <v>9</v>
      </c>
    </row>
    <row r="370" spans="1:5" ht="15.75">
      <c r="A370" s="338" t="s">
        <v>385</v>
      </c>
      <c r="B370" s="339" t="s">
        <v>405</v>
      </c>
      <c r="C370" s="379"/>
      <c r="D370" s="338">
        <v>221908</v>
      </c>
      <c r="E370" s="338">
        <v>9</v>
      </c>
    </row>
    <row r="371" spans="1:5" ht="15.75">
      <c r="A371" s="409" t="s">
        <v>385</v>
      </c>
      <c r="B371" s="339" t="s">
        <v>406</v>
      </c>
      <c r="C371" s="379"/>
      <c r="D371" s="338">
        <v>221397</v>
      </c>
      <c r="E371" s="338">
        <v>9</v>
      </c>
    </row>
    <row r="372" spans="1:5" ht="15.75">
      <c r="A372" s="409" t="s">
        <v>385</v>
      </c>
      <c r="B372" s="339" t="s">
        <v>407</v>
      </c>
      <c r="C372" s="379"/>
      <c r="D372" s="338">
        <v>222062</v>
      </c>
      <c r="E372" s="338">
        <v>9</v>
      </c>
    </row>
    <row r="373" spans="1:5" ht="15.75">
      <c r="A373" s="338" t="s">
        <v>385</v>
      </c>
      <c r="B373" s="339" t="s">
        <v>402</v>
      </c>
      <c r="C373" s="378"/>
      <c r="D373" s="338">
        <v>220057</v>
      </c>
      <c r="E373" s="338">
        <v>10</v>
      </c>
    </row>
    <row r="374" spans="1:5">
      <c r="A374" s="409" t="s">
        <v>385</v>
      </c>
      <c r="B374" s="339" t="s">
        <v>410</v>
      </c>
      <c r="C374" s="340"/>
      <c r="D374" s="338">
        <v>219596</v>
      </c>
      <c r="E374" s="338">
        <v>13</v>
      </c>
    </row>
    <row r="375" spans="1:5" ht="15.75">
      <c r="A375" s="409" t="s">
        <v>385</v>
      </c>
      <c r="B375" s="339" t="s">
        <v>408</v>
      </c>
      <c r="C375" s="427"/>
      <c r="D375" s="338" t="s">
        <v>409</v>
      </c>
      <c r="E375" s="338">
        <v>13</v>
      </c>
    </row>
    <row r="376" spans="1:5">
      <c r="A376" s="338" t="s">
        <v>385</v>
      </c>
      <c r="B376" s="339" t="s">
        <v>411</v>
      </c>
      <c r="C376" s="340"/>
      <c r="D376" s="338">
        <v>219921</v>
      </c>
      <c r="E376" s="338">
        <v>13</v>
      </c>
    </row>
    <row r="377" spans="1:5">
      <c r="A377" s="409" t="s">
        <v>385</v>
      </c>
      <c r="B377" s="339" t="s">
        <v>412</v>
      </c>
      <c r="C377" s="341"/>
      <c r="D377" s="338">
        <v>221591</v>
      </c>
      <c r="E377" s="338">
        <v>13</v>
      </c>
    </row>
    <row r="378" spans="1:5">
      <c r="A378" s="409" t="s">
        <v>385</v>
      </c>
      <c r="B378" s="339" t="s">
        <v>413</v>
      </c>
      <c r="C378" s="340"/>
      <c r="D378" s="338">
        <v>221430</v>
      </c>
      <c r="E378" s="338">
        <v>13</v>
      </c>
    </row>
    <row r="379" spans="1:5">
      <c r="A379" s="338" t="s">
        <v>385</v>
      </c>
      <c r="B379" s="339" t="s">
        <v>414</v>
      </c>
      <c r="C379" s="340"/>
      <c r="D379" s="338">
        <v>219994</v>
      </c>
      <c r="E379" s="338">
        <v>13</v>
      </c>
    </row>
    <row r="380" spans="1:5">
      <c r="A380" s="409" t="s">
        <v>385</v>
      </c>
      <c r="B380" s="339" t="s">
        <v>415</v>
      </c>
      <c r="C380" s="341"/>
      <c r="D380" s="338">
        <v>220127</v>
      </c>
      <c r="E380" s="338">
        <v>13</v>
      </c>
    </row>
    <row r="381" spans="1:5">
      <c r="A381" s="409" t="s">
        <v>385</v>
      </c>
      <c r="B381" s="339" t="s">
        <v>416</v>
      </c>
      <c r="C381" s="340"/>
      <c r="D381" s="338">
        <v>220251</v>
      </c>
      <c r="E381" s="338">
        <v>13</v>
      </c>
    </row>
    <row r="382" spans="1:5">
      <c r="A382" s="338" t="s">
        <v>385</v>
      </c>
      <c r="B382" s="339" t="s">
        <v>417</v>
      </c>
      <c r="C382" s="340"/>
      <c r="D382" s="338">
        <v>220279</v>
      </c>
      <c r="E382" s="338">
        <v>13</v>
      </c>
    </row>
    <row r="383" spans="1:5">
      <c r="A383" s="409" t="s">
        <v>385</v>
      </c>
      <c r="B383" s="339" t="s">
        <v>418</v>
      </c>
      <c r="C383" s="341"/>
      <c r="D383" s="338">
        <v>220321</v>
      </c>
      <c r="E383" s="338">
        <v>13</v>
      </c>
    </row>
    <row r="384" spans="1:5">
      <c r="A384" s="409" t="s">
        <v>385</v>
      </c>
      <c r="B384" s="339" t="s">
        <v>419</v>
      </c>
      <c r="C384" s="340"/>
      <c r="D384" s="338">
        <v>220394</v>
      </c>
      <c r="E384" s="338">
        <v>13</v>
      </c>
    </row>
    <row r="385" spans="1:5">
      <c r="A385" s="338" t="s">
        <v>385</v>
      </c>
      <c r="B385" s="339" t="s">
        <v>420</v>
      </c>
      <c r="C385" s="340"/>
      <c r="D385" s="338">
        <v>221616</v>
      </c>
      <c r="E385" s="338">
        <v>13</v>
      </c>
    </row>
    <row r="386" spans="1:5">
      <c r="A386" s="409" t="s">
        <v>385</v>
      </c>
      <c r="B386" s="339" t="s">
        <v>421</v>
      </c>
      <c r="C386" s="341"/>
      <c r="D386" s="338">
        <v>221625</v>
      </c>
      <c r="E386" s="338">
        <v>13</v>
      </c>
    </row>
    <row r="387" spans="1:5">
      <c r="A387" s="409" t="s">
        <v>385</v>
      </c>
      <c r="B387" s="339" t="s">
        <v>422</v>
      </c>
      <c r="C387" s="340"/>
      <c r="D387" s="338">
        <v>220640</v>
      </c>
      <c r="E387" s="338">
        <v>13</v>
      </c>
    </row>
    <row r="388" spans="1:5">
      <c r="A388" s="338" t="s">
        <v>385</v>
      </c>
      <c r="B388" s="339" t="s">
        <v>423</v>
      </c>
      <c r="C388" s="340"/>
      <c r="D388" s="338">
        <v>220756</v>
      </c>
      <c r="E388" s="338">
        <v>13</v>
      </c>
    </row>
    <row r="389" spans="1:5">
      <c r="A389" s="409" t="s">
        <v>385</v>
      </c>
      <c r="B389" s="339" t="s">
        <v>424</v>
      </c>
      <c r="C389" s="341"/>
      <c r="D389" s="338">
        <v>221607</v>
      </c>
      <c r="E389" s="338">
        <v>13</v>
      </c>
    </row>
    <row r="390" spans="1:5">
      <c r="A390" s="409" t="s">
        <v>385</v>
      </c>
      <c r="B390" s="339" t="s">
        <v>425</v>
      </c>
      <c r="C390" s="445" t="s">
        <v>898</v>
      </c>
      <c r="D390" s="338">
        <v>220853</v>
      </c>
      <c r="E390" s="338">
        <v>13</v>
      </c>
    </row>
    <row r="391" spans="1:5">
      <c r="A391" s="338" t="s">
        <v>385</v>
      </c>
      <c r="B391" s="339" t="s">
        <v>426</v>
      </c>
      <c r="C391" s="340"/>
      <c r="D391" s="338">
        <v>221050</v>
      </c>
      <c r="E391" s="338">
        <v>13</v>
      </c>
    </row>
    <row r="392" spans="1:5">
      <c r="A392" s="409" t="s">
        <v>385</v>
      </c>
      <c r="B392" s="339" t="s">
        <v>427</v>
      </c>
      <c r="C392" s="341"/>
      <c r="D392" s="338">
        <v>221102</v>
      </c>
      <c r="E392" s="338">
        <v>13</v>
      </c>
    </row>
    <row r="393" spans="1:5">
      <c r="A393" s="409" t="s">
        <v>385</v>
      </c>
      <c r="B393" s="339" t="s">
        <v>428</v>
      </c>
      <c r="C393" s="340"/>
      <c r="D393" s="338">
        <v>248925</v>
      </c>
      <c r="E393" s="338">
        <v>13</v>
      </c>
    </row>
    <row r="394" spans="1:5">
      <c r="A394" s="338" t="s">
        <v>385</v>
      </c>
      <c r="B394" s="339" t="s">
        <v>429</v>
      </c>
      <c r="C394" s="340"/>
      <c r="D394" s="338">
        <v>221236</v>
      </c>
      <c r="E394" s="338">
        <v>13</v>
      </c>
    </row>
    <row r="395" spans="1:5">
      <c r="A395" s="409" t="s">
        <v>385</v>
      </c>
      <c r="B395" s="339" t="s">
        <v>430</v>
      </c>
      <c r="C395" s="341"/>
      <c r="D395" s="338">
        <v>221582</v>
      </c>
      <c r="E395" s="338">
        <v>13</v>
      </c>
    </row>
    <row r="396" spans="1:5">
      <c r="A396" s="409" t="s">
        <v>385</v>
      </c>
      <c r="B396" s="339" t="s">
        <v>431</v>
      </c>
      <c r="C396" s="340"/>
      <c r="D396" s="338">
        <v>221281</v>
      </c>
      <c r="E396" s="338">
        <v>13</v>
      </c>
    </row>
    <row r="397" spans="1:5">
      <c r="A397" s="338" t="s">
        <v>385</v>
      </c>
      <c r="B397" s="339" t="s">
        <v>432</v>
      </c>
      <c r="C397" s="340"/>
      <c r="D397" s="338">
        <v>221333</v>
      </c>
      <c r="E397" s="338">
        <v>13</v>
      </c>
    </row>
    <row r="398" spans="1:5">
      <c r="A398" s="409" t="s">
        <v>385</v>
      </c>
      <c r="B398" s="339" t="s">
        <v>433</v>
      </c>
      <c r="C398" s="341"/>
      <c r="D398" s="338">
        <v>221388</v>
      </c>
      <c r="E398" s="338">
        <v>13</v>
      </c>
    </row>
    <row r="399" spans="1:5">
      <c r="A399" s="409" t="s">
        <v>385</v>
      </c>
      <c r="B399" s="339" t="s">
        <v>434</v>
      </c>
      <c r="C399" s="340"/>
      <c r="D399" s="338">
        <v>221494</v>
      </c>
      <c r="E399" s="338">
        <v>13</v>
      </c>
    </row>
    <row r="400" spans="1:5">
      <c r="A400" s="338" t="s">
        <v>385</v>
      </c>
      <c r="B400" s="339" t="s">
        <v>435</v>
      </c>
      <c r="C400" s="340"/>
      <c r="D400" s="338">
        <v>221634</v>
      </c>
      <c r="E400" s="338">
        <v>13</v>
      </c>
    </row>
    <row r="401" spans="1:5">
      <c r="A401" s="367" t="s">
        <v>436</v>
      </c>
      <c r="B401" s="365" t="s">
        <v>751</v>
      </c>
      <c r="C401" s="366"/>
      <c r="D401" s="367">
        <v>228723</v>
      </c>
      <c r="E401" s="367">
        <v>1</v>
      </c>
    </row>
    <row r="402" spans="1:5">
      <c r="A402" s="367" t="s">
        <v>436</v>
      </c>
      <c r="B402" s="365" t="s">
        <v>752</v>
      </c>
      <c r="C402" s="366"/>
      <c r="D402" s="367">
        <v>229115</v>
      </c>
      <c r="E402" s="367">
        <v>1</v>
      </c>
    </row>
    <row r="403" spans="1:5">
      <c r="A403" s="367" t="s">
        <v>436</v>
      </c>
      <c r="B403" s="365" t="s">
        <v>753</v>
      </c>
      <c r="C403" s="366"/>
      <c r="D403" s="367">
        <v>225511</v>
      </c>
      <c r="E403" s="367">
        <v>1</v>
      </c>
    </row>
    <row r="404" spans="1:5">
      <c r="A404" s="367" t="s">
        <v>436</v>
      </c>
      <c r="B404" s="365" t="s">
        <v>754</v>
      </c>
      <c r="C404" s="366"/>
      <c r="D404" s="367">
        <v>227216</v>
      </c>
      <c r="E404" s="367">
        <v>1</v>
      </c>
    </row>
    <row r="405" spans="1:5">
      <c r="A405" s="367" t="s">
        <v>436</v>
      </c>
      <c r="B405" s="365" t="s">
        <v>755</v>
      </c>
      <c r="C405" s="366"/>
      <c r="D405" s="367">
        <v>228769</v>
      </c>
      <c r="E405" s="367">
        <v>1</v>
      </c>
    </row>
    <row r="406" spans="1:5">
      <c r="A406" s="367" t="s">
        <v>436</v>
      </c>
      <c r="B406" s="365" t="s">
        <v>756</v>
      </c>
      <c r="C406" s="366"/>
      <c r="D406" s="367">
        <v>228778</v>
      </c>
      <c r="E406" s="367">
        <v>1</v>
      </c>
    </row>
    <row r="407" spans="1:5">
      <c r="A407" s="367" t="s">
        <v>436</v>
      </c>
      <c r="B407" s="365" t="s">
        <v>757</v>
      </c>
      <c r="C407" s="366"/>
      <c r="D407" s="367">
        <v>228787</v>
      </c>
      <c r="E407" s="367">
        <v>1</v>
      </c>
    </row>
    <row r="408" spans="1:5" ht="15.75">
      <c r="A408" s="367" t="s">
        <v>436</v>
      </c>
      <c r="B408" s="365" t="s">
        <v>758</v>
      </c>
      <c r="C408" s="368"/>
      <c r="D408" s="367">
        <v>229027</v>
      </c>
      <c r="E408" s="367">
        <v>1</v>
      </c>
    </row>
    <row r="409" spans="1:5" ht="15.75">
      <c r="A409" s="367" t="s">
        <v>436</v>
      </c>
      <c r="B409" s="380" t="s">
        <v>759</v>
      </c>
      <c r="C409" s="368"/>
      <c r="D409" s="367">
        <v>228459</v>
      </c>
      <c r="E409" s="367">
        <v>2</v>
      </c>
    </row>
    <row r="410" spans="1:5" ht="15.75">
      <c r="A410" s="367" t="s">
        <v>436</v>
      </c>
      <c r="B410" s="365" t="s">
        <v>760</v>
      </c>
      <c r="C410" s="447" t="s">
        <v>899</v>
      </c>
      <c r="D410" s="367">
        <v>229179</v>
      </c>
      <c r="E410" s="367">
        <v>2</v>
      </c>
    </row>
    <row r="411" spans="1:5" ht="15.75">
      <c r="A411" s="367" t="s">
        <v>436</v>
      </c>
      <c r="B411" s="365" t="s">
        <v>761</v>
      </c>
      <c r="C411" s="448" t="s">
        <v>900</v>
      </c>
      <c r="D411" s="367">
        <v>228796</v>
      </c>
      <c r="E411" s="367">
        <v>2</v>
      </c>
    </row>
    <row r="412" spans="1:5" ht="15.75">
      <c r="A412" s="367" t="s">
        <v>436</v>
      </c>
      <c r="B412" s="365" t="s">
        <v>762</v>
      </c>
      <c r="C412" s="381"/>
      <c r="D412" s="367">
        <v>222831</v>
      </c>
      <c r="E412" s="367">
        <v>3</v>
      </c>
    </row>
    <row r="413" spans="1:5" ht="15.75">
      <c r="A413" s="367" t="s">
        <v>436</v>
      </c>
      <c r="B413" s="365" t="s">
        <v>763</v>
      </c>
      <c r="C413" s="381"/>
      <c r="D413" s="367">
        <v>226091</v>
      </c>
      <c r="E413" s="367">
        <v>3</v>
      </c>
    </row>
    <row r="414" spans="1:5" ht="15.75">
      <c r="A414" s="367" t="s">
        <v>436</v>
      </c>
      <c r="B414" s="365" t="s">
        <v>764</v>
      </c>
      <c r="C414" s="381"/>
      <c r="D414" s="367">
        <v>226833</v>
      </c>
      <c r="E414" s="367">
        <v>3</v>
      </c>
    </row>
    <row r="415" spans="1:5" ht="15.75">
      <c r="A415" s="367" t="s">
        <v>436</v>
      </c>
      <c r="B415" s="365" t="s">
        <v>765</v>
      </c>
      <c r="C415" s="381"/>
      <c r="D415" s="367">
        <v>227526</v>
      </c>
      <c r="E415" s="367">
        <v>3</v>
      </c>
    </row>
    <row r="416" spans="1:5" ht="15.75">
      <c r="A416" s="367" t="s">
        <v>436</v>
      </c>
      <c r="B416" s="365" t="s">
        <v>766</v>
      </c>
      <c r="C416" s="381"/>
      <c r="D416" s="367">
        <v>227881</v>
      </c>
      <c r="E416" s="367">
        <v>3</v>
      </c>
    </row>
    <row r="417" spans="1:5" ht="15.75">
      <c r="A417" s="367" t="s">
        <v>436</v>
      </c>
      <c r="B417" s="365" t="s">
        <v>767</v>
      </c>
      <c r="C417" s="381"/>
      <c r="D417" s="367">
        <v>228431</v>
      </c>
      <c r="E417" s="367">
        <v>3</v>
      </c>
    </row>
    <row r="418" spans="1:5" ht="15.75">
      <c r="A418" s="367" t="s">
        <v>436</v>
      </c>
      <c r="B418" s="365" t="s">
        <v>768</v>
      </c>
      <c r="C418" s="381"/>
      <c r="D418" s="367">
        <v>228501</v>
      </c>
      <c r="E418" s="367">
        <v>3</v>
      </c>
    </row>
    <row r="419" spans="1:5" ht="15.75">
      <c r="A419" s="367" t="s">
        <v>436</v>
      </c>
      <c r="B419" s="365" t="s">
        <v>769</v>
      </c>
      <c r="C419" s="381"/>
      <c r="D419" s="367">
        <v>228529</v>
      </c>
      <c r="E419" s="367">
        <v>3</v>
      </c>
    </row>
    <row r="420" spans="1:5" ht="15.75">
      <c r="A420" s="367" t="s">
        <v>436</v>
      </c>
      <c r="B420" s="365" t="s">
        <v>770</v>
      </c>
      <c r="C420" s="381"/>
      <c r="D420" s="367">
        <v>226152</v>
      </c>
      <c r="E420" s="367">
        <v>3</v>
      </c>
    </row>
    <row r="421" spans="1:5" ht="15.75">
      <c r="A421" s="367" t="s">
        <v>436</v>
      </c>
      <c r="B421" s="365" t="s">
        <v>771</v>
      </c>
      <c r="C421" s="381"/>
      <c r="D421" s="367">
        <v>224554</v>
      </c>
      <c r="E421" s="367">
        <v>3</v>
      </c>
    </row>
    <row r="422" spans="1:5" ht="15.75">
      <c r="A422" s="367" t="s">
        <v>436</v>
      </c>
      <c r="B422" s="365" t="s">
        <v>772</v>
      </c>
      <c r="C422" s="381" t="s">
        <v>727</v>
      </c>
      <c r="D422" s="367">
        <v>224147</v>
      </c>
      <c r="E422" s="367">
        <v>3</v>
      </c>
    </row>
    <row r="423" spans="1:5" ht="15.75">
      <c r="A423" s="367" t="s">
        <v>436</v>
      </c>
      <c r="B423" s="365" t="s">
        <v>773</v>
      </c>
      <c r="C423" s="381"/>
      <c r="D423" s="367">
        <v>228705</v>
      </c>
      <c r="E423" s="367">
        <v>3</v>
      </c>
    </row>
    <row r="424" spans="1:5" ht="15.75">
      <c r="A424" s="367" t="s">
        <v>436</v>
      </c>
      <c r="B424" s="365" t="s">
        <v>774</v>
      </c>
      <c r="C424" s="381"/>
      <c r="D424" s="367">
        <v>229063</v>
      </c>
      <c r="E424" s="367">
        <v>3</v>
      </c>
    </row>
    <row r="425" spans="1:5" ht="15.75">
      <c r="A425" s="367" t="s">
        <v>436</v>
      </c>
      <c r="B425" s="365" t="s">
        <v>775</v>
      </c>
      <c r="C425" s="381"/>
      <c r="D425" s="367">
        <v>225414</v>
      </c>
      <c r="E425" s="367">
        <v>3</v>
      </c>
    </row>
    <row r="426" spans="1:5" ht="15.75">
      <c r="A426" s="367" t="s">
        <v>436</v>
      </c>
      <c r="B426" s="365" t="s">
        <v>776</v>
      </c>
      <c r="C426" s="381"/>
      <c r="D426" s="367">
        <v>228802</v>
      </c>
      <c r="E426" s="367">
        <v>3</v>
      </c>
    </row>
    <row r="427" spans="1:5" ht="15.75">
      <c r="A427" s="367" t="s">
        <v>436</v>
      </c>
      <c r="B427" s="382" t="s">
        <v>777</v>
      </c>
      <c r="C427" s="381"/>
      <c r="D427" s="367">
        <v>229018</v>
      </c>
      <c r="E427" s="367">
        <v>3</v>
      </c>
    </row>
    <row r="428" spans="1:5" ht="15.75">
      <c r="A428" s="421" t="s">
        <v>436</v>
      </c>
      <c r="B428" s="380" t="s">
        <v>778</v>
      </c>
      <c r="C428" s="381"/>
      <c r="D428" s="367">
        <v>227368</v>
      </c>
      <c r="E428" s="367">
        <v>3</v>
      </c>
    </row>
    <row r="429" spans="1:5" ht="15.75">
      <c r="A429" s="367" t="s">
        <v>436</v>
      </c>
      <c r="B429" s="365" t="s">
        <v>779</v>
      </c>
      <c r="C429" s="381"/>
      <c r="D429" s="367">
        <v>229814</v>
      </c>
      <c r="E429" s="367">
        <v>3</v>
      </c>
    </row>
    <row r="430" spans="1:5" ht="15.75">
      <c r="A430" s="367" t="s">
        <v>436</v>
      </c>
      <c r="B430" s="365" t="s">
        <v>780</v>
      </c>
      <c r="C430" s="381"/>
      <c r="D430" s="367">
        <v>224545</v>
      </c>
      <c r="E430" s="367">
        <v>4</v>
      </c>
    </row>
    <row r="431" spans="1:5" ht="15.75">
      <c r="A431" s="367" t="s">
        <v>436</v>
      </c>
      <c r="B431" s="365" t="s">
        <v>781</v>
      </c>
      <c r="C431" s="428" t="s">
        <v>884</v>
      </c>
      <c r="D431" s="41">
        <v>483036</v>
      </c>
      <c r="E431" s="429">
        <v>3</v>
      </c>
    </row>
    <row r="432" spans="1:5" ht="15.75">
      <c r="A432" s="367" t="s">
        <v>436</v>
      </c>
      <c r="B432" s="365" t="s">
        <v>782</v>
      </c>
      <c r="C432" s="430"/>
      <c r="D432" s="367">
        <v>225432</v>
      </c>
      <c r="E432" s="367">
        <v>4</v>
      </c>
    </row>
    <row r="433" spans="1:5" ht="15.75">
      <c r="A433" s="367" t="s">
        <v>436</v>
      </c>
      <c r="B433" s="365" t="s">
        <v>783</v>
      </c>
      <c r="C433" s="381"/>
      <c r="D433" s="367">
        <v>225502</v>
      </c>
      <c r="E433" s="367">
        <v>4</v>
      </c>
    </row>
    <row r="434" spans="1:5" ht="15.75">
      <c r="A434" s="367" t="s">
        <v>436</v>
      </c>
      <c r="B434" s="365" t="s">
        <v>784</v>
      </c>
      <c r="C434" s="381"/>
      <c r="D434" s="367" t="s">
        <v>785</v>
      </c>
      <c r="E434" s="367">
        <v>5</v>
      </c>
    </row>
    <row r="435" spans="1:5" ht="15.75">
      <c r="A435" s="367" t="s">
        <v>436</v>
      </c>
      <c r="B435" s="365" t="s">
        <v>786</v>
      </c>
      <c r="C435" s="368"/>
      <c r="D435" s="367">
        <v>228714</v>
      </c>
      <c r="E435" s="367">
        <v>5</v>
      </c>
    </row>
    <row r="436" spans="1:5" ht="15.75">
      <c r="A436" s="367" t="s">
        <v>436</v>
      </c>
      <c r="B436" s="365" t="s">
        <v>787</v>
      </c>
      <c r="C436" s="428" t="s">
        <v>885</v>
      </c>
      <c r="D436" s="41">
        <v>870501</v>
      </c>
      <c r="E436" s="429">
        <v>4</v>
      </c>
    </row>
    <row r="437" spans="1:5" ht="15.75">
      <c r="A437" s="367" t="s">
        <v>436</v>
      </c>
      <c r="B437" s="365" t="s">
        <v>788</v>
      </c>
      <c r="C437" s="448" t="s">
        <v>901</v>
      </c>
      <c r="D437" s="367">
        <v>223506</v>
      </c>
      <c r="E437" s="367">
        <v>7</v>
      </c>
    </row>
    <row r="438" spans="1:5" ht="15.75">
      <c r="A438" s="367" t="s">
        <v>436</v>
      </c>
      <c r="B438" s="365" t="s">
        <v>789</v>
      </c>
      <c r="C438" s="448" t="s">
        <v>901</v>
      </c>
      <c r="D438" s="367">
        <v>226806</v>
      </c>
      <c r="E438" s="367">
        <v>7</v>
      </c>
    </row>
    <row r="439" spans="1:5" ht="15.75">
      <c r="A439" s="367" t="s">
        <v>436</v>
      </c>
      <c r="B439" s="365" t="s">
        <v>790</v>
      </c>
      <c r="C439" s="448" t="s">
        <v>902</v>
      </c>
      <c r="D439" s="367">
        <v>409315</v>
      </c>
      <c r="E439" s="367">
        <v>7</v>
      </c>
    </row>
    <row r="440" spans="1:5" ht="15.75">
      <c r="A440" s="367" t="s">
        <v>436</v>
      </c>
      <c r="B440" s="365" t="s">
        <v>791</v>
      </c>
      <c r="C440" s="381"/>
      <c r="D440" s="367">
        <v>222576</v>
      </c>
      <c r="E440" s="367">
        <v>8</v>
      </c>
    </row>
    <row r="441" spans="1:5" ht="15.75">
      <c r="A441" s="367" t="s">
        <v>436</v>
      </c>
      <c r="B441" s="365" t="s">
        <v>792</v>
      </c>
      <c r="C441" s="381" t="s">
        <v>793</v>
      </c>
      <c r="D441" s="367">
        <v>222992</v>
      </c>
      <c r="E441" s="367">
        <v>8</v>
      </c>
    </row>
    <row r="442" spans="1:5" ht="15.75">
      <c r="A442" s="367" t="s">
        <v>436</v>
      </c>
      <c r="B442" s="365" t="s">
        <v>794</v>
      </c>
      <c r="C442" s="381"/>
      <c r="D442" s="367">
        <v>223427</v>
      </c>
      <c r="E442" s="367">
        <v>8</v>
      </c>
    </row>
    <row r="443" spans="1:5" ht="15.75">
      <c r="A443" s="367" t="s">
        <v>436</v>
      </c>
      <c r="B443" s="365" t="s">
        <v>795</v>
      </c>
      <c r="C443" s="448" t="s">
        <v>901</v>
      </c>
      <c r="D443" s="367">
        <v>223524</v>
      </c>
      <c r="E443" s="367">
        <v>8</v>
      </c>
    </row>
    <row r="444" spans="1:5" ht="15.75">
      <c r="A444" s="367" t="s">
        <v>436</v>
      </c>
      <c r="B444" s="365" t="s">
        <v>796</v>
      </c>
      <c r="C444" s="381"/>
      <c r="D444" s="367">
        <v>223816</v>
      </c>
      <c r="E444" s="367">
        <v>8</v>
      </c>
    </row>
    <row r="445" spans="1:5" ht="15.75">
      <c r="A445" s="367" t="s">
        <v>436</v>
      </c>
      <c r="B445" s="365" t="s">
        <v>797</v>
      </c>
      <c r="C445" s="381"/>
      <c r="D445" s="367">
        <v>247834</v>
      </c>
      <c r="E445" s="367">
        <v>8</v>
      </c>
    </row>
    <row r="446" spans="1:5" ht="15.75">
      <c r="A446" s="367" t="s">
        <v>436</v>
      </c>
      <c r="B446" s="365" t="s">
        <v>798</v>
      </c>
      <c r="C446" s="381"/>
      <c r="D446" s="367">
        <v>224350</v>
      </c>
      <c r="E446" s="367">
        <v>8</v>
      </c>
    </row>
    <row r="447" spans="1:5" ht="15.75">
      <c r="A447" s="367" t="s">
        <v>436</v>
      </c>
      <c r="B447" s="365" t="s">
        <v>799</v>
      </c>
      <c r="C447" s="381"/>
      <c r="D447" s="367">
        <v>224572</v>
      </c>
      <c r="E447" s="367">
        <v>8</v>
      </c>
    </row>
    <row r="448" spans="1:5" ht="15.75">
      <c r="A448" s="367" t="s">
        <v>436</v>
      </c>
      <c r="B448" s="365" t="s">
        <v>800</v>
      </c>
      <c r="C448" s="381"/>
      <c r="D448" s="367">
        <v>224615</v>
      </c>
      <c r="E448" s="367">
        <v>8</v>
      </c>
    </row>
    <row r="449" spans="1:5" ht="15.75">
      <c r="A449" s="367" t="s">
        <v>436</v>
      </c>
      <c r="B449" s="365" t="s">
        <v>801</v>
      </c>
      <c r="C449" s="381"/>
      <c r="D449" s="367">
        <v>224642</v>
      </c>
      <c r="E449" s="367">
        <v>8</v>
      </c>
    </row>
    <row r="450" spans="1:5" ht="15.75">
      <c r="A450" s="421" t="s">
        <v>436</v>
      </c>
      <c r="B450" s="365" t="s">
        <v>802</v>
      </c>
      <c r="C450" s="381"/>
      <c r="D450" s="367">
        <v>225423</v>
      </c>
      <c r="E450" s="367">
        <v>8</v>
      </c>
    </row>
    <row r="451" spans="1:5" ht="15.75">
      <c r="A451" s="421" t="s">
        <v>436</v>
      </c>
      <c r="B451" s="365" t="s">
        <v>803</v>
      </c>
      <c r="C451" s="381"/>
      <c r="D451" s="367">
        <v>226134</v>
      </c>
      <c r="E451" s="367">
        <v>8</v>
      </c>
    </row>
    <row r="452" spans="1:5" ht="15.75">
      <c r="A452" s="421" t="s">
        <v>436</v>
      </c>
      <c r="B452" s="365" t="s">
        <v>804</v>
      </c>
      <c r="C452" s="381"/>
      <c r="D452" s="367">
        <v>227182</v>
      </c>
      <c r="E452" s="367">
        <v>8</v>
      </c>
    </row>
    <row r="453" spans="1:5" ht="15.75">
      <c r="A453" s="421" t="s">
        <v>436</v>
      </c>
      <c r="B453" s="365" t="s">
        <v>805</v>
      </c>
      <c r="C453" s="381"/>
      <c r="D453" s="367">
        <v>226578</v>
      </c>
      <c r="E453" s="367">
        <v>8</v>
      </c>
    </row>
    <row r="454" spans="1:5" ht="15.75">
      <c r="A454" s="421" t="s">
        <v>436</v>
      </c>
      <c r="B454" s="365" t="s">
        <v>806</v>
      </c>
      <c r="C454" s="368"/>
      <c r="D454" s="367">
        <v>226930</v>
      </c>
      <c r="E454" s="367">
        <v>8</v>
      </c>
    </row>
    <row r="455" spans="1:5" ht="15.75">
      <c r="A455" s="421" t="s">
        <v>436</v>
      </c>
      <c r="B455" s="365" t="s">
        <v>807</v>
      </c>
      <c r="C455" s="381"/>
      <c r="D455" s="367">
        <v>227146</v>
      </c>
      <c r="E455" s="367">
        <v>8</v>
      </c>
    </row>
    <row r="456" spans="1:5" ht="15.75">
      <c r="A456" s="421" t="s">
        <v>436</v>
      </c>
      <c r="B456" s="365" t="s">
        <v>808</v>
      </c>
      <c r="C456" s="381"/>
      <c r="D456" s="367">
        <v>224110</v>
      </c>
      <c r="E456" s="367">
        <v>8</v>
      </c>
    </row>
    <row r="457" spans="1:5" ht="15.75">
      <c r="A457" s="421" t="s">
        <v>436</v>
      </c>
      <c r="B457" s="365" t="s">
        <v>809</v>
      </c>
      <c r="C457" s="381"/>
      <c r="D457" s="367">
        <v>227191</v>
      </c>
      <c r="E457" s="367">
        <v>8</v>
      </c>
    </row>
    <row r="458" spans="1:5" ht="15.75">
      <c r="A458" s="421" t="s">
        <v>436</v>
      </c>
      <c r="B458" s="365" t="s">
        <v>810</v>
      </c>
      <c r="C458" s="381"/>
      <c r="D458" s="367">
        <v>420398</v>
      </c>
      <c r="E458" s="367">
        <v>8</v>
      </c>
    </row>
    <row r="459" spans="1:5" ht="15.75">
      <c r="A459" s="421" t="s">
        <v>436</v>
      </c>
      <c r="B459" s="365" t="s">
        <v>811</v>
      </c>
      <c r="C459" s="381"/>
      <c r="D459" s="367">
        <v>246354</v>
      </c>
      <c r="E459" s="367">
        <v>8</v>
      </c>
    </row>
    <row r="460" spans="1:5" ht="15.75">
      <c r="A460" s="421" t="s">
        <v>436</v>
      </c>
      <c r="B460" s="365" t="s">
        <v>812</v>
      </c>
      <c r="C460" s="381"/>
      <c r="D460" s="367">
        <v>227766</v>
      </c>
      <c r="E460" s="367">
        <v>8</v>
      </c>
    </row>
    <row r="461" spans="1:5" ht="15.75">
      <c r="A461" s="421" t="s">
        <v>436</v>
      </c>
      <c r="B461" s="365" t="s">
        <v>813</v>
      </c>
      <c r="C461" s="381"/>
      <c r="D461" s="367">
        <v>227924</v>
      </c>
      <c r="E461" s="367">
        <v>8</v>
      </c>
    </row>
    <row r="462" spans="1:5" ht="15.75">
      <c r="A462" s="421" t="s">
        <v>436</v>
      </c>
      <c r="B462" s="365" t="s">
        <v>814</v>
      </c>
      <c r="C462" s="381"/>
      <c r="D462" s="367">
        <v>227979</v>
      </c>
      <c r="E462" s="367">
        <v>8</v>
      </c>
    </row>
    <row r="463" spans="1:5" ht="15.75">
      <c r="A463" s="421" t="s">
        <v>436</v>
      </c>
      <c r="B463" s="365" t="s">
        <v>815</v>
      </c>
      <c r="C463" s="381"/>
      <c r="D463" s="367">
        <v>228158</v>
      </c>
      <c r="E463" s="367">
        <v>8</v>
      </c>
    </row>
    <row r="464" spans="1:5" ht="15.75">
      <c r="A464" s="421" t="s">
        <v>436</v>
      </c>
      <c r="B464" s="365" t="s">
        <v>816</v>
      </c>
      <c r="C464" s="381"/>
      <c r="D464" s="367">
        <v>227854</v>
      </c>
      <c r="E464" s="367">
        <v>8</v>
      </c>
    </row>
    <row r="465" spans="1:5" ht="15.75">
      <c r="A465" s="421" t="s">
        <v>436</v>
      </c>
      <c r="B465" s="365" t="s">
        <v>817</v>
      </c>
      <c r="C465" s="381"/>
      <c r="D465" s="367">
        <v>228547</v>
      </c>
      <c r="E465" s="367">
        <v>8</v>
      </c>
    </row>
    <row r="466" spans="1:5" ht="15.75">
      <c r="A466" s="421" t="s">
        <v>436</v>
      </c>
      <c r="B466" s="365" t="s">
        <v>818</v>
      </c>
      <c r="C466" s="381"/>
      <c r="D466" s="367">
        <v>225308</v>
      </c>
      <c r="E466" s="367">
        <v>8</v>
      </c>
    </row>
    <row r="467" spans="1:5" ht="15.75">
      <c r="A467" s="421" t="s">
        <v>436</v>
      </c>
      <c r="B467" s="365" t="s">
        <v>819</v>
      </c>
      <c r="C467" s="381" t="s">
        <v>725</v>
      </c>
      <c r="D467" s="367">
        <v>229355</v>
      </c>
      <c r="E467" s="367">
        <v>8</v>
      </c>
    </row>
    <row r="468" spans="1:5" ht="15.75">
      <c r="A468" s="421" t="s">
        <v>436</v>
      </c>
      <c r="B468" s="365" t="s">
        <v>820</v>
      </c>
      <c r="C468" s="381"/>
      <c r="D468" s="367">
        <v>222567</v>
      </c>
      <c r="E468" s="367">
        <v>9</v>
      </c>
    </row>
    <row r="469" spans="1:5" ht="15.75">
      <c r="A469" s="421" t="s">
        <v>436</v>
      </c>
      <c r="B469" s="365" t="s">
        <v>821</v>
      </c>
      <c r="C469" s="381"/>
      <c r="D469" s="367">
        <v>222822</v>
      </c>
      <c r="E469" s="367">
        <v>9</v>
      </c>
    </row>
    <row r="470" spans="1:5" ht="15.75">
      <c r="A470" s="421" t="s">
        <v>436</v>
      </c>
      <c r="B470" s="365" t="s">
        <v>822</v>
      </c>
      <c r="C470" s="381"/>
      <c r="D470" s="367">
        <v>223773</v>
      </c>
      <c r="E470" s="367">
        <v>9</v>
      </c>
    </row>
    <row r="471" spans="1:5" ht="15.75">
      <c r="A471" s="421" t="s">
        <v>436</v>
      </c>
      <c r="B471" s="383" t="s">
        <v>823</v>
      </c>
      <c r="C471" s="381"/>
      <c r="D471" s="367">
        <v>223898</v>
      </c>
      <c r="E471" s="367">
        <v>9</v>
      </c>
    </row>
    <row r="472" spans="1:5" ht="15.75">
      <c r="A472" s="421" t="s">
        <v>436</v>
      </c>
      <c r="B472" s="365" t="s">
        <v>824</v>
      </c>
      <c r="C472" s="381"/>
      <c r="D472" s="367">
        <v>223320</v>
      </c>
      <c r="E472" s="367">
        <v>9</v>
      </c>
    </row>
    <row r="473" spans="1:5" ht="15.75">
      <c r="A473" s="421" t="s">
        <v>436</v>
      </c>
      <c r="B473" s="365" t="s">
        <v>825</v>
      </c>
      <c r="C473" s="381"/>
      <c r="D473" s="367">
        <v>226408</v>
      </c>
      <c r="E473" s="367">
        <v>9</v>
      </c>
    </row>
    <row r="474" spans="1:5" ht="15.75">
      <c r="A474" s="421" t="s">
        <v>436</v>
      </c>
      <c r="B474" s="383" t="s">
        <v>826</v>
      </c>
      <c r="C474" s="381"/>
      <c r="D474" s="367">
        <v>225070</v>
      </c>
      <c r="E474" s="367">
        <v>9</v>
      </c>
    </row>
    <row r="475" spans="1:5" ht="15.75">
      <c r="A475" s="421" t="s">
        <v>436</v>
      </c>
      <c r="B475" s="365" t="s">
        <v>827</v>
      </c>
      <c r="C475" s="381"/>
      <c r="D475" s="367">
        <v>225371</v>
      </c>
      <c r="E475" s="367">
        <v>9</v>
      </c>
    </row>
    <row r="476" spans="1:5" ht="15.75">
      <c r="A476" s="421" t="s">
        <v>436</v>
      </c>
      <c r="B476" s="365" t="s">
        <v>828</v>
      </c>
      <c r="C476" s="381"/>
      <c r="D476" s="367">
        <v>225520</v>
      </c>
      <c r="E476" s="367">
        <v>9</v>
      </c>
    </row>
    <row r="477" spans="1:5" ht="15.75">
      <c r="A477" s="421" t="s">
        <v>436</v>
      </c>
      <c r="B477" s="365" t="s">
        <v>829</v>
      </c>
      <c r="C477" s="381"/>
      <c r="D477" s="367">
        <v>226019</v>
      </c>
      <c r="E477" s="367">
        <v>9</v>
      </c>
    </row>
    <row r="478" spans="1:5" ht="15.75">
      <c r="A478" s="367" t="s">
        <v>436</v>
      </c>
      <c r="B478" s="365" t="s">
        <v>830</v>
      </c>
      <c r="C478" s="381"/>
      <c r="D478" s="367">
        <v>441760</v>
      </c>
      <c r="E478" s="367">
        <v>9</v>
      </c>
    </row>
    <row r="479" spans="1:5" ht="15.75">
      <c r="A479" s="367" t="s">
        <v>436</v>
      </c>
      <c r="B479" s="365" t="s">
        <v>831</v>
      </c>
      <c r="C479" s="381"/>
      <c r="D479" s="367">
        <v>226204</v>
      </c>
      <c r="E479" s="367">
        <v>9</v>
      </c>
    </row>
    <row r="480" spans="1:5">
      <c r="A480" s="367" t="s">
        <v>436</v>
      </c>
      <c r="B480" s="365" t="s">
        <v>832</v>
      </c>
      <c r="C480" s="449" t="s">
        <v>903</v>
      </c>
      <c r="D480" s="367">
        <v>227225</v>
      </c>
      <c r="E480" s="367">
        <v>9</v>
      </c>
    </row>
    <row r="481" spans="1:5">
      <c r="A481" s="367" t="s">
        <v>436</v>
      </c>
      <c r="B481" s="365" t="s">
        <v>833</v>
      </c>
      <c r="C481" s="366"/>
      <c r="D481" s="367">
        <v>227304</v>
      </c>
      <c r="E481" s="367">
        <v>9</v>
      </c>
    </row>
    <row r="482" spans="1:5">
      <c r="A482" s="367" t="s">
        <v>436</v>
      </c>
      <c r="B482" s="365" t="s">
        <v>834</v>
      </c>
      <c r="C482" s="366"/>
      <c r="D482" s="367">
        <v>227401</v>
      </c>
      <c r="E482" s="367">
        <v>9</v>
      </c>
    </row>
    <row r="483" spans="1:5">
      <c r="A483" s="367" t="s">
        <v>436</v>
      </c>
      <c r="B483" s="365" t="s">
        <v>835</v>
      </c>
      <c r="C483" s="366"/>
      <c r="D483" s="367">
        <v>228316</v>
      </c>
      <c r="E483" s="367">
        <v>9</v>
      </c>
    </row>
    <row r="484" spans="1:5">
      <c r="A484" s="367" t="s">
        <v>436</v>
      </c>
      <c r="B484" s="365" t="s">
        <v>836</v>
      </c>
      <c r="C484" s="366"/>
      <c r="D484" s="367">
        <v>228608</v>
      </c>
      <c r="E484" s="367">
        <v>9</v>
      </c>
    </row>
    <row r="485" spans="1:5">
      <c r="A485" s="367" t="s">
        <v>436</v>
      </c>
      <c r="B485" s="365" t="s">
        <v>837</v>
      </c>
      <c r="C485" s="366"/>
      <c r="D485" s="367">
        <v>228699</v>
      </c>
      <c r="E485" s="367">
        <v>9</v>
      </c>
    </row>
    <row r="486" spans="1:5">
      <c r="A486" s="367" t="s">
        <v>436</v>
      </c>
      <c r="B486" s="365" t="s">
        <v>838</v>
      </c>
      <c r="C486" s="366" t="s">
        <v>839</v>
      </c>
      <c r="D486" s="356">
        <v>227377</v>
      </c>
      <c r="E486" s="367">
        <v>9</v>
      </c>
    </row>
    <row r="487" spans="1:5">
      <c r="A487" s="367" t="s">
        <v>436</v>
      </c>
      <c r="B487" s="365" t="s">
        <v>840</v>
      </c>
      <c r="C487" s="369"/>
      <c r="D487" s="367">
        <v>229319</v>
      </c>
      <c r="E487" s="367">
        <v>9</v>
      </c>
    </row>
    <row r="488" spans="1:5">
      <c r="A488" s="367" t="s">
        <v>436</v>
      </c>
      <c r="B488" s="365" t="s">
        <v>841</v>
      </c>
      <c r="C488" s="369"/>
      <c r="D488" s="367">
        <v>228680</v>
      </c>
      <c r="E488" s="367">
        <v>9</v>
      </c>
    </row>
    <row r="489" spans="1:5">
      <c r="A489" s="367" t="s">
        <v>436</v>
      </c>
      <c r="B489" s="365" t="s">
        <v>842</v>
      </c>
      <c r="C489" s="449" t="s">
        <v>903</v>
      </c>
      <c r="D489" s="367">
        <v>229504</v>
      </c>
      <c r="E489" s="367">
        <v>9</v>
      </c>
    </row>
    <row r="490" spans="1:5">
      <c r="A490" s="367" t="s">
        <v>436</v>
      </c>
      <c r="B490" s="365" t="s">
        <v>843</v>
      </c>
      <c r="C490" s="366"/>
      <c r="D490" s="367">
        <v>229540</v>
      </c>
      <c r="E490" s="367">
        <v>9</v>
      </c>
    </row>
    <row r="491" spans="1:5">
      <c r="A491" s="367" t="s">
        <v>436</v>
      </c>
      <c r="B491" s="365" t="s">
        <v>844</v>
      </c>
      <c r="C491" s="366"/>
      <c r="D491" s="367">
        <v>229799</v>
      </c>
      <c r="E491" s="367">
        <v>9</v>
      </c>
    </row>
    <row r="492" spans="1:5">
      <c r="A492" s="367" t="s">
        <v>436</v>
      </c>
      <c r="B492" s="365" t="s">
        <v>845</v>
      </c>
      <c r="C492" s="366"/>
      <c r="D492" s="367">
        <v>229841</v>
      </c>
      <c r="E492" s="367">
        <v>9</v>
      </c>
    </row>
    <row r="493" spans="1:5">
      <c r="A493" s="367" t="s">
        <v>436</v>
      </c>
      <c r="B493" s="365" t="s">
        <v>846</v>
      </c>
      <c r="C493" s="366"/>
      <c r="D493" s="367">
        <v>223922</v>
      </c>
      <c r="E493" s="367">
        <v>10</v>
      </c>
    </row>
    <row r="494" spans="1:5">
      <c r="A494" s="367" t="s">
        <v>436</v>
      </c>
      <c r="B494" s="365" t="s">
        <v>847</v>
      </c>
      <c r="C494" s="366"/>
      <c r="D494" s="367">
        <v>224891</v>
      </c>
      <c r="E494" s="367">
        <v>10</v>
      </c>
    </row>
    <row r="495" spans="1:5">
      <c r="A495" s="367" t="s">
        <v>436</v>
      </c>
      <c r="B495" s="365" t="s">
        <v>848</v>
      </c>
      <c r="C495" s="366"/>
      <c r="D495" s="367">
        <v>224961</v>
      </c>
      <c r="E495" s="367">
        <v>10</v>
      </c>
    </row>
    <row r="496" spans="1:5">
      <c r="A496" s="367" t="s">
        <v>436</v>
      </c>
      <c r="B496" s="365" t="s">
        <v>849</v>
      </c>
      <c r="C496" s="366"/>
      <c r="D496" s="367">
        <v>226107</v>
      </c>
      <c r="E496" s="367">
        <v>10</v>
      </c>
    </row>
    <row r="497" spans="1:5" ht="15.75">
      <c r="A497" s="367" t="s">
        <v>436</v>
      </c>
      <c r="B497" s="365" t="s">
        <v>850</v>
      </c>
      <c r="C497" s="381" t="s">
        <v>733</v>
      </c>
      <c r="D497" s="367">
        <v>226116</v>
      </c>
      <c r="E497" s="367">
        <v>10</v>
      </c>
    </row>
    <row r="498" spans="1:5" ht="15.75">
      <c r="A498" s="367" t="s">
        <v>436</v>
      </c>
      <c r="B498" s="365" t="s">
        <v>851</v>
      </c>
      <c r="C498" s="428" t="s">
        <v>886</v>
      </c>
      <c r="D498" s="41">
        <v>488730</v>
      </c>
      <c r="E498" s="431">
        <v>9</v>
      </c>
    </row>
    <row r="499" spans="1:5">
      <c r="A499" s="367" t="s">
        <v>436</v>
      </c>
      <c r="B499" s="365" t="s">
        <v>852</v>
      </c>
      <c r="C499" s="366"/>
      <c r="D499" s="367">
        <v>227386</v>
      </c>
      <c r="E499" s="367">
        <v>10</v>
      </c>
    </row>
    <row r="500" spans="1:5">
      <c r="A500" s="367" t="s">
        <v>436</v>
      </c>
      <c r="B500" s="365" t="s">
        <v>853</v>
      </c>
      <c r="C500" s="366"/>
      <c r="D500" s="367">
        <v>227687</v>
      </c>
      <c r="E500" s="367">
        <v>10</v>
      </c>
    </row>
    <row r="501" spans="1:5">
      <c r="A501" s="367" t="s">
        <v>436</v>
      </c>
      <c r="B501" s="365" t="s">
        <v>854</v>
      </c>
      <c r="C501" s="366"/>
      <c r="D501" s="367">
        <v>382911</v>
      </c>
      <c r="E501" s="367">
        <v>10</v>
      </c>
    </row>
    <row r="502" spans="1:5">
      <c r="A502" s="367" t="s">
        <v>436</v>
      </c>
      <c r="B502" s="380" t="s">
        <v>855</v>
      </c>
      <c r="C502" s="366"/>
      <c r="D502" s="370" t="s">
        <v>437</v>
      </c>
      <c r="E502" s="367">
        <v>10</v>
      </c>
    </row>
    <row r="503" spans="1:5">
      <c r="A503" s="367" t="s">
        <v>436</v>
      </c>
      <c r="B503" s="365" t="s">
        <v>856</v>
      </c>
      <c r="C503" s="366"/>
      <c r="D503" s="367">
        <v>408394</v>
      </c>
      <c r="E503" s="367">
        <v>10</v>
      </c>
    </row>
    <row r="504" spans="1:5">
      <c r="A504" s="367" t="s">
        <v>436</v>
      </c>
      <c r="B504" s="380" t="s">
        <v>857</v>
      </c>
      <c r="C504" s="366"/>
      <c r="D504" s="370" t="s">
        <v>437</v>
      </c>
      <c r="E504" s="367">
        <v>10</v>
      </c>
    </row>
    <row r="505" spans="1:5">
      <c r="A505" s="367" t="s">
        <v>436</v>
      </c>
      <c r="B505" s="365" t="s">
        <v>858</v>
      </c>
      <c r="C505" s="366"/>
      <c r="D505" s="367">
        <v>229328</v>
      </c>
      <c r="E505" s="367">
        <v>10</v>
      </c>
    </row>
    <row r="506" spans="1:5">
      <c r="A506" s="367" t="s">
        <v>436</v>
      </c>
      <c r="B506" s="365" t="s">
        <v>859</v>
      </c>
      <c r="C506" s="366"/>
      <c r="D506" s="367">
        <v>229832</v>
      </c>
      <c r="E506" s="367">
        <v>10</v>
      </c>
    </row>
    <row r="507" spans="1:5">
      <c r="A507" s="367" t="s">
        <v>436</v>
      </c>
      <c r="B507" s="365" t="s">
        <v>860</v>
      </c>
      <c r="C507" s="366"/>
      <c r="D507" s="367">
        <v>484905</v>
      </c>
      <c r="E507" s="367">
        <v>4</v>
      </c>
    </row>
    <row r="508" spans="1:5">
      <c r="A508" s="367" t="s">
        <v>436</v>
      </c>
      <c r="B508" s="432" t="s">
        <v>887</v>
      </c>
      <c r="C508" s="41" t="s">
        <v>888</v>
      </c>
      <c r="D508" s="433">
        <v>224615</v>
      </c>
      <c r="E508" s="434">
        <v>10</v>
      </c>
    </row>
    <row r="509" spans="1:5" ht="39">
      <c r="A509" s="342" t="s">
        <v>438</v>
      </c>
      <c r="B509" s="384" t="s">
        <v>439</v>
      </c>
      <c r="C509" s="385"/>
      <c r="D509" s="384">
        <v>232186</v>
      </c>
      <c r="E509" s="386">
        <v>1</v>
      </c>
    </row>
    <row r="510" spans="1:5" ht="39">
      <c r="A510" s="342" t="s">
        <v>438</v>
      </c>
      <c r="B510" s="384" t="s">
        <v>440</v>
      </c>
      <c r="C510" s="385"/>
      <c r="D510" s="384">
        <v>232982</v>
      </c>
      <c r="E510" s="386">
        <v>1</v>
      </c>
    </row>
    <row r="511" spans="1:5" ht="25.5">
      <c r="A511" s="342" t="s">
        <v>438</v>
      </c>
      <c r="B511" s="384" t="s">
        <v>441</v>
      </c>
      <c r="C511" s="345"/>
      <c r="D511" s="384">
        <v>234076</v>
      </c>
      <c r="E511" s="386">
        <v>1</v>
      </c>
    </row>
    <row r="512" spans="1:5" ht="51">
      <c r="A512" s="342" t="s">
        <v>438</v>
      </c>
      <c r="B512" s="384" t="s">
        <v>442</v>
      </c>
      <c r="C512" s="344"/>
      <c r="D512" s="384">
        <v>234030</v>
      </c>
      <c r="E512" s="386">
        <v>1</v>
      </c>
    </row>
    <row r="513" spans="1:5" ht="25.5">
      <c r="A513" s="342" t="s">
        <v>438</v>
      </c>
      <c r="B513" s="384" t="s">
        <v>443</v>
      </c>
      <c r="C513" s="345"/>
      <c r="D513" s="384">
        <v>233921</v>
      </c>
      <c r="E513" s="386">
        <v>1</v>
      </c>
    </row>
    <row r="514" spans="1:5" ht="38.25">
      <c r="A514" s="342" t="s">
        <v>438</v>
      </c>
      <c r="B514" s="384" t="s">
        <v>444</v>
      </c>
      <c r="C514" s="345"/>
      <c r="D514" s="384">
        <v>231624</v>
      </c>
      <c r="E514" s="386">
        <v>2</v>
      </c>
    </row>
    <row r="515" spans="1:5" ht="39">
      <c r="A515" s="342" t="s">
        <v>438</v>
      </c>
      <c r="B515" s="384" t="s">
        <v>445</v>
      </c>
      <c r="C515" s="385"/>
      <c r="D515" s="384">
        <v>232423</v>
      </c>
      <c r="E515" s="386">
        <v>3</v>
      </c>
    </row>
    <row r="516" spans="1:5" ht="26.25">
      <c r="A516" s="342" t="s">
        <v>438</v>
      </c>
      <c r="B516" s="384" t="s">
        <v>446</v>
      </c>
      <c r="C516" s="435" t="s">
        <v>882</v>
      </c>
      <c r="D516" s="436">
        <v>232566</v>
      </c>
      <c r="E516" s="437">
        <v>5</v>
      </c>
    </row>
    <row r="517" spans="1:5" ht="39">
      <c r="A517" s="342" t="s">
        <v>438</v>
      </c>
      <c r="B517" s="384" t="s">
        <v>447</v>
      </c>
      <c r="C517" s="435" t="s">
        <v>880</v>
      </c>
      <c r="D517" s="436">
        <v>232937</v>
      </c>
      <c r="E517" s="437">
        <v>4</v>
      </c>
    </row>
    <row r="518" spans="1:5" ht="26.25">
      <c r="A518" s="342" t="s">
        <v>438</v>
      </c>
      <c r="B518" s="384" t="s">
        <v>448</v>
      </c>
      <c r="C518" s="385"/>
      <c r="D518" s="438">
        <v>233277</v>
      </c>
      <c r="E518" s="386">
        <v>3</v>
      </c>
    </row>
    <row r="519" spans="1:5" ht="39">
      <c r="A519" s="342" t="s">
        <v>438</v>
      </c>
      <c r="B519" s="384" t="s">
        <v>449</v>
      </c>
      <c r="C519" s="435" t="s">
        <v>882</v>
      </c>
      <c r="D519" s="436">
        <v>232681</v>
      </c>
      <c r="E519" s="437">
        <v>5</v>
      </c>
    </row>
    <row r="520" spans="1:5" ht="39">
      <c r="A520" s="342" t="s">
        <v>438</v>
      </c>
      <c r="B520" s="384" t="s">
        <v>450</v>
      </c>
      <c r="C520" s="385"/>
      <c r="D520" s="384">
        <v>234155</v>
      </c>
      <c r="E520" s="386">
        <v>3</v>
      </c>
    </row>
    <row r="521" spans="1:5" ht="39">
      <c r="A521" s="342" t="s">
        <v>438</v>
      </c>
      <c r="B521" s="384" t="s">
        <v>451</v>
      </c>
      <c r="C521" s="385"/>
      <c r="D521" s="384">
        <v>231712</v>
      </c>
      <c r="E521" s="386">
        <v>5</v>
      </c>
    </row>
    <row r="522" spans="1:5" ht="51.75">
      <c r="A522" s="342" t="s">
        <v>438</v>
      </c>
      <c r="B522" s="384" t="s">
        <v>452</v>
      </c>
      <c r="C522" s="385"/>
      <c r="D522" s="384">
        <v>233897</v>
      </c>
      <c r="E522" s="386">
        <v>6</v>
      </c>
    </row>
    <row r="523" spans="1:5" ht="51.75">
      <c r="A523" s="342" t="s">
        <v>438</v>
      </c>
      <c r="B523" s="384" t="s">
        <v>453</v>
      </c>
      <c r="C523" s="385"/>
      <c r="D523" s="384">
        <v>232414</v>
      </c>
      <c r="E523" s="386">
        <v>8</v>
      </c>
    </row>
    <row r="524" spans="1:5" ht="39">
      <c r="A524" s="342" t="s">
        <v>438</v>
      </c>
      <c r="B524" s="384" t="s">
        <v>454</v>
      </c>
      <c r="C524" s="385"/>
      <c r="D524" s="384">
        <v>232450</v>
      </c>
      <c r="E524" s="386">
        <v>8</v>
      </c>
    </row>
    <row r="525" spans="1:5" ht="51.75">
      <c r="A525" s="342" t="s">
        <v>438</v>
      </c>
      <c r="B525" s="384" t="s">
        <v>455</v>
      </c>
      <c r="C525" s="385"/>
      <c r="D525" s="384">
        <v>232946</v>
      </c>
      <c r="E525" s="386">
        <v>8</v>
      </c>
    </row>
    <row r="526" spans="1:5" ht="51.75">
      <c r="A526" s="342" t="s">
        <v>438</v>
      </c>
      <c r="B526" s="384" t="s">
        <v>456</v>
      </c>
      <c r="C526" s="444" t="s">
        <v>897</v>
      </c>
      <c r="D526" s="384">
        <v>233754</v>
      </c>
      <c r="E526" s="386">
        <v>8</v>
      </c>
    </row>
    <row r="527" spans="1:5" ht="39">
      <c r="A527" s="342" t="s">
        <v>438</v>
      </c>
      <c r="B527" s="384" t="s">
        <v>457</v>
      </c>
      <c r="C527" s="385"/>
      <c r="D527" s="384">
        <v>233772</v>
      </c>
      <c r="E527" s="386">
        <v>8</v>
      </c>
    </row>
    <row r="528" spans="1:5" ht="39">
      <c r="A528" s="342" t="s">
        <v>438</v>
      </c>
      <c r="B528" s="384" t="s">
        <v>458</v>
      </c>
      <c r="C528" s="385"/>
      <c r="D528" s="384">
        <v>231536</v>
      </c>
      <c r="E528" s="386">
        <v>9</v>
      </c>
    </row>
    <row r="529" spans="1:5" ht="51.75">
      <c r="A529" s="342" t="s">
        <v>438</v>
      </c>
      <c r="B529" s="384" t="s">
        <v>459</v>
      </c>
      <c r="C529" s="385"/>
      <c r="D529" s="384">
        <v>231697</v>
      </c>
      <c r="E529" s="386">
        <v>9</v>
      </c>
    </row>
    <row r="530" spans="1:5" ht="39">
      <c r="A530" s="342" t="s">
        <v>438</v>
      </c>
      <c r="B530" s="384" t="s">
        <v>461</v>
      </c>
      <c r="C530" s="385"/>
      <c r="D530" s="384">
        <v>232195</v>
      </c>
      <c r="E530" s="386">
        <v>9</v>
      </c>
    </row>
    <row r="531" spans="1:5" ht="39">
      <c r="A531" s="342" t="s">
        <v>438</v>
      </c>
      <c r="B531" s="384" t="s">
        <v>462</v>
      </c>
      <c r="C531" s="385"/>
      <c r="D531" s="384">
        <v>232575</v>
      </c>
      <c r="E531" s="386">
        <v>9</v>
      </c>
    </row>
    <row r="532" spans="1:5" ht="39">
      <c r="A532" s="342" t="s">
        <v>438</v>
      </c>
      <c r="B532" s="384" t="s">
        <v>463</v>
      </c>
      <c r="C532" s="385"/>
      <c r="D532" s="384">
        <v>232867</v>
      </c>
      <c r="E532" s="386">
        <v>9</v>
      </c>
    </row>
    <row r="533" spans="1:5" ht="51.75">
      <c r="A533" s="342" t="s">
        <v>438</v>
      </c>
      <c r="B533" s="384" t="s">
        <v>465</v>
      </c>
      <c r="C533" s="385"/>
      <c r="D533" s="384">
        <v>233116</v>
      </c>
      <c r="E533" s="386">
        <v>9</v>
      </c>
    </row>
    <row r="534" spans="1:5" ht="51.75">
      <c r="A534" s="342" t="s">
        <v>438</v>
      </c>
      <c r="B534" s="384" t="s">
        <v>466</v>
      </c>
      <c r="C534" s="444" t="s">
        <v>894</v>
      </c>
      <c r="D534" s="384">
        <v>233639</v>
      </c>
      <c r="E534" s="386">
        <v>9</v>
      </c>
    </row>
    <row r="535" spans="1:5" ht="51.75">
      <c r="A535" s="342" t="s">
        <v>438</v>
      </c>
      <c r="B535" s="384" t="s">
        <v>467</v>
      </c>
      <c r="C535" s="385"/>
      <c r="D535" s="384">
        <v>233949</v>
      </c>
      <c r="E535" s="386">
        <v>9</v>
      </c>
    </row>
    <row r="536" spans="1:5" ht="51">
      <c r="A536" s="342" t="s">
        <v>438</v>
      </c>
      <c r="B536" s="384" t="s">
        <v>469</v>
      </c>
      <c r="C536" s="345"/>
      <c r="D536" s="384">
        <v>231873</v>
      </c>
      <c r="E536" s="386">
        <v>10</v>
      </c>
    </row>
    <row r="537" spans="1:5" ht="39">
      <c r="A537" s="342" t="s">
        <v>438</v>
      </c>
      <c r="B537" s="384" t="s">
        <v>460</v>
      </c>
      <c r="C537" s="387"/>
      <c r="D537" s="384">
        <v>231882</v>
      </c>
      <c r="E537" s="386">
        <v>10</v>
      </c>
    </row>
    <row r="538" spans="1:5" ht="51">
      <c r="A538" s="342" t="s">
        <v>438</v>
      </c>
      <c r="B538" s="384" t="s">
        <v>470</v>
      </c>
      <c r="C538" s="345"/>
      <c r="D538" s="384">
        <v>232052</v>
      </c>
      <c r="E538" s="386">
        <v>10</v>
      </c>
    </row>
    <row r="539" spans="1:5" ht="51">
      <c r="A539" s="342" t="s">
        <v>438</v>
      </c>
      <c r="B539" s="384" t="s">
        <v>471</v>
      </c>
      <c r="C539" s="344"/>
      <c r="D539" s="384">
        <v>232788</v>
      </c>
      <c r="E539" s="386">
        <v>10</v>
      </c>
    </row>
    <row r="540" spans="1:5" ht="51.75">
      <c r="A540" s="342" t="s">
        <v>438</v>
      </c>
      <c r="B540" s="384" t="s">
        <v>464</v>
      </c>
      <c r="C540" s="387"/>
      <c r="D540" s="384">
        <v>233019</v>
      </c>
      <c r="E540" s="386">
        <v>10</v>
      </c>
    </row>
    <row r="541" spans="1:5" ht="51">
      <c r="A541" s="342" t="s">
        <v>438</v>
      </c>
      <c r="B541" s="384" t="s">
        <v>472</v>
      </c>
      <c r="C541" s="345"/>
      <c r="D541" s="384">
        <v>233037</v>
      </c>
      <c r="E541" s="386">
        <v>10</v>
      </c>
    </row>
    <row r="542" spans="1:5" ht="51">
      <c r="A542" s="342" t="s">
        <v>438</v>
      </c>
      <c r="B542" s="384" t="s">
        <v>473</v>
      </c>
      <c r="C542" s="345"/>
      <c r="D542" s="384">
        <v>233310</v>
      </c>
      <c r="E542" s="386">
        <v>10</v>
      </c>
    </row>
    <row r="543" spans="1:5" ht="38.25">
      <c r="A543" s="342" t="s">
        <v>438</v>
      </c>
      <c r="B543" s="384" t="s">
        <v>474</v>
      </c>
      <c r="C543" s="345"/>
      <c r="D543" s="384">
        <v>233338</v>
      </c>
      <c r="E543" s="386">
        <v>10</v>
      </c>
    </row>
    <row r="544" spans="1:5" ht="51">
      <c r="A544" s="342" t="s">
        <v>438</v>
      </c>
      <c r="B544" s="384" t="s">
        <v>475</v>
      </c>
      <c r="C544" s="344"/>
      <c r="D544" s="384">
        <v>233648</v>
      </c>
      <c r="E544" s="386">
        <v>10</v>
      </c>
    </row>
    <row r="545" spans="1:5" ht="51">
      <c r="A545" s="342" t="s">
        <v>438</v>
      </c>
      <c r="B545" s="384" t="s">
        <v>476</v>
      </c>
      <c r="C545" s="345"/>
      <c r="D545" s="384">
        <v>233903</v>
      </c>
      <c r="E545" s="386">
        <v>10</v>
      </c>
    </row>
    <row r="546" spans="1:5" ht="39">
      <c r="A546" s="342" t="s">
        <v>438</v>
      </c>
      <c r="B546" s="384" t="s">
        <v>468</v>
      </c>
      <c r="C546" s="387"/>
      <c r="D546" s="384">
        <v>234377</v>
      </c>
      <c r="E546" s="386">
        <v>10</v>
      </c>
    </row>
    <row r="547" spans="1:5">
      <c r="A547" s="423" t="s">
        <v>477</v>
      </c>
      <c r="B547" s="371" t="s">
        <v>478</v>
      </c>
      <c r="C547" s="372"/>
      <c r="D547" s="373">
        <v>238032</v>
      </c>
      <c r="E547" s="373">
        <v>1</v>
      </c>
    </row>
    <row r="548" spans="1:5">
      <c r="A548" s="423" t="s">
        <v>477</v>
      </c>
      <c r="B548" s="371" t="s">
        <v>479</v>
      </c>
      <c r="C548" s="372"/>
      <c r="D548" s="373">
        <v>237525</v>
      </c>
      <c r="E548" s="373">
        <v>3</v>
      </c>
    </row>
    <row r="549" spans="1:5" ht="15.75">
      <c r="A549" s="423" t="s">
        <v>477</v>
      </c>
      <c r="B549" s="371" t="s">
        <v>483</v>
      </c>
      <c r="C549" s="388"/>
      <c r="D549" s="373">
        <v>237330</v>
      </c>
      <c r="E549" s="373">
        <v>5</v>
      </c>
    </row>
    <row r="550" spans="1:5">
      <c r="A550" s="423" t="s">
        <v>477</v>
      </c>
      <c r="B550" s="371" t="s">
        <v>480</v>
      </c>
      <c r="C550" s="372"/>
      <c r="D550" s="373">
        <v>237367</v>
      </c>
      <c r="E550" s="373">
        <v>5</v>
      </c>
    </row>
    <row r="551" spans="1:5">
      <c r="A551" s="423" t="s">
        <v>477</v>
      </c>
      <c r="B551" s="371" t="s">
        <v>481</v>
      </c>
      <c r="C551" s="372"/>
      <c r="D551" s="373">
        <v>237792</v>
      </c>
      <c r="E551" s="373">
        <v>5</v>
      </c>
    </row>
    <row r="552" spans="1:5">
      <c r="A552" s="423" t="s">
        <v>477</v>
      </c>
      <c r="B552" s="371" t="s">
        <v>485</v>
      </c>
      <c r="C552" s="372" t="s">
        <v>896</v>
      </c>
      <c r="D552" s="373">
        <v>237932</v>
      </c>
      <c r="E552" s="373">
        <v>5</v>
      </c>
    </row>
    <row r="553" spans="1:5">
      <c r="A553" s="423" t="s">
        <v>477</v>
      </c>
      <c r="B553" s="371" t="s">
        <v>482</v>
      </c>
      <c r="C553" s="372"/>
      <c r="D553" s="373">
        <v>237215</v>
      </c>
      <c r="E553" s="373">
        <v>6</v>
      </c>
    </row>
    <row r="554" spans="1:5" ht="15.75">
      <c r="A554" s="423" t="s">
        <v>477</v>
      </c>
      <c r="B554" s="371" t="s">
        <v>484</v>
      </c>
      <c r="C554" s="389"/>
      <c r="D554" s="373">
        <v>237385</v>
      </c>
      <c r="E554" s="373">
        <v>6</v>
      </c>
    </row>
    <row r="555" spans="1:5">
      <c r="A555" s="423" t="s">
        <v>477</v>
      </c>
      <c r="B555" s="371" t="s">
        <v>486</v>
      </c>
      <c r="C555" s="372" t="s">
        <v>896</v>
      </c>
      <c r="D555" s="373">
        <v>237899</v>
      </c>
      <c r="E555" s="373">
        <v>6</v>
      </c>
    </row>
    <row r="556" spans="1:5">
      <c r="A556" s="423" t="s">
        <v>477</v>
      </c>
      <c r="B556" s="371" t="s">
        <v>488</v>
      </c>
      <c r="C556" s="372"/>
      <c r="D556" s="373">
        <v>237950</v>
      </c>
      <c r="E556" s="373">
        <v>6</v>
      </c>
    </row>
    <row r="557" spans="1:5">
      <c r="A557" s="423" t="s">
        <v>477</v>
      </c>
      <c r="B557" s="371" t="s">
        <v>489</v>
      </c>
      <c r="C557" s="372"/>
      <c r="D557" s="373">
        <v>237701</v>
      </c>
      <c r="E557" s="373">
        <v>7</v>
      </c>
    </row>
    <row r="558" spans="1:5">
      <c r="A558" s="423" t="s">
        <v>477</v>
      </c>
      <c r="B558" s="371" t="s">
        <v>487</v>
      </c>
      <c r="C558" s="372" t="s">
        <v>893</v>
      </c>
      <c r="D558" s="373">
        <v>237686</v>
      </c>
      <c r="E558" s="373">
        <v>7</v>
      </c>
    </row>
    <row r="559" spans="1:5">
      <c r="A559" s="423" t="s">
        <v>477</v>
      </c>
      <c r="B559" s="371" t="s">
        <v>492</v>
      </c>
      <c r="C559" s="372" t="s">
        <v>890</v>
      </c>
      <c r="D559" s="373">
        <v>446774</v>
      </c>
      <c r="E559" s="373">
        <v>9</v>
      </c>
    </row>
    <row r="560" spans="1:5">
      <c r="A560" s="423" t="s">
        <v>477</v>
      </c>
      <c r="B560" s="390" t="s">
        <v>493</v>
      </c>
      <c r="C560" s="372"/>
      <c r="D560" s="391">
        <v>484932</v>
      </c>
      <c r="E560" s="373">
        <v>10</v>
      </c>
    </row>
    <row r="561" spans="1:5">
      <c r="A561" s="423" t="s">
        <v>477</v>
      </c>
      <c r="B561" s="371" t="s">
        <v>494</v>
      </c>
      <c r="C561" s="372"/>
      <c r="D561" s="373">
        <v>438708</v>
      </c>
      <c r="E561" s="373">
        <v>10</v>
      </c>
    </row>
    <row r="562" spans="1:5">
      <c r="A562" s="423" t="s">
        <v>477</v>
      </c>
      <c r="B562" s="371" t="s">
        <v>495</v>
      </c>
      <c r="C562" s="372"/>
      <c r="D562" s="373">
        <v>444954</v>
      </c>
      <c r="E562" s="373">
        <v>10</v>
      </c>
    </row>
    <row r="563" spans="1:5" ht="15.75">
      <c r="A563" s="423" t="s">
        <v>477</v>
      </c>
      <c r="B563" s="371" t="s">
        <v>490</v>
      </c>
      <c r="C563" s="388"/>
      <c r="D563" s="373">
        <v>447582</v>
      </c>
      <c r="E563" s="373">
        <v>10</v>
      </c>
    </row>
    <row r="564" spans="1:5" ht="15.75">
      <c r="A564" s="423" t="s">
        <v>477</v>
      </c>
      <c r="B564" s="371" t="s">
        <v>491</v>
      </c>
      <c r="C564" s="388"/>
      <c r="D564" s="373">
        <v>443492</v>
      </c>
      <c r="E564" s="373">
        <v>10</v>
      </c>
    </row>
    <row r="565" spans="1:5">
      <c r="A565" s="423" t="s">
        <v>477</v>
      </c>
      <c r="B565" s="371" t="s">
        <v>496</v>
      </c>
      <c r="C565" s="372"/>
      <c r="D565" s="373">
        <v>237817</v>
      </c>
      <c r="E565" s="373">
        <v>10</v>
      </c>
    </row>
    <row r="566" spans="1:5">
      <c r="A566" s="423" t="s">
        <v>477</v>
      </c>
      <c r="B566" s="371" t="s">
        <v>497</v>
      </c>
      <c r="C566" s="374"/>
      <c r="D566" s="373">
        <v>238014</v>
      </c>
      <c r="E566" s="373">
        <v>10</v>
      </c>
    </row>
    <row r="567" spans="1:5">
      <c r="A567" s="392" t="s">
        <v>477</v>
      </c>
      <c r="B567" s="347" t="s">
        <v>735</v>
      </c>
      <c r="C567" s="347"/>
      <c r="D567" s="350">
        <v>237729</v>
      </c>
      <c r="E567" s="392">
        <v>14</v>
      </c>
    </row>
    <row r="568" spans="1:5">
      <c r="A568" s="392" t="s">
        <v>477</v>
      </c>
      <c r="B568" s="347" t="s">
        <v>498</v>
      </c>
      <c r="C568" s="347"/>
      <c r="D568" s="350">
        <v>237172</v>
      </c>
      <c r="E568" s="392">
        <v>14</v>
      </c>
    </row>
    <row r="569" spans="1:5">
      <c r="A569" s="439" t="s">
        <v>477</v>
      </c>
      <c r="B569" s="347" t="s">
        <v>736</v>
      </c>
      <c r="C569" s="347"/>
      <c r="D569" s="350">
        <v>237224</v>
      </c>
      <c r="E569" s="392">
        <v>14</v>
      </c>
    </row>
    <row r="570" spans="1:5">
      <c r="A570" s="439" t="s">
        <v>477</v>
      </c>
      <c r="B570" s="347" t="s">
        <v>499</v>
      </c>
      <c r="C570" s="347"/>
      <c r="D570" s="350">
        <v>237242</v>
      </c>
      <c r="E570" s="392">
        <v>14</v>
      </c>
    </row>
    <row r="571" spans="1:5">
      <c r="A571" s="392" t="s">
        <v>477</v>
      </c>
      <c r="B571" s="347" t="s">
        <v>737</v>
      </c>
      <c r="C571" s="347"/>
      <c r="D571" s="350">
        <v>430795</v>
      </c>
      <c r="E571" s="392">
        <v>14</v>
      </c>
    </row>
    <row r="572" spans="1:5">
      <c r="A572" s="392" t="s">
        <v>477</v>
      </c>
      <c r="B572" s="347" t="s">
        <v>500</v>
      </c>
      <c r="C572" s="347"/>
      <c r="D572" s="350">
        <v>413176</v>
      </c>
      <c r="E572" s="392">
        <v>14</v>
      </c>
    </row>
    <row r="573" spans="1:5">
      <c r="A573" s="439" t="s">
        <v>477</v>
      </c>
      <c r="B573" s="347" t="s">
        <v>501</v>
      </c>
      <c r="C573" s="347"/>
      <c r="D573" s="350">
        <v>237844</v>
      </c>
      <c r="E573" s="392">
        <v>14</v>
      </c>
    </row>
    <row r="574" spans="1:5">
      <c r="A574" s="439" t="s">
        <v>477</v>
      </c>
      <c r="B574" s="347" t="s">
        <v>502</v>
      </c>
      <c r="C574" s="347"/>
      <c r="D574" s="350">
        <v>431169</v>
      </c>
      <c r="E574" s="392">
        <v>14</v>
      </c>
    </row>
    <row r="575" spans="1:5">
      <c r="A575" s="392" t="s">
        <v>477</v>
      </c>
      <c r="B575" s="347" t="s">
        <v>503</v>
      </c>
      <c r="C575" s="347"/>
      <c r="D575" s="350">
        <v>237473</v>
      </c>
      <c r="E575" s="392">
        <v>14</v>
      </c>
    </row>
    <row r="576" spans="1:5">
      <c r="A576" s="439" t="s">
        <v>477</v>
      </c>
      <c r="B576" s="347" t="s">
        <v>504</v>
      </c>
      <c r="C576" s="347"/>
      <c r="D576" s="350">
        <v>446349</v>
      </c>
      <c r="E576" s="392">
        <v>14</v>
      </c>
    </row>
    <row r="577" spans="1:5">
      <c r="A577" s="439" t="s">
        <v>477</v>
      </c>
      <c r="B577" s="347" t="s">
        <v>738</v>
      </c>
      <c r="C577" s="347"/>
      <c r="D577" s="350">
        <v>237516</v>
      </c>
      <c r="E577" s="392">
        <v>14</v>
      </c>
    </row>
    <row r="578" spans="1:5">
      <c r="A578" s="439" t="s">
        <v>477</v>
      </c>
      <c r="B578" s="347" t="s">
        <v>739</v>
      </c>
      <c r="C578" s="347"/>
      <c r="D578" s="350">
        <v>237534</v>
      </c>
      <c r="E578" s="392">
        <v>14</v>
      </c>
    </row>
    <row r="579" spans="1:5">
      <c r="A579" s="392" t="s">
        <v>477</v>
      </c>
      <c r="B579" s="347" t="s">
        <v>505</v>
      </c>
      <c r="C579" s="347"/>
      <c r="D579" s="350">
        <v>237543</v>
      </c>
      <c r="E579" s="392">
        <v>14</v>
      </c>
    </row>
    <row r="580" spans="1:5">
      <c r="A580" s="439" t="s">
        <v>477</v>
      </c>
      <c r="B580" s="347" t="s">
        <v>740</v>
      </c>
      <c r="C580" s="347"/>
      <c r="D580" s="350">
        <v>368647</v>
      </c>
      <c r="E580" s="392">
        <v>14</v>
      </c>
    </row>
    <row r="581" spans="1:5">
      <c r="A581" s="439" t="s">
        <v>477</v>
      </c>
      <c r="B581" s="347" t="s">
        <v>506</v>
      </c>
      <c r="C581" s="347"/>
      <c r="D581" s="350">
        <v>237561</v>
      </c>
      <c r="E581" s="392">
        <v>14</v>
      </c>
    </row>
    <row r="582" spans="1:5">
      <c r="A582" s="439" t="s">
        <v>477</v>
      </c>
      <c r="B582" s="347" t="s">
        <v>507</v>
      </c>
      <c r="C582" s="347"/>
      <c r="D582" s="350">
        <v>419420</v>
      </c>
      <c r="E582" s="392">
        <v>14</v>
      </c>
    </row>
    <row r="583" spans="1:5">
      <c r="A583" s="439" t="s">
        <v>477</v>
      </c>
      <c r="B583" s="347" t="s">
        <v>508</v>
      </c>
      <c r="C583" s="347"/>
      <c r="D583" s="350">
        <v>237491</v>
      </c>
      <c r="E583" s="392">
        <v>14</v>
      </c>
    </row>
    <row r="584" spans="1:5">
      <c r="A584" s="439" t="s">
        <v>477</v>
      </c>
      <c r="B584" s="347" t="s">
        <v>509</v>
      </c>
      <c r="C584" s="347"/>
      <c r="D584" s="350">
        <v>364575</v>
      </c>
      <c r="E584" s="392">
        <v>14</v>
      </c>
    </row>
    <row r="585" spans="1:5">
      <c r="A585" s="439" t="s">
        <v>477</v>
      </c>
      <c r="B585" s="347" t="s">
        <v>510</v>
      </c>
      <c r="C585" s="347"/>
      <c r="D585" s="350">
        <v>441894</v>
      </c>
      <c r="E585" s="392">
        <v>14</v>
      </c>
    </row>
    <row r="586" spans="1:5">
      <c r="A586" s="439" t="s">
        <v>477</v>
      </c>
      <c r="B586" s="347" t="s">
        <v>511</v>
      </c>
      <c r="C586" s="347"/>
      <c r="D586" s="350">
        <v>419031</v>
      </c>
      <c r="E586" s="392">
        <v>14</v>
      </c>
    </row>
    <row r="587" spans="1:5">
      <c r="A587" s="439" t="s">
        <v>477</v>
      </c>
      <c r="B587" s="347" t="s">
        <v>741</v>
      </c>
      <c r="C587" s="347"/>
      <c r="D587" s="353" t="s">
        <v>437</v>
      </c>
      <c r="E587" s="392">
        <v>14</v>
      </c>
    </row>
    <row r="588" spans="1:5">
      <c r="A588" s="439" t="s">
        <v>477</v>
      </c>
      <c r="B588" s="347" t="s">
        <v>742</v>
      </c>
      <c r="C588" s="347"/>
      <c r="D588" s="353" t="s">
        <v>437</v>
      </c>
      <c r="E588" s="392">
        <v>15</v>
      </c>
    </row>
    <row r="589" spans="1:5">
      <c r="A589" s="439" t="s">
        <v>477</v>
      </c>
      <c r="B589" s="347" t="s">
        <v>512</v>
      </c>
      <c r="C589" s="347"/>
      <c r="D589" s="350">
        <v>486202</v>
      </c>
      <c r="E589" s="392">
        <v>15</v>
      </c>
    </row>
    <row r="590" spans="1:5">
      <c r="A590" s="392" t="s">
        <v>477</v>
      </c>
      <c r="B590" s="347" t="s">
        <v>513</v>
      </c>
      <c r="C590" s="347"/>
      <c r="D590" s="350">
        <v>486406</v>
      </c>
      <c r="E590" s="392">
        <v>15</v>
      </c>
    </row>
    <row r="591" spans="1:5">
      <c r="A591" s="439" t="s">
        <v>477</v>
      </c>
      <c r="B591" s="347" t="s">
        <v>743</v>
      </c>
      <c r="C591" s="347"/>
      <c r="D591" s="353" t="s">
        <v>437</v>
      </c>
      <c r="E591" s="392">
        <v>15</v>
      </c>
    </row>
    <row r="592" spans="1:5">
      <c r="A592" s="392" t="s">
        <v>477</v>
      </c>
      <c r="B592" s="347" t="s">
        <v>514</v>
      </c>
      <c r="C592" s="347"/>
      <c r="D592" s="350">
        <v>238096</v>
      </c>
      <c r="E592" s="392">
        <v>15</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6AD59-774D-4951-A781-DE16019A6B9D}">
  <sheetPr>
    <tabColor rgb="FFFFFF00"/>
  </sheetPr>
  <dimension ref="A3:W617"/>
  <sheetViews>
    <sheetView workbookViewId="0">
      <selection sqref="A1:XFD1048576"/>
    </sheetView>
  </sheetViews>
  <sheetFormatPr defaultColWidth="8.88671875" defaultRowHeight="15"/>
  <cols>
    <col min="1" max="1" width="4.6640625" style="54" customWidth="1"/>
    <col min="2" max="2" width="16.88671875" style="54" customWidth="1"/>
    <col min="3" max="9" width="10" style="54" customWidth="1"/>
    <col min="10" max="10" width="12.44140625" style="54" customWidth="1"/>
    <col min="11" max="14" width="8.6640625" style="54" customWidth="1"/>
    <col min="15" max="15" width="11.109375" style="54" customWidth="1"/>
    <col min="16" max="17" width="8.77734375" style="54" customWidth="1"/>
    <col min="18" max="18" width="11.33203125" style="54" customWidth="1"/>
    <col min="19" max="21" width="8.88671875" style="54" customWidth="1"/>
    <col min="22" max="22" width="7.109375" style="54" customWidth="1"/>
    <col min="23" max="16384" width="8.88671875" style="54"/>
  </cols>
  <sheetData>
    <row r="3" spans="1:22">
      <c r="A3" s="50"/>
      <c r="B3" s="51"/>
      <c r="C3" s="50"/>
      <c r="D3" s="52"/>
      <c r="E3" s="52"/>
      <c r="F3" s="53"/>
      <c r="G3" s="53"/>
      <c r="H3" s="53"/>
      <c r="I3" s="53"/>
      <c r="J3" s="53"/>
      <c r="K3" s="53"/>
      <c r="L3" s="53"/>
      <c r="M3" s="53"/>
      <c r="N3" s="53"/>
      <c r="O3" s="53"/>
      <c r="P3" s="53"/>
      <c r="Q3" s="53"/>
      <c r="R3" s="53"/>
      <c r="S3" s="288"/>
      <c r="T3" s="288"/>
      <c r="U3" s="53"/>
      <c r="V3" s="289"/>
    </row>
    <row r="4" spans="1:22">
      <c r="A4" s="290"/>
      <c r="B4" s="291"/>
      <c r="C4" s="290"/>
      <c r="D4" s="292"/>
      <c r="E4" s="291"/>
      <c r="F4" s="291"/>
      <c r="G4" s="291"/>
      <c r="H4" s="291"/>
      <c r="I4" s="291"/>
      <c r="J4" s="50"/>
      <c r="K4" s="293"/>
      <c r="L4" s="292"/>
      <c r="M4" s="291"/>
      <c r="N4" s="291"/>
      <c r="O4" s="50"/>
      <c r="P4" s="50"/>
      <c r="Q4" s="51"/>
      <c r="R4" s="50"/>
      <c r="S4" s="294"/>
      <c r="T4" s="294"/>
      <c r="U4" s="295"/>
      <c r="V4" s="289"/>
    </row>
    <row r="5" spans="1:22">
      <c r="A5" s="50"/>
      <c r="B5" s="50"/>
      <c r="C5" s="50"/>
      <c r="D5" s="55"/>
      <c r="E5" s="55"/>
      <c r="F5" s="55"/>
      <c r="G5" s="55"/>
      <c r="H5" s="55"/>
      <c r="I5" s="55"/>
      <c r="J5" s="56"/>
      <c r="K5" s="296"/>
      <c r="L5" s="55"/>
      <c r="M5" s="55"/>
      <c r="N5" s="55"/>
      <c r="O5" s="56"/>
      <c r="P5" s="297"/>
      <c r="R5" s="56"/>
      <c r="S5" s="298"/>
      <c r="T5" s="298"/>
      <c r="U5" s="299"/>
      <c r="V5" s="289"/>
    </row>
    <row r="6" spans="1:22">
      <c r="A6" s="300"/>
      <c r="B6" s="50"/>
      <c r="C6" s="301"/>
      <c r="D6" s="302"/>
      <c r="E6" s="302"/>
      <c r="F6" s="302"/>
      <c r="G6" s="302"/>
      <c r="H6" s="302"/>
      <c r="I6" s="302"/>
      <c r="J6" s="303"/>
      <c r="K6" s="303"/>
      <c r="L6" s="302"/>
      <c r="M6" s="302"/>
      <c r="N6" s="302"/>
      <c r="O6" s="303"/>
      <c r="P6" s="303"/>
      <c r="Q6" s="302"/>
      <c r="R6" s="303"/>
      <c r="S6" s="303"/>
      <c r="T6" s="303"/>
      <c r="U6" s="303"/>
      <c r="V6" s="289"/>
    </row>
    <row r="7" spans="1:22">
      <c r="A7" s="304"/>
      <c r="B7" s="305"/>
      <c r="C7" s="306"/>
      <c r="D7" s="307"/>
      <c r="E7" s="307"/>
      <c r="F7" s="307"/>
      <c r="G7" s="307"/>
      <c r="H7" s="307"/>
      <c r="I7" s="307"/>
      <c r="J7" s="308"/>
      <c r="K7" s="308"/>
      <c r="L7" s="307"/>
      <c r="M7" s="307"/>
      <c r="N7" s="307"/>
      <c r="O7" s="308"/>
      <c r="P7" s="308"/>
      <c r="Q7" s="307"/>
      <c r="R7" s="308"/>
      <c r="S7" s="308"/>
      <c r="T7" s="308"/>
      <c r="U7" s="308"/>
      <c r="V7" s="309"/>
    </row>
    <row r="8" spans="1:22">
      <c r="A8" s="304"/>
      <c r="B8" s="310"/>
      <c r="C8" s="311"/>
      <c r="D8" s="312"/>
      <c r="E8" s="312"/>
      <c r="F8" s="312"/>
      <c r="G8" s="312"/>
      <c r="H8" s="312"/>
      <c r="I8" s="312"/>
      <c r="J8" s="313"/>
      <c r="K8" s="313"/>
      <c r="L8" s="312"/>
      <c r="M8" s="312"/>
      <c r="N8" s="312"/>
      <c r="O8" s="313"/>
      <c r="P8" s="313"/>
      <c r="Q8" s="312"/>
      <c r="R8" s="313"/>
      <c r="S8" s="313"/>
      <c r="T8" s="313"/>
      <c r="U8" s="313"/>
      <c r="V8" s="309"/>
    </row>
    <row r="9" spans="1:22">
      <c r="A9" s="304"/>
      <c r="B9" s="50"/>
      <c r="C9" s="301"/>
      <c r="D9" s="302"/>
      <c r="E9" s="302"/>
      <c r="F9" s="302"/>
      <c r="G9" s="302"/>
      <c r="H9" s="302"/>
      <c r="I9" s="302"/>
      <c r="J9" s="303"/>
      <c r="K9" s="303"/>
      <c r="L9" s="302"/>
      <c r="M9" s="302"/>
      <c r="N9" s="302"/>
      <c r="O9" s="303"/>
      <c r="P9" s="303"/>
      <c r="Q9" s="302"/>
      <c r="R9" s="303"/>
      <c r="S9" s="303"/>
      <c r="T9" s="303"/>
      <c r="U9" s="303"/>
      <c r="V9" s="309"/>
    </row>
    <row r="10" spans="1:22">
      <c r="A10" s="304"/>
      <c r="B10" s="305"/>
      <c r="C10" s="306"/>
      <c r="D10" s="307"/>
      <c r="E10" s="307"/>
      <c r="F10" s="307"/>
      <c r="G10" s="307"/>
      <c r="H10" s="307"/>
      <c r="I10" s="307"/>
      <c r="J10" s="308"/>
      <c r="K10" s="308"/>
      <c r="L10" s="307"/>
      <c r="M10" s="307"/>
      <c r="N10" s="307"/>
      <c r="O10" s="308"/>
      <c r="P10" s="308"/>
      <c r="Q10" s="307"/>
      <c r="R10" s="308"/>
      <c r="S10" s="308"/>
      <c r="T10" s="308"/>
      <c r="U10" s="308"/>
      <c r="V10" s="309"/>
    </row>
    <row r="11" spans="1:22">
      <c r="A11" s="304"/>
      <c r="B11" s="310"/>
      <c r="C11" s="311"/>
      <c r="D11" s="312"/>
      <c r="E11" s="312"/>
      <c r="F11" s="312"/>
      <c r="G11" s="312"/>
      <c r="H11" s="312"/>
      <c r="I11" s="312"/>
      <c r="J11" s="314"/>
      <c r="K11" s="314"/>
      <c r="L11" s="312"/>
      <c r="M11" s="312"/>
      <c r="N11" s="312"/>
      <c r="O11" s="314"/>
      <c r="P11" s="314"/>
      <c r="Q11" s="312"/>
      <c r="R11" s="314"/>
      <c r="S11" s="314"/>
      <c r="T11" s="314"/>
      <c r="U11" s="314"/>
      <c r="V11" s="309"/>
    </row>
    <row r="12" spans="1:22">
      <c r="A12" s="304"/>
      <c r="B12" s="50"/>
      <c r="C12" s="301"/>
      <c r="D12" s="302"/>
      <c r="E12" s="302"/>
      <c r="F12" s="302"/>
      <c r="G12" s="302"/>
      <c r="H12" s="302"/>
      <c r="I12" s="302"/>
      <c r="J12" s="303"/>
      <c r="K12" s="303"/>
      <c r="L12" s="302"/>
      <c r="M12" s="302"/>
      <c r="N12" s="302"/>
      <c r="O12" s="303"/>
      <c r="P12" s="303"/>
      <c r="Q12" s="302"/>
      <c r="R12" s="303"/>
      <c r="S12" s="303"/>
      <c r="T12" s="303"/>
      <c r="U12" s="303"/>
      <c r="V12" s="309"/>
    </row>
    <row r="13" spans="1:22">
      <c r="A13" s="304"/>
      <c r="B13" s="305"/>
      <c r="C13" s="306"/>
      <c r="D13" s="307"/>
      <c r="E13" s="307"/>
      <c r="F13" s="307"/>
      <c r="G13" s="307"/>
      <c r="H13" s="307"/>
      <c r="I13" s="307"/>
      <c r="J13" s="308"/>
      <c r="K13" s="308"/>
      <c r="L13" s="307"/>
      <c r="M13" s="307"/>
      <c r="N13" s="307"/>
      <c r="O13" s="308"/>
      <c r="P13" s="308"/>
      <c r="Q13" s="307"/>
      <c r="R13" s="308"/>
      <c r="S13" s="308"/>
      <c r="T13" s="308"/>
      <c r="U13" s="308"/>
      <c r="V13" s="309"/>
    </row>
    <row r="14" spans="1:22" s="315" customFormat="1">
      <c r="A14" s="304"/>
      <c r="B14" s="310"/>
      <c r="C14" s="311"/>
      <c r="D14" s="312"/>
      <c r="E14" s="312"/>
      <c r="F14" s="312"/>
      <c r="G14" s="312"/>
      <c r="H14" s="312"/>
      <c r="I14" s="312"/>
      <c r="J14" s="314"/>
      <c r="K14" s="314"/>
      <c r="L14" s="312"/>
      <c r="M14" s="312"/>
      <c r="N14" s="312"/>
      <c r="O14" s="314"/>
      <c r="P14" s="314"/>
      <c r="Q14" s="312"/>
      <c r="R14" s="314"/>
      <c r="S14" s="314"/>
      <c r="T14" s="314"/>
      <c r="U14" s="314"/>
      <c r="V14" s="309"/>
    </row>
    <row r="15" spans="1:22">
      <c r="A15" s="304"/>
      <c r="B15" s="50"/>
      <c r="C15" s="301"/>
      <c r="D15" s="302"/>
      <c r="E15" s="302"/>
      <c r="F15" s="302"/>
      <c r="G15" s="302"/>
      <c r="H15" s="302"/>
      <c r="I15" s="302"/>
      <c r="J15" s="303"/>
      <c r="K15" s="303"/>
      <c r="L15" s="302"/>
      <c r="M15" s="302"/>
      <c r="N15" s="302"/>
      <c r="O15" s="303"/>
      <c r="P15" s="303"/>
      <c r="Q15" s="302"/>
      <c r="R15" s="303"/>
      <c r="S15" s="303"/>
      <c r="T15" s="303"/>
      <c r="U15" s="303"/>
      <c r="V15" s="309"/>
    </row>
    <row r="16" spans="1:22">
      <c r="A16" s="304"/>
      <c r="B16" s="305"/>
      <c r="C16" s="306"/>
      <c r="D16" s="307"/>
      <c r="E16" s="307"/>
      <c r="F16" s="307"/>
      <c r="G16" s="307"/>
      <c r="H16" s="307"/>
      <c r="I16" s="307"/>
      <c r="J16" s="308"/>
      <c r="K16" s="308"/>
      <c r="L16" s="307"/>
      <c r="M16" s="307"/>
      <c r="N16" s="307"/>
      <c r="O16" s="308"/>
      <c r="P16" s="308"/>
      <c r="Q16" s="307"/>
      <c r="R16" s="308"/>
      <c r="S16" s="308"/>
      <c r="T16" s="308"/>
      <c r="U16" s="308"/>
      <c r="V16" s="309"/>
    </row>
    <row r="17" spans="1:22">
      <c r="A17" s="304"/>
      <c r="B17" s="310"/>
      <c r="C17" s="311"/>
      <c r="D17" s="312"/>
      <c r="E17" s="312"/>
      <c r="F17" s="312"/>
      <c r="G17" s="312"/>
      <c r="H17" s="312"/>
      <c r="I17" s="312"/>
      <c r="J17" s="314"/>
      <c r="K17" s="314"/>
      <c r="L17" s="312"/>
      <c r="M17" s="312"/>
      <c r="N17" s="312"/>
      <c r="O17" s="314"/>
      <c r="P17" s="314"/>
      <c r="Q17" s="312"/>
      <c r="R17" s="314"/>
      <c r="S17" s="314"/>
      <c r="T17" s="314"/>
      <c r="U17" s="314"/>
      <c r="V17" s="309"/>
    </row>
    <row r="18" spans="1:22">
      <c r="A18" s="304"/>
      <c r="B18" s="50"/>
      <c r="C18" s="301"/>
      <c r="D18" s="302"/>
      <c r="E18" s="302"/>
      <c r="F18" s="302"/>
      <c r="G18" s="302"/>
      <c r="H18" s="302"/>
      <c r="I18" s="302"/>
      <c r="J18" s="303"/>
      <c r="K18" s="303"/>
      <c r="L18" s="302"/>
      <c r="M18" s="302"/>
      <c r="N18" s="302"/>
      <c r="O18" s="303"/>
      <c r="P18" s="303"/>
      <c r="Q18" s="302"/>
      <c r="R18" s="303"/>
      <c r="S18" s="303"/>
      <c r="T18" s="303"/>
      <c r="U18" s="303"/>
      <c r="V18" s="309"/>
    </row>
    <row r="19" spans="1:22">
      <c r="A19" s="304"/>
      <c r="B19" s="305"/>
      <c r="C19" s="306"/>
      <c r="D19" s="307"/>
      <c r="E19" s="307"/>
      <c r="F19" s="307"/>
      <c r="G19" s="307"/>
      <c r="H19" s="307"/>
      <c r="I19" s="307"/>
      <c r="J19" s="308"/>
      <c r="K19" s="308"/>
      <c r="L19" s="307"/>
      <c r="M19" s="307"/>
      <c r="N19" s="307"/>
      <c r="O19" s="308"/>
      <c r="P19" s="308"/>
      <c r="Q19" s="307"/>
      <c r="R19" s="308"/>
      <c r="S19" s="308"/>
      <c r="T19" s="308"/>
      <c r="U19" s="308"/>
      <c r="V19" s="309"/>
    </row>
    <row r="20" spans="1:22">
      <c r="A20" s="304"/>
      <c r="B20" s="310"/>
      <c r="C20" s="311"/>
      <c r="D20" s="312"/>
      <c r="E20" s="312"/>
      <c r="F20" s="312"/>
      <c r="G20" s="312"/>
      <c r="H20" s="312"/>
      <c r="I20" s="312"/>
      <c r="J20" s="314"/>
      <c r="K20" s="314"/>
      <c r="L20" s="312"/>
      <c r="M20" s="312"/>
      <c r="N20" s="312"/>
      <c r="O20" s="314"/>
      <c r="P20" s="314"/>
      <c r="Q20" s="312"/>
      <c r="R20" s="314"/>
      <c r="S20" s="314"/>
      <c r="T20" s="314"/>
      <c r="U20" s="314"/>
      <c r="V20" s="309"/>
    </row>
    <row r="21" spans="1:22">
      <c r="A21" s="304"/>
      <c r="B21" s="50"/>
      <c r="C21" s="301"/>
      <c r="D21" s="302"/>
      <c r="E21" s="302"/>
      <c r="F21" s="302"/>
      <c r="G21" s="302"/>
      <c r="H21" s="302"/>
      <c r="I21" s="302"/>
      <c r="J21" s="303"/>
      <c r="K21" s="303"/>
      <c r="L21" s="302"/>
      <c r="M21" s="302"/>
      <c r="N21" s="302"/>
      <c r="O21" s="303"/>
      <c r="P21" s="303"/>
      <c r="Q21" s="302"/>
      <c r="R21" s="303"/>
      <c r="S21" s="303"/>
      <c r="T21" s="303"/>
      <c r="U21" s="303"/>
      <c r="V21" s="309"/>
    </row>
    <row r="22" spans="1:22">
      <c r="A22" s="304"/>
      <c r="B22" s="305"/>
      <c r="C22" s="306"/>
      <c r="D22" s="307"/>
      <c r="E22" s="307"/>
      <c r="F22" s="307"/>
      <c r="G22" s="307"/>
      <c r="H22" s="307"/>
      <c r="I22" s="307"/>
      <c r="J22" s="308"/>
      <c r="K22" s="308"/>
      <c r="L22" s="307"/>
      <c r="M22" s="307"/>
      <c r="N22" s="307"/>
      <c r="O22" s="308"/>
      <c r="P22" s="308"/>
      <c r="Q22" s="307"/>
      <c r="R22" s="308"/>
      <c r="S22" s="308"/>
      <c r="T22" s="308"/>
      <c r="U22" s="308"/>
      <c r="V22" s="309"/>
    </row>
    <row r="23" spans="1:22" ht="15.75" thickBot="1">
      <c r="A23" s="304"/>
      <c r="B23" s="316"/>
      <c r="C23" s="317"/>
      <c r="D23" s="318"/>
      <c r="E23" s="318"/>
      <c r="F23" s="318"/>
      <c r="G23" s="318"/>
      <c r="H23" s="318"/>
      <c r="I23" s="318"/>
      <c r="J23" s="319"/>
      <c r="K23" s="319"/>
      <c r="L23" s="318"/>
      <c r="M23" s="318"/>
      <c r="N23" s="318"/>
      <c r="O23" s="319"/>
      <c r="P23" s="319"/>
      <c r="Q23" s="318"/>
      <c r="R23" s="319"/>
      <c r="S23" s="319"/>
      <c r="T23" s="319"/>
      <c r="U23" s="319"/>
      <c r="V23" s="309"/>
    </row>
    <row r="24" spans="1:22" ht="15.75" thickTop="1">
      <c r="A24" s="304"/>
      <c r="B24" s="305"/>
      <c r="C24" s="306"/>
      <c r="D24" s="307"/>
      <c r="E24" s="307"/>
      <c r="F24" s="307"/>
      <c r="G24" s="307"/>
      <c r="H24" s="307"/>
      <c r="I24" s="307"/>
      <c r="J24" s="308"/>
      <c r="K24" s="308"/>
      <c r="L24" s="307"/>
      <c r="M24" s="307"/>
      <c r="N24" s="307"/>
      <c r="O24" s="308"/>
      <c r="P24" s="308"/>
      <c r="Q24" s="307"/>
      <c r="R24" s="308"/>
      <c r="S24" s="308"/>
      <c r="T24" s="308"/>
      <c r="U24" s="308"/>
      <c r="V24" s="309"/>
    </row>
    <row r="25" spans="1:22">
      <c r="A25" s="304"/>
      <c r="B25" s="305"/>
      <c r="C25" s="306"/>
      <c r="D25" s="307"/>
      <c r="E25" s="307"/>
      <c r="F25" s="307"/>
      <c r="G25" s="307"/>
      <c r="H25" s="307"/>
      <c r="I25" s="307"/>
      <c r="J25" s="308"/>
      <c r="K25" s="308"/>
      <c r="L25" s="307"/>
      <c r="M25" s="307"/>
      <c r="N25" s="307"/>
      <c r="O25" s="308"/>
      <c r="P25" s="308"/>
      <c r="Q25" s="307"/>
      <c r="R25" s="308"/>
      <c r="S25" s="308"/>
      <c r="T25" s="308"/>
      <c r="U25" s="308"/>
      <c r="V25" s="309"/>
    </row>
    <row r="26" spans="1:22">
      <c r="A26" s="304"/>
      <c r="B26" s="310"/>
      <c r="C26" s="311"/>
      <c r="D26" s="312"/>
      <c r="E26" s="312"/>
      <c r="F26" s="312"/>
      <c r="G26" s="312"/>
      <c r="H26" s="312"/>
      <c r="I26" s="312"/>
      <c r="J26" s="314"/>
      <c r="K26" s="314"/>
      <c r="L26" s="312"/>
      <c r="M26" s="312"/>
      <c r="N26" s="312"/>
      <c r="O26" s="314"/>
      <c r="P26" s="314"/>
      <c r="Q26" s="312"/>
      <c r="R26" s="314"/>
      <c r="S26" s="314"/>
      <c r="T26" s="314"/>
      <c r="U26" s="314"/>
      <c r="V26" s="309"/>
    </row>
    <row r="27" spans="1:22">
      <c r="A27" s="304"/>
      <c r="B27" s="50"/>
      <c r="C27" s="301"/>
      <c r="D27" s="302"/>
      <c r="E27" s="302"/>
      <c r="F27" s="302"/>
      <c r="G27" s="302"/>
      <c r="H27" s="302"/>
      <c r="I27" s="302"/>
      <c r="J27" s="303"/>
      <c r="K27" s="303"/>
      <c r="L27" s="302"/>
      <c r="M27" s="302"/>
      <c r="N27" s="302"/>
      <c r="O27" s="303"/>
      <c r="P27" s="303"/>
      <c r="Q27" s="302"/>
      <c r="R27" s="303"/>
      <c r="S27" s="303"/>
      <c r="T27" s="303"/>
      <c r="U27" s="303"/>
      <c r="V27" s="309"/>
    </row>
    <row r="28" spans="1:22">
      <c r="A28" s="304"/>
      <c r="B28" s="305"/>
      <c r="C28" s="306"/>
      <c r="D28" s="307"/>
      <c r="E28" s="307"/>
      <c r="F28" s="307"/>
      <c r="G28" s="307"/>
      <c r="H28" s="307"/>
      <c r="I28" s="307"/>
      <c r="J28" s="308"/>
      <c r="K28" s="308"/>
      <c r="L28" s="307"/>
      <c r="M28" s="307"/>
      <c r="N28" s="307"/>
      <c r="O28" s="308"/>
      <c r="P28" s="308"/>
      <c r="Q28" s="307"/>
      <c r="R28" s="308"/>
      <c r="S28" s="308"/>
      <c r="T28" s="308"/>
      <c r="U28" s="308"/>
      <c r="V28" s="309"/>
    </row>
    <row r="29" spans="1:22">
      <c r="A29" s="304"/>
      <c r="B29" s="310"/>
      <c r="C29" s="311"/>
      <c r="D29" s="312"/>
      <c r="E29" s="312"/>
      <c r="F29" s="312"/>
      <c r="G29" s="312"/>
      <c r="H29" s="312"/>
      <c r="I29" s="312"/>
      <c r="J29" s="314"/>
      <c r="K29" s="314"/>
      <c r="L29" s="312"/>
      <c r="M29" s="312"/>
      <c r="N29" s="312"/>
      <c r="O29" s="314"/>
      <c r="P29" s="314"/>
      <c r="Q29" s="312"/>
      <c r="R29" s="314"/>
      <c r="S29" s="314"/>
      <c r="T29" s="314"/>
      <c r="U29" s="314"/>
      <c r="V29" s="309"/>
    </row>
    <row r="30" spans="1:22">
      <c r="A30" s="304"/>
      <c r="B30" s="50"/>
      <c r="C30" s="301"/>
      <c r="D30" s="302"/>
      <c r="E30" s="302"/>
      <c r="F30" s="302"/>
      <c r="G30" s="302"/>
      <c r="H30" s="302"/>
      <c r="I30" s="302"/>
      <c r="J30" s="303"/>
      <c r="K30" s="303"/>
      <c r="L30" s="302"/>
      <c r="M30" s="302"/>
      <c r="N30" s="302"/>
      <c r="O30" s="303"/>
      <c r="P30" s="303"/>
      <c r="Q30" s="302"/>
      <c r="R30" s="303"/>
      <c r="S30" s="303"/>
      <c r="T30" s="303"/>
      <c r="U30" s="303"/>
      <c r="V30" s="309"/>
    </row>
    <row r="31" spans="1:22">
      <c r="A31" s="304"/>
      <c r="B31" s="305"/>
      <c r="C31" s="306"/>
      <c r="D31" s="307"/>
      <c r="E31" s="307"/>
      <c r="F31" s="307"/>
      <c r="G31" s="307"/>
      <c r="H31" s="307"/>
      <c r="I31" s="307"/>
      <c r="J31" s="308"/>
      <c r="K31" s="308"/>
      <c r="L31" s="307"/>
      <c r="M31" s="307"/>
      <c r="N31" s="307"/>
      <c r="O31" s="308"/>
      <c r="P31" s="308"/>
      <c r="Q31" s="307"/>
      <c r="R31" s="308"/>
      <c r="S31" s="308"/>
      <c r="T31" s="308"/>
      <c r="U31" s="308"/>
      <c r="V31" s="309"/>
    </row>
    <row r="32" spans="1:22">
      <c r="A32" s="304"/>
      <c r="B32" s="310"/>
      <c r="C32" s="311"/>
      <c r="D32" s="312"/>
      <c r="E32" s="312"/>
      <c r="F32" s="312"/>
      <c r="G32" s="312"/>
      <c r="H32" s="312"/>
      <c r="I32" s="312"/>
      <c r="J32" s="314"/>
      <c r="K32" s="314"/>
      <c r="L32" s="312"/>
      <c r="M32" s="312"/>
      <c r="N32" s="312"/>
      <c r="O32" s="314"/>
      <c r="P32" s="314"/>
      <c r="Q32" s="312"/>
      <c r="R32" s="314"/>
      <c r="S32" s="314"/>
      <c r="T32" s="314"/>
      <c r="U32" s="314"/>
      <c r="V32" s="309"/>
    </row>
    <row r="33" spans="1:22">
      <c r="A33" s="304"/>
      <c r="B33" s="50"/>
      <c r="C33" s="301"/>
      <c r="D33" s="302"/>
      <c r="E33" s="302"/>
      <c r="F33" s="302"/>
      <c r="G33" s="302"/>
      <c r="H33" s="302"/>
      <c r="I33" s="302"/>
      <c r="J33" s="303"/>
      <c r="K33" s="303"/>
      <c r="L33" s="302"/>
      <c r="M33" s="302"/>
      <c r="N33" s="302"/>
      <c r="O33" s="303"/>
      <c r="P33" s="303"/>
      <c r="Q33" s="302"/>
      <c r="R33" s="303"/>
      <c r="S33" s="303"/>
      <c r="T33" s="303"/>
      <c r="U33" s="303"/>
      <c r="V33" s="309"/>
    </row>
    <row r="34" spans="1:22">
      <c r="A34" s="304"/>
      <c r="B34" s="305"/>
      <c r="C34" s="306"/>
      <c r="D34" s="307"/>
      <c r="E34" s="307"/>
      <c r="F34" s="307"/>
      <c r="G34" s="307"/>
      <c r="H34" s="307"/>
      <c r="I34" s="307"/>
      <c r="J34" s="308"/>
      <c r="K34" s="308"/>
      <c r="L34" s="307"/>
      <c r="M34" s="307"/>
      <c r="N34" s="307"/>
      <c r="O34" s="308"/>
      <c r="P34" s="308"/>
      <c r="Q34" s="307"/>
      <c r="R34" s="308"/>
      <c r="S34" s="308"/>
      <c r="T34" s="308"/>
      <c r="U34" s="308"/>
      <c r="V34" s="309"/>
    </row>
    <row r="35" spans="1:22">
      <c r="A35" s="304"/>
      <c r="B35" s="310"/>
      <c r="C35" s="311"/>
      <c r="D35" s="312"/>
      <c r="E35" s="312"/>
      <c r="F35" s="312"/>
      <c r="G35" s="312"/>
      <c r="H35" s="312"/>
      <c r="I35" s="312"/>
      <c r="J35" s="314"/>
      <c r="K35" s="314"/>
      <c r="L35" s="312"/>
      <c r="M35" s="312"/>
      <c r="N35" s="312"/>
      <c r="O35" s="314"/>
      <c r="P35" s="314"/>
      <c r="Q35" s="312"/>
      <c r="R35" s="314"/>
      <c r="S35" s="314"/>
      <c r="T35" s="314"/>
      <c r="U35" s="314"/>
      <c r="V35" s="309"/>
    </row>
    <row r="36" spans="1:22">
      <c r="A36" s="304"/>
      <c r="B36" s="50"/>
      <c r="C36" s="301"/>
      <c r="D36" s="302"/>
      <c r="E36" s="302"/>
      <c r="F36" s="302"/>
      <c r="G36" s="302"/>
      <c r="H36" s="302"/>
      <c r="I36" s="302"/>
      <c r="J36" s="303"/>
      <c r="K36" s="303"/>
      <c r="L36" s="302"/>
      <c r="M36" s="302"/>
      <c r="N36" s="302"/>
      <c r="O36" s="303"/>
      <c r="P36" s="303"/>
      <c r="Q36" s="302"/>
      <c r="R36" s="303"/>
      <c r="S36" s="303"/>
      <c r="T36" s="303"/>
      <c r="U36" s="303"/>
      <c r="V36" s="309"/>
    </row>
    <row r="37" spans="1:22">
      <c r="A37" s="304"/>
      <c r="B37" s="305"/>
      <c r="C37" s="306"/>
      <c r="D37" s="307"/>
      <c r="E37" s="307"/>
      <c r="F37" s="307"/>
      <c r="G37" s="307"/>
      <c r="H37" s="307"/>
      <c r="I37" s="307"/>
      <c r="J37" s="308"/>
      <c r="K37" s="308"/>
      <c r="L37" s="307"/>
      <c r="M37" s="307"/>
      <c r="N37" s="307"/>
      <c r="O37" s="308"/>
      <c r="P37" s="308"/>
      <c r="Q37" s="307"/>
      <c r="R37" s="308"/>
      <c r="S37" s="308"/>
      <c r="T37" s="308"/>
      <c r="U37" s="308"/>
      <c r="V37" s="309"/>
    </row>
    <row r="38" spans="1:22">
      <c r="A38" s="304"/>
      <c r="B38" s="310"/>
      <c r="C38" s="311"/>
      <c r="D38" s="312"/>
      <c r="E38" s="312"/>
      <c r="F38" s="312"/>
      <c r="G38" s="312"/>
      <c r="H38" s="312"/>
      <c r="I38" s="312"/>
      <c r="J38" s="314"/>
      <c r="K38" s="314"/>
      <c r="L38" s="312"/>
      <c r="M38" s="312"/>
      <c r="N38" s="312"/>
      <c r="O38" s="314"/>
      <c r="P38" s="314"/>
      <c r="Q38" s="312"/>
      <c r="R38" s="314"/>
      <c r="S38" s="314"/>
      <c r="T38" s="314"/>
      <c r="U38" s="314"/>
      <c r="V38" s="309"/>
    </row>
    <row r="39" spans="1:22">
      <c r="A39" s="304"/>
      <c r="B39" s="50"/>
      <c r="C39" s="301"/>
      <c r="D39" s="302"/>
      <c r="E39" s="302"/>
      <c r="F39" s="302"/>
      <c r="G39" s="302"/>
      <c r="H39" s="302"/>
      <c r="I39" s="302"/>
      <c r="J39" s="303"/>
      <c r="K39" s="303"/>
      <c r="L39" s="302"/>
      <c r="M39" s="302"/>
      <c r="N39" s="302"/>
      <c r="O39" s="303"/>
      <c r="P39" s="303"/>
      <c r="Q39" s="302"/>
      <c r="R39" s="303"/>
      <c r="S39" s="303"/>
      <c r="T39" s="303"/>
      <c r="U39" s="303"/>
      <c r="V39" s="309"/>
    </row>
    <row r="40" spans="1:22">
      <c r="A40" s="304"/>
      <c r="B40" s="305"/>
      <c r="C40" s="306"/>
      <c r="D40" s="307"/>
      <c r="E40" s="307"/>
      <c r="F40" s="307"/>
      <c r="G40" s="307"/>
      <c r="H40" s="307"/>
      <c r="I40" s="307"/>
      <c r="J40" s="308"/>
      <c r="K40" s="308"/>
      <c r="L40" s="307"/>
      <c r="M40" s="307"/>
      <c r="N40" s="307"/>
      <c r="O40" s="308"/>
      <c r="P40" s="308"/>
      <c r="Q40" s="307"/>
      <c r="R40" s="308"/>
      <c r="S40" s="308"/>
      <c r="T40" s="308"/>
      <c r="U40" s="308"/>
      <c r="V40" s="309"/>
    </row>
    <row r="41" spans="1:22" ht="15.75" thickBot="1">
      <c r="A41" s="320"/>
      <c r="B41" s="321"/>
      <c r="C41" s="322"/>
      <c r="D41" s="323"/>
      <c r="E41" s="323"/>
      <c r="F41" s="323"/>
      <c r="G41" s="323"/>
      <c r="H41" s="323"/>
      <c r="I41" s="323"/>
      <c r="J41" s="324"/>
      <c r="K41" s="324"/>
      <c r="L41" s="323"/>
      <c r="M41" s="323"/>
      <c r="N41" s="323"/>
      <c r="O41" s="324"/>
      <c r="P41" s="324"/>
      <c r="Q41" s="323"/>
      <c r="R41" s="324"/>
      <c r="S41" s="324"/>
      <c r="T41" s="324"/>
      <c r="U41" s="324"/>
      <c r="V41" s="309"/>
    </row>
    <row r="42" spans="1:22">
      <c r="A42" s="325"/>
      <c r="B42" s="305"/>
      <c r="C42" s="306"/>
      <c r="D42" s="307"/>
      <c r="E42" s="307"/>
      <c r="F42" s="307"/>
      <c r="G42" s="307"/>
      <c r="H42" s="307"/>
      <c r="I42" s="307"/>
      <c r="J42" s="308"/>
      <c r="K42" s="308"/>
      <c r="L42" s="307"/>
      <c r="M42" s="307"/>
      <c r="N42" s="307"/>
      <c r="O42" s="308"/>
      <c r="P42" s="308"/>
      <c r="Q42" s="307"/>
      <c r="R42" s="308"/>
      <c r="S42" s="308"/>
      <c r="T42" s="308"/>
      <c r="U42" s="308"/>
      <c r="V42" s="309"/>
    </row>
    <row r="43" spans="1:22">
      <c r="A43" s="304"/>
      <c r="B43" s="305"/>
      <c r="C43" s="306"/>
      <c r="D43" s="307"/>
      <c r="E43" s="307"/>
      <c r="F43" s="307"/>
      <c r="G43" s="307"/>
      <c r="H43" s="307"/>
      <c r="I43" s="307"/>
      <c r="J43" s="308"/>
      <c r="K43" s="308"/>
      <c r="L43" s="307"/>
      <c r="M43" s="307"/>
      <c r="N43" s="307"/>
      <c r="O43" s="308"/>
      <c r="P43" s="308"/>
      <c r="Q43" s="307"/>
      <c r="R43" s="308"/>
      <c r="S43" s="308"/>
      <c r="T43" s="308"/>
      <c r="U43" s="308"/>
      <c r="V43" s="309"/>
    </row>
    <row r="44" spans="1:22">
      <c r="A44" s="304"/>
      <c r="B44" s="310"/>
      <c r="C44" s="311"/>
      <c r="D44" s="312"/>
      <c r="E44" s="312"/>
      <c r="F44" s="312"/>
      <c r="G44" s="312"/>
      <c r="H44" s="312"/>
      <c r="I44" s="312"/>
      <c r="J44" s="314"/>
      <c r="K44" s="314"/>
      <c r="L44" s="312"/>
      <c r="M44" s="312"/>
      <c r="N44" s="312"/>
      <c r="O44" s="314"/>
      <c r="P44" s="314"/>
      <c r="Q44" s="312"/>
      <c r="R44" s="314"/>
      <c r="S44" s="314"/>
      <c r="T44" s="314"/>
      <c r="U44" s="314"/>
      <c r="V44" s="309"/>
    </row>
    <row r="45" spans="1:22">
      <c r="A45" s="304"/>
      <c r="B45" s="50"/>
      <c r="C45" s="301"/>
      <c r="D45" s="302"/>
      <c r="E45" s="302"/>
      <c r="F45" s="302"/>
      <c r="G45" s="302"/>
      <c r="H45" s="302"/>
      <c r="I45" s="302"/>
      <c r="J45" s="303"/>
      <c r="K45" s="303"/>
      <c r="L45" s="302"/>
      <c r="M45" s="302"/>
      <c r="N45" s="302"/>
      <c r="O45" s="303"/>
      <c r="P45" s="303"/>
      <c r="Q45" s="302"/>
      <c r="R45" s="303"/>
      <c r="S45" s="303"/>
      <c r="T45" s="303"/>
      <c r="U45" s="303"/>
      <c r="V45" s="309"/>
    </row>
    <row r="46" spans="1:22">
      <c r="A46" s="304"/>
      <c r="B46" s="305"/>
      <c r="C46" s="306"/>
      <c r="D46" s="307"/>
      <c r="E46" s="307"/>
      <c r="F46" s="307"/>
      <c r="G46" s="307"/>
      <c r="H46" s="307"/>
      <c r="I46" s="307"/>
      <c r="J46" s="308"/>
      <c r="K46" s="308"/>
      <c r="L46" s="307"/>
      <c r="M46" s="307"/>
      <c r="N46" s="307"/>
      <c r="O46" s="308"/>
      <c r="P46" s="308"/>
      <c r="Q46" s="307"/>
      <c r="R46" s="308"/>
      <c r="S46" s="308"/>
      <c r="T46" s="308"/>
      <c r="U46" s="308"/>
      <c r="V46" s="309"/>
    </row>
    <row r="47" spans="1:22">
      <c r="A47" s="304"/>
      <c r="B47" s="310"/>
      <c r="C47" s="311"/>
      <c r="D47" s="312"/>
      <c r="E47" s="312"/>
      <c r="F47" s="312"/>
      <c r="G47" s="312"/>
      <c r="H47" s="312"/>
      <c r="I47" s="312"/>
      <c r="J47" s="314"/>
      <c r="K47" s="314"/>
      <c r="L47" s="312"/>
      <c r="M47" s="312"/>
      <c r="N47" s="312"/>
      <c r="O47" s="314"/>
      <c r="P47" s="314"/>
      <c r="Q47" s="312"/>
      <c r="R47" s="314"/>
      <c r="S47" s="314"/>
      <c r="T47" s="314"/>
      <c r="U47" s="314"/>
      <c r="V47" s="309"/>
    </row>
    <row r="48" spans="1:22">
      <c r="A48" s="304"/>
      <c r="B48" s="50"/>
      <c r="C48" s="301"/>
      <c r="D48" s="302"/>
      <c r="E48" s="302"/>
      <c r="F48" s="302"/>
      <c r="G48" s="302"/>
      <c r="H48" s="302"/>
      <c r="I48" s="302"/>
      <c r="J48" s="303"/>
      <c r="K48" s="303"/>
      <c r="L48" s="302"/>
      <c r="M48" s="302"/>
      <c r="N48" s="302"/>
      <c r="O48" s="303"/>
      <c r="P48" s="303"/>
      <c r="Q48" s="302"/>
      <c r="R48" s="303"/>
      <c r="S48" s="303"/>
      <c r="T48" s="303"/>
      <c r="U48" s="303"/>
      <c r="V48" s="309"/>
    </row>
    <row r="49" spans="1:22">
      <c r="A49" s="304"/>
      <c r="B49" s="305"/>
      <c r="C49" s="306"/>
      <c r="D49" s="307"/>
      <c r="E49" s="307"/>
      <c r="F49" s="307"/>
      <c r="G49" s="307"/>
      <c r="H49" s="307"/>
      <c r="I49" s="307"/>
      <c r="J49" s="308"/>
      <c r="K49" s="308"/>
      <c r="L49" s="307"/>
      <c r="M49" s="307"/>
      <c r="N49" s="307"/>
      <c r="O49" s="308"/>
      <c r="P49" s="308"/>
      <c r="Q49" s="307"/>
      <c r="R49" s="308"/>
      <c r="S49" s="308"/>
      <c r="T49" s="308"/>
      <c r="U49" s="308"/>
      <c r="V49" s="309"/>
    </row>
    <row r="50" spans="1:22">
      <c r="A50" s="304"/>
      <c r="B50" s="310"/>
      <c r="C50" s="311"/>
      <c r="D50" s="312"/>
      <c r="E50" s="312"/>
      <c r="F50" s="312"/>
      <c r="G50" s="312"/>
      <c r="H50" s="312"/>
      <c r="I50" s="312"/>
      <c r="J50" s="314"/>
      <c r="K50" s="314"/>
      <c r="L50" s="312"/>
      <c r="M50" s="312"/>
      <c r="N50" s="312"/>
      <c r="O50" s="314"/>
      <c r="P50" s="314"/>
      <c r="Q50" s="312"/>
      <c r="R50" s="314"/>
      <c r="S50" s="314"/>
      <c r="T50" s="314"/>
      <c r="U50" s="314"/>
      <c r="V50" s="309"/>
    </row>
    <row r="51" spans="1:22">
      <c r="A51" s="304"/>
      <c r="B51" s="50"/>
      <c r="C51" s="301"/>
      <c r="D51" s="302"/>
      <c r="E51" s="302"/>
      <c r="F51" s="302"/>
      <c r="G51" s="302"/>
      <c r="H51" s="302"/>
      <c r="I51" s="302"/>
      <c r="J51" s="303"/>
      <c r="K51" s="303"/>
      <c r="L51" s="302"/>
      <c r="M51" s="302"/>
      <c r="N51" s="302"/>
      <c r="O51" s="303"/>
      <c r="P51" s="303"/>
      <c r="Q51" s="302"/>
      <c r="R51" s="303"/>
      <c r="S51" s="303"/>
      <c r="T51" s="303"/>
      <c r="U51" s="303"/>
      <c r="V51" s="309"/>
    </row>
    <row r="52" spans="1:22">
      <c r="A52" s="304"/>
      <c r="B52" s="305"/>
      <c r="C52" s="306"/>
      <c r="D52" s="307"/>
      <c r="E52" s="307"/>
      <c r="F52" s="307"/>
      <c r="G52" s="307"/>
      <c r="H52" s="307"/>
      <c r="I52" s="307"/>
      <c r="J52" s="308"/>
      <c r="K52" s="308"/>
      <c r="L52" s="307"/>
      <c r="M52" s="307"/>
      <c r="N52" s="307"/>
      <c r="O52" s="308"/>
      <c r="P52" s="308"/>
      <c r="Q52" s="307"/>
      <c r="R52" s="308"/>
      <c r="S52" s="308"/>
      <c r="T52" s="308"/>
      <c r="U52" s="308"/>
      <c r="V52" s="309"/>
    </row>
    <row r="53" spans="1:22">
      <c r="A53" s="304"/>
      <c r="B53" s="310"/>
      <c r="C53" s="311"/>
      <c r="D53" s="312"/>
      <c r="E53" s="312"/>
      <c r="F53" s="312"/>
      <c r="G53" s="312"/>
      <c r="H53" s="312"/>
      <c r="I53" s="312"/>
      <c r="J53" s="314"/>
      <c r="K53" s="314"/>
      <c r="L53" s="312"/>
      <c r="M53" s="312"/>
      <c r="N53" s="312"/>
      <c r="O53" s="314"/>
      <c r="P53" s="314"/>
      <c r="Q53" s="312"/>
      <c r="R53" s="314"/>
      <c r="S53" s="314"/>
      <c r="T53" s="314"/>
      <c r="U53" s="314"/>
      <c r="V53" s="309"/>
    </row>
    <row r="54" spans="1:22">
      <c r="A54" s="304"/>
      <c r="B54" s="50"/>
      <c r="C54" s="301"/>
      <c r="D54" s="302"/>
      <c r="E54" s="302"/>
      <c r="F54" s="302"/>
      <c r="G54" s="302"/>
      <c r="H54" s="302"/>
      <c r="I54" s="302"/>
      <c r="J54" s="303"/>
      <c r="K54" s="303"/>
      <c r="L54" s="302"/>
      <c r="M54" s="302"/>
      <c r="N54" s="302"/>
      <c r="O54" s="303"/>
      <c r="P54" s="303"/>
      <c r="Q54" s="302"/>
      <c r="R54" s="303"/>
      <c r="S54" s="303"/>
      <c r="T54" s="303"/>
      <c r="U54" s="303"/>
      <c r="V54" s="309"/>
    </row>
    <row r="55" spans="1:22">
      <c r="A55" s="304"/>
      <c r="B55" s="305"/>
      <c r="C55" s="306"/>
      <c r="D55" s="307"/>
      <c r="E55" s="307"/>
      <c r="F55" s="307"/>
      <c r="G55" s="307"/>
      <c r="H55" s="307"/>
      <c r="I55" s="307"/>
      <c r="J55" s="308"/>
      <c r="K55" s="308"/>
      <c r="L55" s="307"/>
      <c r="M55" s="307"/>
      <c r="N55" s="307"/>
      <c r="O55" s="308"/>
      <c r="P55" s="308"/>
      <c r="Q55" s="307"/>
      <c r="R55" s="308"/>
      <c r="S55" s="308"/>
      <c r="T55" s="308"/>
      <c r="U55" s="308"/>
      <c r="V55" s="309"/>
    </row>
    <row r="56" spans="1:22">
      <c r="A56" s="304"/>
      <c r="B56" s="310"/>
      <c r="C56" s="311"/>
      <c r="D56" s="312"/>
      <c r="E56" s="312"/>
      <c r="F56" s="312"/>
      <c r="G56" s="312"/>
      <c r="H56" s="312"/>
      <c r="I56" s="312"/>
      <c r="J56" s="314"/>
      <c r="K56" s="314"/>
      <c r="L56" s="312"/>
      <c r="M56" s="312"/>
      <c r="N56" s="312"/>
      <c r="O56" s="314"/>
      <c r="P56" s="314"/>
      <c r="Q56" s="312"/>
      <c r="R56" s="314"/>
      <c r="S56" s="314"/>
      <c r="T56" s="314"/>
      <c r="U56" s="314"/>
      <c r="V56" s="309"/>
    </row>
    <row r="57" spans="1:22">
      <c r="A57" s="304"/>
      <c r="B57" s="50"/>
      <c r="C57" s="301"/>
      <c r="D57" s="302"/>
      <c r="E57" s="302"/>
      <c r="F57" s="302"/>
      <c r="G57" s="302"/>
      <c r="H57" s="302"/>
      <c r="I57" s="302"/>
      <c r="J57" s="303"/>
      <c r="K57" s="303"/>
      <c r="L57" s="302"/>
      <c r="M57" s="302"/>
      <c r="N57" s="302"/>
      <c r="O57" s="303"/>
      <c r="P57" s="303"/>
      <c r="Q57" s="302"/>
      <c r="R57" s="303"/>
      <c r="S57" s="303"/>
      <c r="T57" s="303"/>
      <c r="U57" s="303"/>
      <c r="V57" s="309"/>
    </row>
    <row r="58" spans="1:22">
      <c r="A58" s="304"/>
      <c r="B58" s="305"/>
      <c r="C58" s="306"/>
      <c r="D58" s="307"/>
      <c r="E58" s="307"/>
      <c r="F58" s="307"/>
      <c r="G58" s="307"/>
      <c r="H58" s="307"/>
      <c r="I58" s="307"/>
      <c r="J58" s="308"/>
      <c r="K58" s="308"/>
      <c r="L58" s="307"/>
      <c r="M58" s="307"/>
      <c r="N58" s="307"/>
      <c r="O58" s="308"/>
      <c r="P58" s="308"/>
      <c r="Q58" s="307"/>
      <c r="R58" s="308"/>
      <c r="S58" s="308"/>
      <c r="T58" s="308"/>
      <c r="U58" s="308"/>
      <c r="V58" s="309"/>
    </row>
    <row r="59" spans="1:22" ht="15.75" thickBot="1">
      <c r="A59" s="304"/>
      <c r="B59" s="316"/>
      <c r="C59" s="317"/>
      <c r="D59" s="318"/>
      <c r="E59" s="318"/>
      <c r="F59" s="318"/>
      <c r="G59" s="318"/>
      <c r="H59" s="318"/>
      <c r="I59" s="318"/>
      <c r="J59" s="319"/>
      <c r="K59" s="319"/>
      <c r="L59" s="318"/>
      <c r="M59" s="318"/>
      <c r="N59" s="318"/>
      <c r="O59" s="319"/>
      <c r="P59" s="319"/>
      <c r="Q59" s="318"/>
      <c r="R59" s="319"/>
      <c r="S59" s="319"/>
      <c r="T59" s="319"/>
      <c r="U59" s="319"/>
      <c r="V59" s="309"/>
    </row>
    <row r="60" spans="1:22" ht="15.75" thickTop="1">
      <c r="A60" s="304"/>
      <c r="B60" s="305"/>
      <c r="C60" s="306"/>
      <c r="D60" s="307"/>
      <c r="E60" s="307"/>
      <c r="F60" s="307"/>
      <c r="G60" s="307"/>
      <c r="H60" s="307"/>
      <c r="I60" s="307"/>
      <c r="J60" s="308"/>
      <c r="K60" s="308"/>
      <c r="L60" s="307"/>
      <c r="M60" s="307"/>
      <c r="N60" s="307"/>
      <c r="O60" s="308"/>
      <c r="P60" s="308"/>
      <c r="Q60" s="307"/>
      <c r="R60" s="308"/>
      <c r="S60" s="308"/>
      <c r="T60" s="308"/>
      <c r="U60" s="308"/>
      <c r="V60" s="309"/>
    </row>
    <row r="61" spans="1:22">
      <c r="A61" s="304"/>
      <c r="B61" s="305"/>
      <c r="C61" s="306"/>
      <c r="D61" s="307"/>
      <c r="E61" s="307"/>
      <c r="F61" s="307"/>
      <c r="G61" s="307"/>
      <c r="H61" s="307"/>
      <c r="I61" s="307"/>
      <c r="J61" s="308"/>
      <c r="K61" s="308"/>
      <c r="L61" s="307"/>
      <c r="M61" s="307"/>
      <c r="N61" s="307"/>
      <c r="O61" s="308"/>
      <c r="P61" s="308"/>
      <c r="Q61" s="307"/>
      <c r="R61" s="308"/>
      <c r="S61" s="308"/>
      <c r="T61" s="308"/>
      <c r="U61" s="308"/>
      <c r="V61" s="309"/>
    </row>
    <row r="62" spans="1:22">
      <c r="A62" s="304"/>
      <c r="B62" s="310"/>
      <c r="C62" s="311"/>
      <c r="D62" s="312"/>
      <c r="E62" s="312"/>
      <c r="F62" s="312"/>
      <c r="G62" s="312"/>
      <c r="H62" s="312"/>
      <c r="I62" s="312"/>
      <c r="J62" s="314"/>
      <c r="K62" s="314"/>
      <c r="L62" s="312"/>
      <c r="M62" s="312"/>
      <c r="N62" s="312"/>
      <c r="O62" s="314"/>
      <c r="P62" s="314"/>
      <c r="Q62" s="312"/>
      <c r="R62" s="314"/>
      <c r="S62" s="314"/>
      <c r="T62" s="314"/>
      <c r="U62" s="314"/>
      <c r="V62" s="309"/>
    </row>
    <row r="63" spans="1:22">
      <c r="A63" s="304"/>
      <c r="B63" s="50"/>
      <c r="C63" s="301"/>
      <c r="D63" s="302"/>
      <c r="E63" s="302"/>
      <c r="F63" s="302"/>
      <c r="G63" s="302"/>
      <c r="H63" s="302"/>
      <c r="I63" s="302"/>
      <c r="J63" s="303"/>
      <c r="K63" s="303"/>
      <c r="L63" s="302"/>
      <c r="M63" s="302"/>
      <c r="N63" s="302"/>
      <c r="O63" s="303"/>
      <c r="P63" s="303"/>
      <c r="Q63" s="302"/>
      <c r="R63" s="303"/>
      <c r="S63" s="303"/>
      <c r="T63" s="303"/>
      <c r="U63" s="303"/>
      <c r="V63" s="309"/>
    </row>
    <row r="64" spans="1:22">
      <c r="A64" s="304"/>
      <c r="B64" s="305"/>
      <c r="C64" s="306"/>
      <c r="D64" s="307"/>
      <c r="E64" s="307"/>
      <c r="F64" s="307"/>
      <c r="G64" s="307"/>
      <c r="H64" s="307"/>
      <c r="I64" s="307"/>
      <c r="J64" s="308"/>
      <c r="K64" s="308"/>
      <c r="L64" s="307"/>
      <c r="M64" s="307"/>
      <c r="N64" s="307"/>
      <c r="O64" s="308"/>
      <c r="P64" s="308"/>
      <c r="Q64" s="307"/>
      <c r="R64" s="308"/>
      <c r="S64" s="308"/>
      <c r="T64" s="308"/>
      <c r="U64" s="308"/>
      <c r="V64" s="309"/>
    </row>
    <row r="65" spans="1:23">
      <c r="A65" s="304"/>
      <c r="B65" s="310"/>
      <c r="C65" s="311"/>
      <c r="D65" s="312"/>
      <c r="E65" s="312"/>
      <c r="F65" s="312"/>
      <c r="G65" s="312"/>
      <c r="H65" s="312"/>
      <c r="I65" s="312"/>
      <c r="J65" s="314"/>
      <c r="K65" s="314"/>
      <c r="L65" s="312"/>
      <c r="M65" s="312"/>
      <c r="N65" s="312"/>
      <c r="O65" s="314"/>
      <c r="P65" s="314"/>
      <c r="Q65" s="312"/>
      <c r="R65" s="314"/>
      <c r="S65" s="314"/>
      <c r="T65" s="314"/>
      <c r="U65" s="314"/>
      <c r="V65" s="309"/>
    </row>
    <row r="66" spans="1:23">
      <c r="A66" s="304"/>
      <c r="B66" s="50"/>
      <c r="C66" s="301"/>
      <c r="D66" s="302"/>
      <c r="E66" s="302"/>
      <c r="F66" s="302"/>
      <c r="G66" s="302"/>
      <c r="H66" s="302"/>
      <c r="I66" s="302"/>
      <c r="J66" s="303"/>
      <c r="K66" s="303"/>
      <c r="L66" s="302"/>
      <c r="M66" s="302"/>
      <c r="N66" s="302"/>
      <c r="O66" s="303"/>
      <c r="P66" s="303"/>
      <c r="Q66" s="302"/>
      <c r="R66" s="303"/>
      <c r="S66" s="303"/>
      <c r="T66" s="303"/>
      <c r="U66" s="303"/>
      <c r="V66" s="309"/>
    </row>
    <row r="67" spans="1:23">
      <c r="A67" s="304"/>
      <c r="B67" s="305"/>
      <c r="C67" s="306"/>
      <c r="D67" s="307"/>
      <c r="E67" s="307"/>
      <c r="F67" s="307"/>
      <c r="G67" s="307"/>
      <c r="H67" s="307"/>
      <c r="I67" s="307"/>
      <c r="J67" s="308"/>
      <c r="K67" s="308"/>
      <c r="L67" s="307"/>
      <c r="M67" s="307"/>
      <c r="N67" s="307"/>
      <c r="O67" s="308"/>
      <c r="P67" s="308"/>
      <c r="Q67" s="307"/>
      <c r="R67" s="308"/>
      <c r="S67" s="308"/>
      <c r="T67" s="308"/>
      <c r="U67" s="308"/>
      <c r="V67" s="309"/>
    </row>
    <row r="68" spans="1:23">
      <c r="A68" s="304"/>
      <c r="B68" s="310"/>
      <c r="C68" s="311"/>
      <c r="D68" s="312"/>
      <c r="E68" s="312"/>
      <c r="F68" s="312"/>
      <c r="G68" s="312"/>
      <c r="H68" s="312"/>
      <c r="I68" s="312"/>
      <c r="J68" s="314"/>
      <c r="K68" s="314"/>
      <c r="L68" s="312"/>
      <c r="M68" s="312"/>
      <c r="N68" s="312"/>
      <c r="O68" s="314"/>
      <c r="P68" s="314"/>
      <c r="Q68" s="312"/>
      <c r="R68" s="314"/>
      <c r="S68" s="314"/>
      <c r="T68" s="314"/>
      <c r="U68" s="314"/>
      <c r="V68" s="309"/>
    </row>
    <row r="69" spans="1:23">
      <c r="A69" s="304"/>
      <c r="B69" s="50"/>
      <c r="C69" s="301"/>
      <c r="D69" s="302"/>
      <c r="E69" s="302"/>
      <c r="F69" s="302"/>
      <c r="G69" s="302"/>
      <c r="H69" s="302"/>
      <c r="I69" s="302"/>
      <c r="J69" s="303"/>
      <c r="K69" s="303"/>
      <c r="L69" s="302"/>
      <c r="M69" s="302"/>
      <c r="N69" s="302"/>
      <c r="O69" s="303"/>
      <c r="P69" s="303"/>
      <c r="Q69" s="302"/>
      <c r="R69" s="303"/>
      <c r="S69" s="303"/>
      <c r="T69" s="303"/>
      <c r="U69" s="303"/>
      <c r="V69" s="309"/>
    </row>
    <row r="70" spans="1:23">
      <c r="A70" s="304"/>
      <c r="B70" s="305"/>
      <c r="C70" s="306"/>
      <c r="D70" s="307"/>
      <c r="E70" s="307"/>
      <c r="F70" s="307"/>
      <c r="G70" s="307"/>
      <c r="H70" s="307"/>
      <c r="I70" s="307"/>
      <c r="J70" s="308"/>
      <c r="K70" s="308"/>
      <c r="L70" s="307"/>
      <c r="M70" s="307"/>
      <c r="N70" s="307"/>
      <c r="O70" s="308"/>
      <c r="P70" s="308"/>
      <c r="Q70" s="307"/>
      <c r="R70" s="308"/>
      <c r="S70" s="308"/>
      <c r="T70" s="308"/>
      <c r="U70" s="308"/>
      <c r="V70" s="309"/>
    </row>
    <row r="71" spans="1:23">
      <c r="A71" s="304"/>
      <c r="B71" s="310"/>
      <c r="C71" s="311"/>
      <c r="D71" s="312"/>
      <c r="E71" s="312"/>
      <c r="F71" s="312"/>
      <c r="G71" s="312"/>
      <c r="H71" s="312"/>
      <c r="I71" s="312"/>
      <c r="J71" s="314"/>
      <c r="K71" s="314"/>
      <c r="L71" s="312"/>
      <c r="M71" s="312"/>
      <c r="N71" s="312"/>
      <c r="O71" s="314"/>
      <c r="P71" s="314"/>
      <c r="Q71" s="312"/>
      <c r="R71" s="314"/>
      <c r="S71" s="314"/>
      <c r="T71" s="314"/>
      <c r="U71" s="314"/>
      <c r="V71" s="309"/>
    </row>
    <row r="72" spans="1:23">
      <c r="A72" s="304"/>
      <c r="B72" s="50"/>
      <c r="C72" s="301"/>
      <c r="D72" s="302"/>
      <c r="E72" s="302"/>
      <c r="F72" s="302"/>
      <c r="G72" s="302"/>
      <c r="H72" s="302"/>
      <c r="I72" s="302"/>
      <c r="J72" s="303"/>
      <c r="K72" s="303"/>
      <c r="L72" s="302"/>
      <c r="M72" s="302"/>
      <c r="N72" s="302"/>
      <c r="O72" s="303"/>
      <c r="P72" s="303"/>
      <c r="Q72" s="302"/>
      <c r="R72" s="303"/>
      <c r="S72" s="303"/>
      <c r="T72" s="303"/>
      <c r="U72" s="303"/>
      <c r="V72" s="309"/>
    </row>
    <row r="73" spans="1:23">
      <c r="A73" s="304"/>
      <c r="B73" s="305"/>
      <c r="C73" s="306"/>
      <c r="D73" s="307"/>
      <c r="E73" s="307"/>
      <c r="F73" s="307"/>
      <c r="G73" s="307"/>
      <c r="H73" s="307"/>
      <c r="I73" s="307"/>
      <c r="J73" s="308"/>
      <c r="K73" s="308"/>
      <c r="L73" s="307"/>
      <c r="M73" s="307"/>
      <c r="N73" s="307"/>
      <c r="O73" s="308"/>
      <c r="P73" s="308"/>
      <c r="Q73" s="307"/>
      <c r="R73" s="308"/>
      <c r="S73" s="308"/>
      <c r="T73" s="308"/>
      <c r="U73" s="308"/>
      <c r="V73" s="309"/>
    </row>
    <row r="74" spans="1:23">
      <c r="A74" s="304"/>
      <c r="B74" s="310"/>
      <c r="C74" s="311"/>
      <c r="D74" s="312"/>
      <c r="E74" s="312"/>
      <c r="F74" s="312"/>
      <c r="G74" s="312"/>
      <c r="H74" s="312"/>
      <c r="I74" s="312"/>
      <c r="J74" s="314"/>
      <c r="K74" s="314"/>
      <c r="L74" s="312"/>
      <c r="M74" s="312"/>
      <c r="N74" s="312"/>
      <c r="O74" s="314"/>
      <c r="P74" s="314"/>
      <c r="Q74" s="312"/>
      <c r="R74" s="314"/>
      <c r="S74" s="314"/>
      <c r="T74" s="314"/>
      <c r="U74" s="314"/>
      <c r="V74" s="309"/>
    </row>
    <row r="75" spans="1:23">
      <c r="A75" s="304"/>
      <c r="B75" s="50"/>
      <c r="C75" s="301"/>
      <c r="D75" s="302"/>
      <c r="E75" s="302"/>
      <c r="F75" s="302"/>
      <c r="G75" s="302"/>
      <c r="H75" s="302"/>
      <c r="I75" s="302"/>
      <c r="J75" s="303"/>
      <c r="K75" s="303"/>
      <c r="L75" s="302"/>
      <c r="M75" s="302"/>
      <c r="N75" s="302"/>
      <c r="O75" s="303"/>
      <c r="P75" s="303"/>
      <c r="Q75" s="302"/>
      <c r="R75" s="303"/>
      <c r="S75" s="303"/>
      <c r="T75" s="303"/>
      <c r="U75" s="303"/>
      <c r="V75" s="309"/>
    </row>
    <row r="76" spans="1:23">
      <c r="A76" s="304"/>
      <c r="B76" s="305"/>
      <c r="C76" s="306"/>
      <c r="D76" s="307"/>
      <c r="E76" s="307"/>
      <c r="F76" s="307"/>
      <c r="G76" s="307"/>
      <c r="H76" s="307"/>
      <c r="I76" s="307"/>
      <c r="J76" s="308"/>
      <c r="K76" s="308"/>
      <c r="L76" s="307"/>
      <c r="M76" s="307"/>
      <c r="N76" s="307"/>
      <c r="O76" s="308"/>
      <c r="P76" s="308"/>
      <c r="Q76" s="307"/>
      <c r="R76" s="308"/>
      <c r="S76" s="308"/>
      <c r="T76" s="308"/>
      <c r="U76" s="308"/>
      <c r="V76" s="309"/>
      <c r="W76" s="326"/>
    </row>
    <row r="77" spans="1:23" ht="15.75" thickBot="1">
      <c r="A77" s="320"/>
      <c r="B77" s="321"/>
      <c r="C77" s="322"/>
      <c r="D77" s="323"/>
      <c r="E77" s="323"/>
      <c r="F77" s="323"/>
      <c r="G77" s="323"/>
      <c r="H77" s="323"/>
      <c r="I77" s="323"/>
      <c r="J77" s="324"/>
      <c r="K77" s="324"/>
      <c r="L77" s="323"/>
      <c r="M77" s="323"/>
      <c r="N77" s="323"/>
      <c r="O77" s="324"/>
      <c r="P77" s="324"/>
      <c r="Q77" s="323"/>
      <c r="R77" s="324"/>
      <c r="S77" s="324"/>
      <c r="T77" s="324"/>
      <c r="U77" s="324"/>
      <c r="V77" s="309"/>
    </row>
    <row r="78" spans="1:23">
      <c r="A78" s="300"/>
      <c r="B78" s="50"/>
      <c r="C78" s="301"/>
      <c r="D78" s="302"/>
      <c r="E78" s="302"/>
      <c r="F78" s="302"/>
      <c r="G78" s="302"/>
      <c r="H78" s="302"/>
      <c r="I78" s="302"/>
      <c r="J78" s="303"/>
      <c r="K78" s="303"/>
      <c r="L78" s="302"/>
      <c r="M78" s="302"/>
      <c r="N78" s="302"/>
      <c r="O78" s="303"/>
      <c r="P78" s="303"/>
      <c r="Q78" s="302"/>
      <c r="R78" s="303"/>
      <c r="S78" s="303"/>
      <c r="T78" s="303"/>
      <c r="U78" s="303"/>
      <c r="V78" s="309"/>
    </row>
    <row r="79" spans="1:23">
      <c r="A79" s="304"/>
      <c r="B79" s="305"/>
      <c r="C79" s="306"/>
      <c r="D79" s="307"/>
      <c r="E79" s="307"/>
      <c r="F79" s="307"/>
      <c r="G79" s="307"/>
      <c r="H79" s="307"/>
      <c r="I79" s="307"/>
      <c r="J79" s="308"/>
      <c r="K79" s="308"/>
      <c r="L79" s="307"/>
      <c r="M79" s="307"/>
      <c r="N79" s="307"/>
      <c r="O79" s="308"/>
      <c r="P79" s="308"/>
      <c r="Q79" s="307"/>
      <c r="R79" s="308"/>
      <c r="S79" s="308"/>
      <c r="T79" s="308"/>
      <c r="U79" s="308"/>
      <c r="V79" s="309"/>
    </row>
    <row r="80" spans="1:23">
      <c r="A80" s="304"/>
      <c r="B80" s="310"/>
      <c r="C80" s="311"/>
      <c r="D80" s="312"/>
      <c r="E80" s="312"/>
      <c r="F80" s="312"/>
      <c r="G80" s="312"/>
      <c r="H80" s="312"/>
      <c r="I80" s="312"/>
      <c r="J80" s="314"/>
      <c r="K80" s="314"/>
      <c r="L80" s="312"/>
      <c r="M80" s="312"/>
      <c r="N80" s="312"/>
      <c r="O80" s="314"/>
      <c r="P80" s="314"/>
      <c r="Q80" s="312"/>
      <c r="R80" s="314"/>
      <c r="S80" s="314"/>
      <c r="T80" s="314"/>
      <c r="U80" s="314"/>
      <c r="V80" s="309"/>
    </row>
    <row r="81" spans="1:22">
      <c r="A81" s="304"/>
      <c r="B81" s="50"/>
      <c r="C81" s="301"/>
      <c r="D81" s="302"/>
      <c r="E81" s="302"/>
      <c r="F81" s="302"/>
      <c r="G81" s="302"/>
      <c r="H81" s="302"/>
      <c r="I81" s="302"/>
      <c r="J81" s="303"/>
      <c r="K81" s="303"/>
      <c r="L81" s="302"/>
      <c r="M81" s="302"/>
      <c r="N81" s="302"/>
      <c r="O81" s="303"/>
      <c r="P81" s="303"/>
      <c r="Q81" s="302"/>
      <c r="R81" s="303"/>
      <c r="S81" s="303"/>
      <c r="T81" s="303"/>
      <c r="U81" s="303"/>
      <c r="V81" s="309"/>
    </row>
    <row r="82" spans="1:22">
      <c r="A82" s="304"/>
      <c r="B82" s="305"/>
      <c r="C82" s="306"/>
      <c r="D82" s="307"/>
      <c r="E82" s="307"/>
      <c r="F82" s="307"/>
      <c r="G82" s="307"/>
      <c r="H82" s="307"/>
      <c r="I82" s="307"/>
      <c r="J82" s="308"/>
      <c r="K82" s="308"/>
      <c r="L82" s="307"/>
      <c r="M82" s="307"/>
      <c r="N82" s="307"/>
      <c r="O82" s="308"/>
      <c r="P82" s="308"/>
      <c r="Q82" s="307"/>
      <c r="R82" s="308"/>
      <c r="S82" s="308"/>
      <c r="T82" s="308"/>
      <c r="U82" s="308"/>
      <c r="V82" s="309"/>
    </row>
    <row r="83" spans="1:22">
      <c r="A83" s="304"/>
      <c r="B83" s="310"/>
      <c r="C83" s="311"/>
      <c r="D83" s="312"/>
      <c r="E83" s="312"/>
      <c r="F83" s="312"/>
      <c r="G83" s="312"/>
      <c r="H83" s="312"/>
      <c r="I83" s="312"/>
      <c r="J83" s="314"/>
      <c r="K83" s="314"/>
      <c r="L83" s="312"/>
      <c r="M83" s="312"/>
      <c r="N83" s="312"/>
      <c r="O83" s="314"/>
      <c r="P83" s="314"/>
      <c r="Q83" s="312"/>
      <c r="R83" s="314"/>
      <c r="S83" s="314"/>
      <c r="T83" s="314"/>
      <c r="U83" s="314"/>
      <c r="V83" s="309"/>
    </row>
    <row r="84" spans="1:22">
      <c r="A84" s="304"/>
      <c r="B84" s="50"/>
      <c r="C84" s="301"/>
      <c r="D84" s="302"/>
      <c r="E84" s="302"/>
      <c r="F84" s="302"/>
      <c r="G84" s="302"/>
      <c r="H84" s="302"/>
      <c r="I84" s="302"/>
      <c r="J84" s="303"/>
      <c r="K84" s="303"/>
      <c r="L84" s="302"/>
      <c r="M84" s="302"/>
      <c r="N84" s="302"/>
      <c r="O84" s="303"/>
      <c r="P84" s="303"/>
      <c r="Q84" s="302"/>
      <c r="R84" s="303"/>
      <c r="S84" s="303"/>
      <c r="T84" s="303"/>
      <c r="U84" s="303"/>
      <c r="V84" s="309"/>
    </row>
    <row r="85" spans="1:22">
      <c r="A85" s="304"/>
      <c r="B85" s="305"/>
      <c r="C85" s="306"/>
      <c r="D85" s="307"/>
      <c r="E85" s="307"/>
      <c r="F85" s="307"/>
      <c r="G85" s="307"/>
      <c r="H85" s="307"/>
      <c r="I85" s="307"/>
      <c r="J85" s="308"/>
      <c r="K85" s="308"/>
      <c r="L85" s="307"/>
      <c r="M85" s="307"/>
      <c r="N85" s="307"/>
      <c r="O85" s="308"/>
      <c r="P85" s="308"/>
      <c r="Q85" s="307"/>
      <c r="R85" s="308"/>
      <c r="S85" s="308"/>
      <c r="T85" s="308"/>
      <c r="U85" s="308"/>
      <c r="V85" s="309"/>
    </row>
    <row r="86" spans="1:22">
      <c r="A86" s="304"/>
      <c r="B86" s="310"/>
      <c r="C86" s="311"/>
      <c r="D86" s="312"/>
      <c r="E86" s="312"/>
      <c r="F86" s="312"/>
      <c r="G86" s="312"/>
      <c r="H86" s="312"/>
      <c r="I86" s="312"/>
      <c r="J86" s="314"/>
      <c r="K86" s="314"/>
      <c r="L86" s="312"/>
      <c r="M86" s="312"/>
      <c r="N86" s="312"/>
      <c r="O86" s="314"/>
      <c r="P86" s="314"/>
      <c r="Q86" s="312"/>
      <c r="R86" s="314"/>
      <c r="S86" s="314"/>
      <c r="T86" s="314"/>
      <c r="U86" s="314"/>
      <c r="V86" s="309"/>
    </row>
    <row r="87" spans="1:22">
      <c r="A87" s="304"/>
      <c r="B87" s="50"/>
      <c r="C87" s="301"/>
      <c r="D87" s="302"/>
      <c r="E87" s="302"/>
      <c r="F87" s="302"/>
      <c r="G87" s="302"/>
      <c r="H87" s="302"/>
      <c r="I87" s="302"/>
      <c r="J87" s="303"/>
      <c r="K87" s="303"/>
      <c r="L87" s="302"/>
      <c r="M87" s="302"/>
      <c r="N87" s="302"/>
      <c r="O87" s="303"/>
      <c r="P87" s="303"/>
      <c r="Q87" s="302"/>
      <c r="R87" s="303"/>
      <c r="S87" s="303"/>
      <c r="T87" s="303"/>
      <c r="U87" s="303"/>
      <c r="V87" s="309"/>
    </row>
    <row r="88" spans="1:22">
      <c r="A88" s="304"/>
      <c r="B88" s="305"/>
      <c r="C88" s="306"/>
      <c r="D88" s="307"/>
      <c r="E88" s="307"/>
      <c r="F88" s="307"/>
      <c r="G88" s="307"/>
      <c r="H88" s="307"/>
      <c r="I88" s="307"/>
      <c r="J88" s="308"/>
      <c r="K88" s="308"/>
      <c r="L88" s="307"/>
      <c r="M88" s="307"/>
      <c r="N88" s="307"/>
      <c r="O88" s="308"/>
      <c r="P88" s="308"/>
      <c r="Q88" s="307"/>
      <c r="R88" s="308"/>
      <c r="S88" s="308"/>
      <c r="T88" s="308"/>
      <c r="U88" s="308"/>
      <c r="V88" s="309"/>
    </row>
    <row r="89" spans="1:22">
      <c r="A89" s="304"/>
      <c r="B89" s="310"/>
      <c r="C89" s="311"/>
      <c r="D89" s="312"/>
      <c r="E89" s="312"/>
      <c r="F89" s="312"/>
      <c r="G89" s="312"/>
      <c r="H89" s="312"/>
      <c r="I89" s="312"/>
      <c r="J89" s="314"/>
      <c r="K89" s="314"/>
      <c r="L89" s="312"/>
      <c r="M89" s="312"/>
      <c r="N89" s="312"/>
      <c r="O89" s="314"/>
      <c r="P89" s="314"/>
      <c r="Q89" s="312"/>
      <c r="R89" s="314"/>
      <c r="S89" s="314"/>
      <c r="T89" s="314"/>
      <c r="U89" s="314"/>
      <c r="V89" s="309"/>
    </row>
    <row r="90" spans="1:22">
      <c r="A90" s="304"/>
      <c r="B90" s="50"/>
      <c r="C90" s="301"/>
      <c r="D90" s="302"/>
      <c r="E90" s="302"/>
      <c r="F90" s="302"/>
      <c r="G90" s="302"/>
      <c r="H90" s="302"/>
      <c r="I90" s="302"/>
      <c r="J90" s="303"/>
      <c r="K90" s="303"/>
      <c r="L90" s="302"/>
      <c r="M90" s="302"/>
      <c r="N90" s="302"/>
      <c r="O90" s="303"/>
      <c r="P90" s="303"/>
      <c r="Q90" s="302"/>
      <c r="R90" s="303"/>
      <c r="S90" s="303"/>
      <c r="T90" s="303"/>
      <c r="U90" s="303"/>
      <c r="V90" s="309"/>
    </row>
    <row r="91" spans="1:22">
      <c r="A91" s="304"/>
      <c r="B91" s="305"/>
      <c r="C91" s="306"/>
      <c r="D91" s="307"/>
      <c r="E91" s="307"/>
      <c r="F91" s="307"/>
      <c r="G91" s="307"/>
      <c r="H91" s="307"/>
      <c r="I91" s="307"/>
      <c r="J91" s="308"/>
      <c r="K91" s="308"/>
      <c r="L91" s="307"/>
      <c r="M91" s="307"/>
      <c r="N91" s="307"/>
      <c r="O91" s="308"/>
      <c r="P91" s="308"/>
      <c r="Q91" s="307"/>
      <c r="R91" s="308"/>
      <c r="S91" s="308"/>
      <c r="T91" s="308"/>
      <c r="U91" s="308"/>
      <c r="V91" s="309"/>
    </row>
    <row r="92" spans="1:22">
      <c r="A92" s="304"/>
      <c r="B92" s="310"/>
      <c r="C92" s="311"/>
      <c r="D92" s="312"/>
      <c r="E92" s="312"/>
      <c r="F92" s="312"/>
      <c r="G92" s="312"/>
      <c r="H92" s="312"/>
      <c r="I92" s="312"/>
      <c r="J92" s="314"/>
      <c r="K92" s="314"/>
      <c r="L92" s="312"/>
      <c r="M92" s="312"/>
      <c r="N92" s="312"/>
      <c r="O92" s="314"/>
      <c r="P92" s="314"/>
      <c r="Q92" s="312"/>
      <c r="R92" s="314"/>
      <c r="S92" s="314"/>
      <c r="T92" s="314"/>
      <c r="U92" s="314"/>
      <c r="V92" s="309"/>
    </row>
    <row r="93" spans="1:22">
      <c r="A93" s="304"/>
      <c r="B93" s="50"/>
      <c r="C93" s="301"/>
      <c r="D93" s="302"/>
      <c r="E93" s="302"/>
      <c r="F93" s="302"/>
      <c r="G93" s="302"/>
      <c r="H93" s="302"/>
      <c r="I93" s="302"/>
      <c r="J93" s="303"/>
      <c r="K93" s="303"/>
      <c r="L93" s="302"/>
      <c r="M93" s="302"/>
      <c r="N93" s="302"/>
      <c r="O93" s="303"/>
      <c r="P93" s="303"/>
      <c r="Q93" s="302"/>
      <c r="R93" s="303"/>
      <c r="S93" s="303"/>
      <c r="T93" s="303"/>
      <c r="U93" s="303"/>
      <c r="V93" s="309"/>
    </row>
    <row r="94" spans="1:22">
      <c r="A94" s="304"/>
      <c r="B94" s="305"/>
      <c r="C94" s="306"/>
      <c r="D94" s="307"/>
      <c r="E94" s="307"/>
      <c r="F94" s="307"/>
      <c r="G94" s="307"/>
      <c r="H94" s="307"/>
      <c r="I94" s="307"/>
      <c r="J94" s="308"/>
      <c r="K94" s="308"/>
      <c r="L94" s="307"/>
      <c r="M94" s="307"/>
      <c r="N94" s="307"/>
      <c r="O94" s="308"/>
      <c r="P94" s="308"/>
      <c r="Q94" s="307"/>
      <c r="R94" s="308"/>
      <c r="S94" s="308"/>
      <c r="T94" s="308"/>
      <c r="U94" s="308"/>
      <c r="V94" s="309"/>
    </row>
    <row r="95" spans="1:22" ht="15.75" thickBot="1">
      <c r="A95" s="304"/>
      <c r="B95" s="316"/>
      <c r="C95" s="317"/>
      <c r="D95" s="318"/>
      <c r="E95" s="318"/>
      <c r="F95" s="318"/>
      <c r="G95" s="318"/>
      <c r="H95" s="318"/>
      <c r="I95" s="318"/>
      <c r="J95" s="319"/>
      <c r="K95" s="319"/>
      <c r="L95" s="318"/>
      <c r="M95" s="318"/>
      <c r="N95" s="318"/>
      <c r="O95" s="319"/>
      <c r="P95" s="319"/>
      <c r="Q95" s="318"/>
      <c r="R95" s="319"/>
      <c r="S95" s="319"/>
      <c r="T95" s="319"/>
      <c r="U95" s="319"/>
      <c r="V95" s="309"/>
    </row>
    <row r="96" spans="1:22" ht="15.75" thickTop="1">
      <c r="A96" s="304"/>
      <c r="B96" s="305"/>
      <c r="C96" s="306"/>
      <c r="D96" s="307"/>
      <c r="E96" s="307"/>
      <c r="F96" s="307"/>
      <c r="G96" s="307"/>
      <c r="H96" s="307"/>
      <c r="I96" s="307"/>
      <c r="J96" s="308"/>
      <c r="K96" s="308"/>
      <c r="L96" s="307"/>
      <c r="M96" s="307"/>
      <c r="N96" s="307"/>
      <c r="O96" s="308"/>
      <c r="P96" s="308"/>
      <c r="Q96" s="307"/>
      <c r="R96" s="308"/>
      <c r="S96" s="308"/>
      <c r="T96" s="308"/>
      <c r="U96" s="308"/>
      <c r="V96" s="309"/>
    </row>
    <row r="97" spans="1:22">
      <c r="A97" s="304"/>
      <c r="B97" s="305"/>
      <c r="C97" s="306"/>
      <c r="D97" s="307"/>
      <c r="E97" s="307"/>
      <c r="F97" s="307"/>
      <c r="G97" s="307"/>
      <c r="H97" s="307"/>
      <c r="I97" s="307"/>
      <c r="J97" s="308"/>
      <c r="K97" s="308"/>
      <c r="L97" s="307"/>
      <c r="M97" s="307"/>
      <c r="N97" s="307"/>
      <c r="O97" s="308"/>
      <c r="P97" s="308"/>
      <c r="Q97" s="307"/>
      <c r="R97" s="308"/>
      <c r="S97" s="308"/>
      <c r="T97" s="308"/>
      <c r="U97" s="308"/>
      <c r="V97" s="309"/>
    </row>
    <row r="98" spans="1:22">
      <c r="A98" s="304"/>
      <c r="B98" s="310"/>
      <c r="C98" s="311"/>
      <c r="D98" s="312"/>
      <c r="E98" s="312"/>
      <c r="F98" s="312"/>
      <c r="G98" s="312"/>
      <c r="H98" s="312"/>
      <c r="I98" s="312"/>
      <c r="J98" s="314"/>
      <c r="K98" s="314"/>
      <c r="L98" s="312"/>
      <c r="M98" s="312"/>
      <c r="N98" s="312"/>
      <c r="O98" s="314"/>
      <c r="P98" s="314"/>
      <c r="Q98" s="312"/>
      <c r="R98" s="314"/>
      <c r="S98" s="314"/>
      <c r="T98" s="314"/>
      <c r="U98" s="314"/>
      <c r="V98" s="309"/>
    </row>
    <row r="99" spans="1:22">
      <c r="A99" s="304"/>
      <c r="B99" s="50"/>
      <c r="C99" s="301"/>
      <c r="D99" s="302"/>
      <c r="E99" s="302"/>
      <c r="F99" s="302"/>
      <c r="G99" s="302"/>
      <c r="H99" s="302"/>
      <c r="I99" s="302"/>
      <c r="J99" s="303"/>
      <c r="K99" s="303"/>
      <c r="L99" s="302"/>
      <c r="M99" s="302"/>
      <c r="N99" s="302"/>
      <c r="O99" s="303"/>
      <c r="P99" s="303"/>
      <c r="Q99" s="302"/>
      <c r="R99" s="303"/>
      <c r="S99" s="303"/>
      <c r="T99" s="303"/>
      <c r="U99" s="303"/>
      <c r="V99" s="309"/>
    </row>
    <row r="100" spans="1:22">
      <c r="A100" s="304"/>
      <c r="B100" s="305"/>
      <c r="C100" s="306"/>
      <c r="D100" s="307"/>
      <c r="E100" s="307"/>
      <c r="F100" s="307"/>
      <c r="G100" s="307"/>
      <c r="H100" s="307"/>
      <c r="I100" s="307"/>
      <c r="J100" s="308"/>
      <c r="K100" s="308"/>
      <c r="L100" s="307"/>
      <c r="M100" s="307"/>
      <c r="N100" s="307"/>
      <c r="O100" s="308"/>
      <c r="P100" s="308"/>
      <c r="Q100" s="307"/>
      <c r="R100" s="308"/>
      <c r="S100" s="308"/>
      <c r="T100" s="308"/>
      <c r="U100" s="308"/>
      <c r="V100" s="309"/>
    </row>
    <row r="101" spans="1:22">
      <c r="A101" s="304"/>
      <c r="B101" s="310"/>
      <c r="C101" s="311"/>
      <c r="D101" s="312"/>
      <c r="E101" s="312"/>
      <c r="F101" s="312"/>
      <c r="G101" s="312"/>
      <c r="H101" s="312"/>
      <c r="I101" s="312"/>
      <c r="J101" s="314"/>
      <c r="K101" s="314"/>
      <c r="L101" s="312"/>
      <c r="M101" s="312"/>
      <c r="N101" s="312"/>
      <c r="O101" s="314"/>
      <c r="P101" s="314"/>
      <c r="Q101" s="312"/>
      <c r="R101" s="314"/>
      <c r="S101" s="314"/>
      <c r="T101" s="314"/>
      <c r="U101" s="314"/>
      <c r="V101" s="309"/>
    </row>
    <row r="102" spans="1:22">
      <c r="A102" s="304"/>
      <c r="B102" s="50"/>
      <c r="C102" s="301"/>
      <c r="D102" s="302"/>
      <c r="E102" s="302"/>
      <c r="F102" s="302"/>
      <c r="G102" s="302"/>
      <c r="H102" s="302"/>
      <c r="I102" s="302"/>
      <c r="J102" s="303"/>
      <c r="K102" s="303"/>
      <c r="L102" s="302"/>
      <c r="M102" s="302"/>
      <c r="N102" s="302"/>
      <c r="O102" s="303"/>
      <c r="P102" s="303"/>
      <c r="Q102" s="302"/>
      <c r="R102" s="303"/>
      <c r="S102" s="303"/>
      <c r="T102" s="303"/>
      <c r="U102" s="303"/>
      <c r="V102" s="309"/>
    </row>
    <row r="103" spans="1:22">
      <c r="A103" s="304"/>
      <c r="B103" s="305"/>
      <c r="C103" s="306"/>
      <c r="D103" s="307"/>
      <c r="E103" s="307"/>
      <c r="F103" s="307"/>
      <c r="G103" s="307"/>
      <c r="H103" s="307"/>
      <c r="I103" s="307"/>
      <c r="J103" s="308"/>
      <c r="K103" s="308"/>
      <c r="L103" s="307"/>
      <c r="M103" s="307"/>
      <c r="N103" s="307"/>
      <c r="O103" s="308"/>
      <c r="P103" s="308"/>
      <c r="Q103" s="307"/>
      <c r="R103" s="308"/>
      <c r="S103" s="308"/>
      <c r="T103" s="308"/>
      <c r="U103" s="308"/>
      <c r="V103" s="309"/>
    </row>
    <row r="104" spans="1:22">
      <c r="A104" s="304"/>
      <c r="B104" s="310"/>
      <c r="C104" s="311"/>
      <c r="D104" s="312"/>
      <c r="E104" s="312"/>
      <c r="F104" s="312"/>
      <c r="G104" s="312"/>
      <c r="H104" s="312"/>
      <c r="I104" s="312"/>
      <c r="J104" s="314"/>
      <c r="K104" s="314"/>
      <c r="L104" s="312"/>
      <c r="M104" s="312"/>
      <c r="N104" s="312"/>
      <c r="O104" s="314"/>
      <c r="P104" s="314"/>
      <c r="Q104" s="312"/>
      <c r="R104" s="314"/>
      <c r="S104" s="314"/>
      <c r="T104" s="314"/>
      <c r="U104" s="314"/>
      <c r="V104" s="309"/>
    </row>
    <row r="105" spans="1:22">
      <c r="A105" s="304"/>
      <c r="B105" s="50"/>
      <c r="C105" s="301"/>
      <c r="D105" s="302"/>
      <c r="E105" s="302"/>
      <c r="F105" s="302"/>
      <c r="G105" s="302"/>
      <c r="H105" s="302"/>
      <c r="I105" s="302"/>
      <c r="J105" s="303"/>
      <c r="K105" s="303"/>
      <c r="L105" s="302"/>
      <c r="M105" s="302"/>
      <c r="N105" s="302"/>
      <c r="O105" s="303"/>
      <c r="P105" s="303"/>
      <c r="Q105" s="302"/>
      <c r="R105" s="303"/>
      <c r="S105" s="303"/>
      <c r="T105" s="303"/>
      <c r="U105" s="303"/>
      <c r="V105" s="309"/>
    </row>
    <row r="106" spans="1:22">
      <c r="A106" s="304"/>
      <c r="B106" s="305"/>
      <c r="C106" s="306"/>
      <c r="D106" s="307"/>
      <c r="E106" s="307"/>
      <c r="F106" s="307"/>
      <c r="G106" s="307"/>
      <c r="H106" s="307"/>
      <c r="I106" s="307"/>
      <c r="J106" s="308"/>
      <c r="K106" s="308"/>
      <c r="L106" s="307"/>
      <c r="M106" s="307"/>
      <c r="N106" s="307"/>
      <c r="O106" s="308"/>
      <c r="P106" s="308"/>
      <c r="Q106" s="307"/>
      <c r="R106" s="308"/>
      <c r="S106" s="308"/>
      <c r="T106" s="308"/>
      <c r="U106" s="308"/>
      <c r="V106" s="309"/>
    </row>
    <row r="107" spans="1:22">
      <c r="A107" s="304"/>
      <c r="B107" s="310"/>
      <c r="C107" s="311"/>
      <c r="D107" s="312"/>
      <c r="E107" s="312"/>
      <c r="F107" s="312"/>
      <c r="G107" s="312"/>
      <c r="H107" s="312"/>
      <c r="I107" s="312"/>
      <c r="J107" s="314"/>
      <c r="K107" s="314"/>
      <c r="L107" s="312"/>
      <c r="M107" s="312"/>
      <c r="N107" s="312"/>
      <c r="O107" s="314"/>
      <c r="P107" s="314"/>
      <c r="Q107" s="312"/>
      <c r="R107" s="314"/>
      <c r="S107" s="314"/>
      <c r="T107" s="314"/>
      <c r="U107" s="314"/>
      <c r="V107" s="309"/>
    </row>
    <row r="108" spans="1:22">
      <c r="A108" s="304"/>
      <c r="B108" s="50"/>
      <c r="C108" s="301"/>
      <c r="D108" s="302"/>
      <c r="E108" s="302"/>
      <c r="F108" s="302"/>
      <c r="G108" s="302"/>
      <c r="H108" s="302"/>
      <c r="I108" s="302"/>
      <c r="J108" s="303"/>
      <c r="K108" s="303"/>
      <c r="L108" s="302"/>
      <c r="M108" s="302"/>
      <c r="N108" s="302"/>
      <c r="O108" s="303"/>
      <c r="P108" s="303"/>
      <c r="Q108" s="302"/>
      <c r="R108" s="303"/>
      <c r="S108" s="303"/>
      <c r="T108" s="303"/>
      <c r="U108" s="303"/>
      <c r="V108" s="309"/>
    </row>
    <row r="109" spans="1:22">
      <c r="A109" s="304"/>
      <c r="B109" s="305"/>
      <c r="C109" s="306"/>
      <c r="D109" s="307"/>
      <c r="E109" s="307"/>
      <c r="F109" s="307"/>
      <c r="G109" s="307"/>
      <c r="H109" s="307"/>
      <c r="I109" s="307"/>
      <c r="J109" s="308"/>
      <c r="K109" s="308"/>
      <c r="L109" s="307"/>
      <c r="M109" s="307"/>
      <c r="N109" s="307"/>
      <c r="O109" s="308"/>
      <c r="P109" s="308"/>
      <c r="Q109" s="307"/>
      <c r="R109" s="308"/>
      <c r="S109" s="308"/>
      <c r="T109" s="308"/>
      <c r="U109" s="308"/>
      <c r="V109" s="309"/>
    </row>
    <row r="110" spans="1:22">
      <c r="A110" s="304"/>
      <c r="B110" s="310"/>
      <c r="C110" s="311"/>
      <c r="D110" s="312"/>
      <c r="E110" s="312"/>
      <c r="F110" s="312"/>
      <c r="G110" s="312"/>
      <c r="H110" s="312"/>
      <c r="I110" s="312"/>
      <c r="J110" s="314"/>
      <c r="K110" s="314"/>
      <c r="L110" s="312"/>
      <c r="M110" s="312"/>
      <c r="N110" s="312"/>
      <c r="O110" s="314"/>
      <c r="P110" s="314"/>
      <c r="Q110" s="312"/>
      <c r="R110" s="314"/>
      <c r="S110" s="314"/>
      <c r="T110" s="314"/>
      <c r="U110" s="314"/>
      <c r="V110" s="309"/>
    </row>
    <row r="111" spans="1:22">
      <c r="A111" s="304"/>
      <c r="B111" s="50"/>
      <c r="C111" s="301"/>
      <c r="D111" s="302"/>
      <c r="E111" s="302"/>
      <c r="F111" s="302"/>
      <c r="G111" s="302"/>
      <c r="H111" s="302"/>
      <c r="I111" s="302"/>
      <c r="J111" s="303"/>
      <c r="K111" s="303"/>
      <c r="L111" s="302"/>
      <c r="M111" s="302"/>
      <c r="N111" s="302"/>
      <c r="O111" s="303"/>
      <c r="P111" s="303"/>
      <c r="Q111" s="302"/>
      <c r="R111" s="303"/>
      <c r="S111" s="303"/>
      <c r="T111" s="303"/>
      <c r="U111" s="303"/>
      <c r="V111" s="309"/>
    </row>
    <row r="112" spans="1:22">
      <c r="A112" s="304"/>
      <c r="B112" s="305"/>
      <c r="C112" s="306"/>
      <c r="D112" s="307"/>
      <c r="E112" s="307"/>
      <c r="F112" s="307"/>
      <c r="G112" s="307"/>
      <c r="H112" s="307"/>
      <c r="I112" s="307"/>
      <c r="J112" s="308"/>
      <c r="K112" s="308"/>
      <c r="L112" s="307"/>
      <c r="M112" s="307"/>
      <c r="N112" s="307"/>
      <c r="O112" s="308"/>
      <c r="P112" s="308"/>
      <c r="Q112" s="307"/>
      <c r="R112" s="308"/>
      <c r="S112" s="308"/>
      <c r="T112" s="308"/>
      <c r="U112" s="308"/>
      <c r="V112" s="309"/>
    </row>
    <row r="113" spans="1:22" ht="15.75" thickBot="1">
      <c r="A113" s="320"/>
      <c r="B113" s="321"/>
      <c r="C113" s="322"/>
      <c r="D113" s="323"/>
      <c r="E113" s="323"/>
      <c r="F113" s="323"/>
      <c r="G113" s="323"/>
      <c r="H113" s="323"/>
      <c r="I113" s="323"/>
      <c r="J113" s="324"/>
      <c r="K113" s="324"/>
      <c r="L113" s="323"/>
      <c r="M113" s="323"/>
      <c r="N113" s="323"/>
      <c r="O113" s="324"/>
      <c r="P113" s="324"/>
      <c r="Q113" s="323"/>
      <c r="R113" s="324"/>
      <c r="S113" s="324"/>
      <c r="T113" s="324"/>
      <c r="U113" s="324"/>
      <c r="V113" s="309"/>
    </row>
    <row r="114" spans="1:22">
      <c r="A114" s="300"/>
      <c r="B114" s="50"/>
      <c r="C114" s="301"/>
      <c r="D114" s="302"/>
      <c r="E114" s="302"/>
      <c r="F114" s="302"/>
      <c r="G114" s="302"/>
      <c r="H114" s="302"/>
      <c r="I114" s="302"/>
      <c r="J114" s="303"/>
      <c r="K114" s="303"/>
      <c r="L114" s="302"/>
      <c r="M114" s="302"/>
      <c r="N114" s="302"/>
      <c r="O114" s="303"/>
      <c r="P114" s="303"/>
      <c r="Q114" s="302"/>
      <c r="R114" s="303"/>
      <c r="S114" s="303"/>
      <c r="T114" s="303"/>
      <c r="U114" s="303"/>
      <c r="V114" s="309"/>
    </row>
    <row r="115" spans="1:22">
      <c r="A115" s="304"/>
      <c r="B115" s="305"/>
      <c r="C115" s="306"/>
      <c r="D115" s="307"/>
      <c r="E115" s="307"/>
      <c r="F115" s="307"/>
      <c r="G115" s="307"/>
      <c r="H115" s="307"/>
      <c r="I115" s="307"/>
      <c r="J115" s="308"/>
      <c r="K115" s="308"/>
      <c r="L115" s="307"/>
      <c r="M115" s="307"/>
      <c r="N115" s="307"/>
      <c r="O115" s="308"/>
      <c r="P115" s="308"/>
      <c r="Q115" s="307"/>
      <c r="R115" s="308"/>
      <c r="S115" s="308"/>
      <c r="T115" s="308"/>
      <c r="U115" s="308"/>
      <c r="V115" s="309"/>
    </row>
    <row r="116" spans="1:22">
      <c r="A116" s="304"/>
      <c r="B116" s="310"/>
      <c r="C116" s="311"/>
      <c r="D116" s="312"/>
      <c r="E116" s="312"/>
      <c r="F116" s="312"/>
      <c r="G116" s="312"/>
      <c r="H116" s="312"/>
      <c r="I116" s="312"/>
      <c r="J116" s="314"/>
      <c r="K116" s="314"/>
      <c r="L116" s="312"/>
      <c r="M116" s="312"/>
      <c r="N116" s="312"/>
      <c r="O116" s="314"/>
      <c r="P116" s="314"/>
      <c r="Q116" s="312"/>
      <c r="R116" s="314"/>
      <c r="S116" s="314"/>
      <c r="T116" s="314"/>
      <c r="U116" s="314"/>
      <c r="V116" s="309"/>
    </row>
    <row r="117" spans="1:22">
      <c r="A117" s="304"/>
      <c r="B117" s="50"/>
      <c r="C117" s="301"/>
      <c r="D117" s="302"/>
      <c r="E117" s="302"/>
      <c r="F117" s="302"/>
      <c r="G117" s="302"/>
      <c r="H117" s="302"/>
      <c r="I117" s="302"/>
      <c r="J117" s="303"/>
      <c r="K117" s="303"/>
      <c r="L117" s="302"/>
      <c r="M117" s="302"/>
      <c r="N117" s="302"/>
      <c r="O117" s="303"/>
      <c r="P117" s="303"/>
      <c r="Q117" s="302"/>
      <c r="R117" s="303"/>
      <c r="S117" s="303"/>
      <c r="T117" s="303"/>
      <c r="U117" s="303"/>
      <c r="V117" s="309"/>
    </row>
    <row r="118" spans="1:22">
      <c r="A118" s="304"/>
      <c r="B118" s="305"/>
      <c r="C118" s="306"/>
      <c r="D118" s="307"/>
      <c r="E118" s="307"/>
      <c r="F118" s="307"/>
      <c r="G118" s="307"/>
      <c r="H118" s="307"/>
      <c r="I118" s="307"/>
      <c r="J118" s="308"/>
      <c r="K118" s="308"/>
      <c r="L118" s="307"/>
      <c r="M118" s="307"/>
      <c r="N118" s="307"/>
      <c r="O118" s="308"/>
      <c r="P118" s="308"/>
      <c r="Q118" s="307"/>
      <c r="R118" s="308"/>
      <c r="S118" s="308"/>
      <c r="T118" s="308"/>
      <c r="U118" s="308"/>
      <c r="V118" s="309"/>
    </row>
    <row r="119" spans="1:22">
      <c r="A119" s="304"/>
      <c r="B119" s="310"/>
      <c r="C119" s="311"/>
      <c r="D119" s="312"/>
      <c r="E119" s="312"/>
      <c r="F119" s="312"/>
      <c r="G119" s="312"/>
      <c r="H119" s="312"/>
      <c r="I119" s="312"/>
      <c r="J119" s="314"/>
      <c r="K119" s="314"/>
      <c r="L119" s="312"/>
      <c r="M119" s="312"/>
      <c r="N119" s="312"/>
      <c r="O119" s="314"/>
      <c r="P119" s="314"/>
      <c r="Q119" s="312"/>
      <c r="R119" s="314"/>
      <c r="S119" s="314"/>
      <c r="T119" s="314"/>
      <c r="U119" s="314"/>
      <c r="V119" s="309"/>
    </row>
    <row r="120" spans="1:22">
      <c r="A120" s="304"/>
      <c r="B120" s="50"/>
      <c r="C120" s="301"/>
      <c r="D120" s="302"/>
      <c r="E120" s="302"/>
      <c r="F120" s="302"/>
      <c r="G120" s="302"/>
      <c r="H120" s="302"/>
      <c r="I120" s="302"/>
      <c r="J120" s="303"/>
      <c r="K120" s="303"/>
      <c r="L120" s="302"/>
      <c r="M120" s="302"/>
      <c r="N120" s="302"/>
      <c r="O120" s="303"/>
      <c r="P120" s="303"/>
      <c r="Q120" s="302"/>
      <c r="R120" s="303"/>
      <c r="S120" s="303"/>
      <c r="T120" s="303"/>
      <c r="U120" s="303"/>
      <c r="V120" s="309"/>
    </row>
    <row r="121" spans="1:22">
      <c r="A121" s="304"/>
      <c r="B121" s="305"/>
      <c r="C121" s="306"/>
      <c r="D121" s="307"/>
      <c r="E121" s="307"/>
      <c r="F121" s="307"/>
      <c r="G121" s="307"/>
      <c r="H121" s="307"/>
      <c r="I121" s="307"/>
      <c r="J121" s="308"/>
      <c r="K121" s="308"/>
      <c r="L121" s="307"/>
      <c r="M121" s="307"/>
      <c r="N121" s="307"/>
      <c r="O121" s="308"/>
      <c r="P121" s="308"/>
      <c r="Q121" s="307"/>
      <c r="R121" s="308"/>
      <c r="S121" s="308"/>
      <c r="T121" s="308"/>
      <c r="U121" s="308"/>
      <c r="V121" s="309"/>
    </row>
    <row r="122" spans="1:22">
      <c r="A122" s="304"/>
      <c r="B122" s="310"/>
      <c r="C122" s="311"/>
      <c r="D122" s="312"/>
      <c r="E122" s="312"/>
      <c r="F122" s="312"/>
      <c r="G122" s="312"/>
      <c r="H122" s="312"/>
      <c r="I122" s="312"/>
      <c r="J122" s="314"/>
      <c r="K122" s="314"/>
      <c r="L122" s="312"/>
      <c r="M122" s="312"/>
      <c r="N122" s="312"/>
      <c r="O122" s="314"/>
      <c r="P122" s="314"/>
      <c r="Q122" s="312"/>
      <c r="R122" s="314"/>
      <c r="S122" s="314"/>
      <c r="T122" s="314"/>
      <c r="U122" s="314"/>
      <c r="V122" s="309"/>
    </row>
    <row r="123" spans="1:22">
      <c r="A123" s="304"/>
      <c r="B123" s="50"/>
      <c r="C123" s="301"/>
      <c r="D123" s="302"/>
      <c r="E123" s="302"/>
      <c r="F123" s="302"/>
      <c r="G123" s="302"/>
      <c r="H123" s="302"/>
      <c r="I123" s="302"/>
      <c r="J123" s="303"/>
      <c r="K123" s="303"/>
      <c r="L123" s="302"/>
      <c r="M123" s="302"/>
      <c r="N123" s="302"/>
      <c r="O123" s="303"/>
      <c r="P123" s="303"/>
      <c r="Q123" s="302"/>
      <c r="R123" s="303"/>
      <c r="S123" s="303"/>
      <c r="T123" s="303"/>
      <c r="U123" s="303"/>
      <c r="V123" s="309"/>
    </row>
    <row r="124" spans="1:22">
      <c r="A124" s="304"/>
      <c r="B124" s="305"/>
      <c r="C124" s="306"/>
      <c r="D124" s="307"/>
      <c r="E124" s="307"/>
      <c r="F124" s="307"/>
      <c r="G124" s="307"/>
      <c r="H124" s="307"/>
      <c r="I124" s="307"/>
      <c r="J124" s="308"/>
      <c r="K124" s="308"/>
      <c r="L124" s="307"/>
      <c r="M124" s="307"/>
      <c r="N124" s="307"/>
      <c r="O124" s="308"/>
      <c r="P124" s="308"/>
      <c r="Q124" s="307"/>
      <c r="R124" s="308"/>
      <c r="S124" s="308"/>
      <c r="T124" s="308"/>
      <c r="U124" s="308"/>
      <c r="V124" s="309"/>
    </row>
    <row r="125" spans="1:22">
      <c r="A125" s="304"/>
      <c r="B125" s="310"/>
      <c r="C125" s="311"/>
      <c r="D125" s="312"/>
      <c r="E125" s="312"/>
      <c r="F125" s="312"/>
      <c r="G125" s="312"/>
      <c r="H125" s="312"/>
      <c r="I125" s="312"/>
      <c r="J125" s="314"/>
      <c r="K125" s="314"/>
      <c r="L125" s="312"/>
      <c r="M125" s="312"/>
      <c r="N125" s="312"/>
      <c r="O125" s="314"/>
      <c r="P125" s="314"/>
      <c r="Q125" s="312"/>
      <c r="R125" s="314"/>
      <c r="S125" s="314"/>
      <c r="T125" s="314"/>
      <c r="U125" s="314"/>
      <c r="V125" s="309"/>
    </row>
    <row r="126" spans="1:22">
      <c r="A126" s="304"/>
      <c r="B126" s="50"/>
      <c r="C126" s="301"/>
      <c r="D126" s="302"/>
      <c r="E126" s="302"/>
      <c r="F126" s="302"/>
      <c r="G126" s="302"/>
      <c r="H126" s="302"/>
      <c r="I126" s="302"/>
      <c r="J126" s="303"/>
      <c r="K126" s="303"/>
      <c r="L126" s="302"/>
      <c r="M126" s="302"/>
      <c r="N126" s="302"/>
      <c r="O126" s="303"/>
      <c r="P126" s="303"/>
      <c r="Q126" s="302"/>
      <c r="R126" s="303"/>
      <c r="S126" s="303"/>
      <c r="T126" s="303"/>
      <c r="U126" s="303"/>
      <c r="V126" s="309"/>
    </row>
    <row r="127" spans="1:22">
      <c r="A127" s="304"/>
      <c r="B127" s="305"/>
      <c r="C127" s="306"/>
      <c r="D127" s="307"/>
      <c r="E127" s="307"/>
      <c r="F127" s="307"/>
      <c r="G127" s="307"/>
      <c r="H127" s="307"/>
      <c r="I127" s="307"/>
      <c r="J127" s="308"/>
      <c r="K127" s="308"/>
      <c r="L127" s="307"/>
      <c r="M127" s="307"/>
      <c r="N127" s="307"/>
      <c r="O127" s="308"/>
      <c r="P127" s="308"/>
      <c r="Q127" s="307"/>
      <c r="R127" s="308"/>
      <c r="S127" s="308"/>
      <c r="T127" s="308"/>
      <c r="U127" s="308"/>
      <c r="V127" s="309"/>
    </row>
    <row r="128" spans="1:22">
      <c r="A128" s="304"/>
      <c r="B128" s="310"/>
      <c r="C128" s="311"/>
      <c r="D128" s="312"/>
      <c r="E128" s="312"/>
      <c r="F128" s="312"/>
      <c r="G128" s="312"/>
      <c r="H128" s="312"/>
      <c r="I128" s="312"/>
      <c r="J128" s="314"/>
      <c r="K128" s="314"/>
      <c r="L128" s="312"/>
      <c r="M128" s="312"/>
      <c r="N128" s="312"/>
      <c r="O128" s="314"/>
      <c r="P128" s="314"/>
      <c r="Q128" s="312"/>
      <c r="R128" s="314"/>
      <c r="S128" s="314"/>
      <c r="T128" s="314"/>
      <c r="U128" s="314"/>
      <c r="V128" s="309"/>
    </row>
    <row r="129" spans="1:22">
      <c r="A129" s="304"/>
      <c r="B129" s="50"/>
      <c r="C129" s="301"/>
      <c r="D129" s="302"/>
      <c r="E129" s="302"/>
      <c r="F129" s="302"/>
      <c r="G129" s="302"/>
      <c r="H129" s="302"/>
      <c r="I129" s="302"/>
      <c r="J129" s="303"/>
      <c r="K129" s="303"/>
      <c r="L129" s="302"/>
      <c r="M129" s="302"/>
      <c r="N129" s="302"/>
      <c r="O129" s="303"/>
      <c r="P129" s="303"/>
      <c r="Q129" s="302"/>
      <c r="R129" s="303"/>
      <c r="S129" s="303"/>
      <c r="T129" s="303"/>
      <c r="U129" s="303"/>
      <c r="V129" s="309"/>
    </row>
    <row r="130" spans="1:22">
      <c r="A130" s="304"/>
      <c r="B130" s="305"/>
      <c r="C130" s="306"/>
      <c r="D130" s="307"/>
      <c r="E130" s="307"/>
      <c r="F130" s="307"/>
      <c r="G130" s="307"/>
      <c r="H130" s="307"/>
      <c r="I130" s="307"/>
      <c r="J130" s="308"/>
      <c r="K130" s="308"/>
      <c r="L130" s="307"/>
      <c r="M130" s="307"/>
      <c r="N130" s="307"/>
      <c r="O130" s="308"/>
      <c r="P130" s="308"/>
      <c r="Q130" s="307"/>
      <c r="R130" s="308"/>
      <c r="S130" s="308"/>
      <c r="T130" s="308"/>
      <c r="U130" s="308"/>
      <c r="V130" s="309"/>
    </row>
    <row r="131" spans="1:22" ht="15.75" thickBot="1">
      <c r="A131" s="304"/>
      <c r="B131" s="316"/>
      <c r="C131" s="317"/>
      <c r="D131" s="318"/>
      <c r="E131" s="318"/>
      <c r="F131" s="318"/>
      <c r="G131" s="318"/>
      <c r="H131" s="318"/>
      <c r="I131" s="318"/>
      <c r="J131" s="319"/>
      <c r="K131" s="319"/>
      <c r="L131" s="318"/>
      <c r="M131" s="318"/>
      <c r="N131" s="318"/>
      <c r="O131" s="319"/>
      <c r="P131" s="319"/>
      <c r="Q131" s="318"/>
      <c r="R131" s="319"/>
      <c r="S131" s="319"/>
      <c r="T131" s="319"/>
      <c r="U131" s="319"/>
      <c r="V131" s="309"/>
    </row>
    <row r="132" spans="1:22" ht="15.75" thickTop="1">
      <c r="A132" s="304"/>
      <c r="B132" s="305"/>
      <c r="C132" s="306"/>
      <c r="D132" s="307"/>
      <c r="E132" s="307"/>
      <c r="F132" s="307"/>
      <c r="G132" s="307"/>
      <c r="H132" s="307"/>
      <c r="I132" s="307"/>
      <c r="J132" s="308"/>
      <c r="K132" s="308"/>
      <c r="L132" s="307"/>
      <c r="M132" s="307"/>
      <c r="N132" s="307"/>
      <c r="O132" s="308"/>
      <c r="P132" s="308"/>
      <c r="Q132" s="307"/>
      <c r="R132" s="308"/>
      <c r="S132" s="308"/>
      <c r="T132" s="308"/>
      <c r="U132" s="308"/>
      <c r="V132" s="309"/>
    </row>
    <row r="133" spans="1:22">
      <c r="A133" s="304"/>
      <c r="B133" s="305"/>
      <c r="C133" s="306"/>
      <c r="D133" s="307"/>
      <c r="E133" s="307"/>
      <c r="F133" s="307"/>
      <c r="G133" s="307"/>
      <c r="H133" s="307"/>
      <c r="I133" s="307"/>
      <c r="J133" s="308"/>
      <c r="K133" s="308"/>
      <c r="L133" s="307"/>
      <c r="M133" s="307"/>
      <c r="N133" s="307"/>
      <c r="O133" s="308"/>
      <c r="P133" s="308"/>
      <c r="Q133" s="307"/>
      <c r="R133" s="308"/>
      <c r="S133" s="308"/>
      <c r="T133" s="308"/>
      <c r="U133" s="308"/>
      <c r="V133" s="309"/>
    </row>
    <row r="134" spans="1:22">
      <c r="A134" s="304"/>
      <c r="B134" s="310"/>
      <c r="C134" s="311"/>
      <c r="D134" s="312"/>
      <c r="E134" s="312"/>
      <c r="F134" s="312"/>
      <c r="G134" s="312"/>
      <c r="H134" s="312"/>
      <c r="I134" s="312"/>
      <c r="J134" s="314"/>
      <c r="K134" s="314"/>
      <c r="L134" s="312"/>
      <c r="M134" s="312"/>
      <c r="N134" s="312"/>
      <c r="O134" s="314"/>
      <c r="P134" s="314"/>
      <c r="Q134" s="312"/>
      <c r="R134" s="314"/>
      <c r="S134" s="314"/>
      <c r="T134" s="314"/>
      <c r="U134" s="314"/>
      <c r="V134" s="309"/>
    </row>
    <row r="135" spans="1:22">
      <c r="A135" s="304"/>
      <c r="B135" s="50"/>
      <c r="C135" s="301"/>
      <c r="D135" s="302"/>
      <c r="E135" s="302"/>
      <c r="F135" s="302"/>
      <c r="G135" s="302"/>
      <c r="H135" s="302"/>
      <c r="I135" s="302"/>
      <c r="J135" s="303"/>
      <c r="K135" s="303"/>
      <c r="L135" s="302"/>
      <c r="M135" s="302"/>
      <c r="N135" s="302"/>
      <c r="O135" s="303"/>
      <c r="P135" s="303"/>
      <c r="Q135" s="302"/>
      <c r="R135" s="303"/>
      <c r="S135" s="303"/>
      <c r="T135" s="303"/>
      <c r="U135" s="303"/>
      <c r="V135" s="309"/>
    </row>
    <row r="136" spans="1:22">
      <c r="A136" s="304"/>
      <c r="B136" s="305"/>
      <c r="C136" s="306"/>
      <c r="D136" s="307"/>
      <c r="E136" s="307"/>
      <c r="F136" s="307"/>
      <c r="G136" s="307"/>
      <c r="H136" s="307"/>
      <c r="I136" s="307"/>
      <c r="J136" s="308"/>
      <c r="K136" s="308"/>
      <c r="L136" s="307"/>
      <c r="M136" s="307"/>
      <c r="N136" s="307"/>
      <c r="O136" s="308"/>
      <c r="P136" s="308"/>
      <c r="Q136" s="307"/>
      <c r="R136" s="308"/>
      <c r="S136" s="308"/>
      <c r="T136" s="308"/>
      <c r="U136" s="308"/>
      <c r="V136" s="309"/>
    </row>
    <row r="137" spans="1:22">
      <c r="A137" s="304"/>
      <c r="B137" s="310"/>
      <c r="C137" s="311"/>
      <c r="D137" s="312"/>
      <c r="E137" s="312"/>
      <c r="F137" s="312"/>
      <c r="G137" s="312"/>
      <c r="H137" s="312"/>
      <c r="I137" s="312"/>
      <c r="J137" s="314"/>
      <c r="K137" s="314"/>
      <c r="L137" s="312"/>
      <c r="M137" s="312"/>
      <c r="N137" s="312"/>
      <c r="O137" s="314"/>
      <c r="P137" s="314"/>
      <c r="Q137" s="312"/>
      <c r="R137" s="314"/>
      <c r="S137" s="314"/>
      <c r="T137" s="314"/>
      <c r="U137" s="314"/>
      <c r="V137" s="309"/>
    </row>
    <row r="138" spans="1:22">
      <c r="A138" s="304"/>
      <c r="B138" s="50"/>
      <c r="C138" s="301"/>
      <c r="D138" s="302"/>
      <c r="E138" s="302"/>
      <c r="F138" s="302"/>
      <c r="G138" s="302"/>
      <c r="H138" s="302"/>
      <c r="I138" s="302"/>
      <c r="J138" s="303"/>
      <c r="K138" s="303"/>
      <c r="L138" s="302"/>
      <c r="M138" s="302"/>
      <c r="N138" s="302"/>
      <c r="O138" s="303"/>
      <c r="P138" s="303"/>
      <c r="Q138" s="302"/>
      <c r="R138" s="303"/>
      <c r="S138" s="303"/>
      <c r="T138" s="303"/>
      <c r="U138" s="303"/>
      <c r="V138" s="309"/>
    </row>
    <row r="139" spans="1:22">
      <c r="A139" s="304"/>
      <c r="B139" s="305"/>
      <c r="C139" s="306"/>
      <c r="D139" s="307"/>
      <c r="E139" s="307"/>
      <c r="F139" s="307"/>
      <c r="G139" s="307"/>
      <c r="H139" s="307"/>
      <c r="I139" s="307"/>
      <c r="J139" s="308"/>
      <c r="K139" s="308"/>
      <c r="L139" s="307"/>
      <c r="M139" s="307"/>
      <c r="N139" s="307"/>
      <c r="O139" s="308"/>
      <c r="P139" s="308"/>
      <c r="Q139" s="307"/>
      <c r="R139" s="308"/>
      <c r="S139" s="308"/>
      <c r="T139" s="308"/>
      <c r="U139" s="308"/>
      <c r="V139" s="309"/>
    </row>
    <row r="140" spans="1:22">
      <c r="A140" s="304"/>
      <c r="B140" s="310"/>
      <c r="C140" s="311"/>
      <c r="D140" s="312"/>
      <c r="E140" s="312"/>
      <c r="F140" s="312"/>
      <c r="G140" s="312"/>
      <c r="H140" s="312"/>
      <c r="I140" s="312"/>
      <c r="J140" s="314"/>
      <c r="K140" s="314"/>
      <c r="L140" s="312"/>
      <c r="M140" s="312"/>
      <c r="N140" s="312"/>
      <c r="O140" s="314"/>
      <c r="P140" s="314"/>
      <c r="Q140" s="312"/>
      <c r="R140" s="314"/>
      <c r="S140" s="314"/>
      <c r="T140" s="314"/>
      <c r="U140" s="314"/>
      <c r="V140" s="309"/>
    </row>
    <row r="141" spans="1:22">
      <c r="A141" s="304"/>
      <c r="B141" s="50"/>
      <c r="C141" s="301"/>
      <c r="D141" s="302"/>
      <c r="E141" s="302"/>
      <c r="F141" s="302"/>
      <c r="G141" s="302"/>
      <c r="H141" s="302"/>
      <c r="I141" s="302"/>
      <c r="J141" s="303"/>
      <c r="K141" s="303"/>
      <c r="L141" s="302"/>
      <c r="M141" s="302"/>
      <c r="N141" s="302"/>
      <c r="O141" s="303"/>
      <c r="P141" s="303"/>
      <c r="Q141" s="302"/>
      <c r="R141" s="303"/>
      <c r="S141" s="303"/>
      <c r="T141" s="303"/>
      <c r="U141" s="303"/>
      <c r="V141" s="309"/>
    </row>
    <row r="142" spans="1:22">
      <c r="A142" s="304"/>
      <c r="B142" s="305"/>
      <c r="C142" s="306"/>
      <c r="D142" s="307"/>
      <c r="E142" s="307"/>
      <c r="F142" s="307"/>
      <c r="G142" s="307"/>
      <c r="H142" s="307"/>
      <c r="I142" s="307"/>
      <c r="J142" s="308"/>
      <c r="K142" s="308"/>
      <c r="L142" s="307"/>
      <c r="M142" s="307"/>
      <c r="N142" s="307"/>
      <c r="O142" s="308"/>
      <c r="P142" s="308"/>
      <c r="Q142" s="307"/>
      <c r="R142" s="308"/>
      <c r="S142" s="308"/>
      <c r="T142" s="308"/>
      <c r="U142" s="308"/>
      <c r="V142" s="309"/>
    </row>
    <row r="143" spans="1:22">
      <c r="A143" s="304"/>
      <c r="B143" s="310"/>
      <c r="C143" s="311"/>
      <c r="D143" s="312"/>
      <c r="E143" s="312"/>
      <c r="F143" s="312"/>
      <c r="G143" s="312"/>
      <c r="H143" s="312"/>
      <c r="I143" s="312"/>
      <c r="J143" s="314"/>
      <c r="K143" s="314"/>
      <c r="L143" s="312"/>
      <c r="M143" s="312"/>
      <c r="N143" s="312"/>
      <c r="O143" s="314"/>
      <c r="P143" s="314"/>
      <c r="Q143" s="312"/>
      <c r="R143" s="314"/>
      <c r="S143" s="314"/>
      <c r="T143" s="314"/>
      <c r="U143" s="314"/>
      <c r="V143" s="309"/>
    </row>
    <row r="144" spans="1:22">
      <c r="A144" s="304"/>
      <c r="B144" s="50"/>
      <c r="C144" s="301"/>
      <c r="D144" s="302"/>
      <c r="E144" s="302"/>
      <c r="F144" s="302"/>
      <c r="G144" s="302"/>
      <c r="H144" s="302"/>
      <c r="I144" s="302"/>
      <c r="J144" s="303"/>
      <c r="K144" s="303"/>
      <c r="L144" s="302"/>
      <c r="M144" s="302"/>
      <c r="N144" s="302"/>
      <c r="O144" s="303"/>
      <c r="P144" s="303"/>
      <c r="Q144" s="302"/>
      <c r="R144" s="303"/>
      <c r="S144" s="303"/>
      <c r="T144" s="303"/>
      <c r="U144" s="303"/>
      <c r="V144" s="309"/>
    </row>
    <row r="145" spans="1:22">
      <c r="A145" s="304"/>
      <c r="B145" s="305"/>
      <c r="C145" s="306"/>
      <c r="D145" s="307"/>
      <c r="E145" s="307"/>
      <c r="F145" s="307"/>
      <c r="G145" s="307"/>
      <c r="H145" s="307"/>
      <c r="I145" s="307"/>
      <c r="J145" s="308"/>
      <c r="K145" s="308"/>
      <c r="L145" s="307"/>
      <c r="M145" s="307"/>
      <c r="N145" s="307"/>
      <c r="O145" s="308"/>
      <c r="P145" s="308"/>
      <c r="Q145" s="307"/>
      <c r="R145" s="308"/>
      <c r="S145" s="308"/>
      <c r="T145" s="308"/>
      <c r="U145" s="308"/>
      <c r="V145" s="309"/>
    </row>
    <row r="146" spans="1:22">
      <c r="A146" s="304"/>
      <c r="B146" s="310"/>
      <c r="C146" s="311"/>
      <c r="D146" s="312"/>
      <c r="E146" s="312"/>
      <c r="F146" s="312"/>
      <c r="G146" s="312"/>
      <c r="H146" s="312"/>
      <c r="I146" s="312"/>
      <c r="J146" s="314"/>
      <c r="K146" s="314"/>
      <c r="L146" s="312"/>
      <c r="M146" s="312"/>
      <c r="N146" s="312"/>
      <c r="O146" s="314"/>
      <c r="P146" s="314"/>
      <c r="Q146" s="312"/>
      <c r="R146" s="314"/>
      <c r="S146" s="314"/>
      <c r="T146" s="314"/>
      <c r="U146" s="314"/>
      <c r="V146" s="309"/>
    </row>
    <row r="147" spans="1:22">
      <c r="A147" s="304"/>
      <c r="B147" s="50"/>
      <c r="C147" s="301"/>
      <c r="D147" s="302"/>
      <c r="E147" s="302"/>
      <c r="F147" s="302"/>
      <c r="G147" s="302"/>
      <c r="H147" s="302"/>
      <c r="I147" s="302"/>
      <c r="J147" s="303"/>
      <c r="K147" s="303"/>
      <c r="L147" s="302"/>
      <c r="M147" s="302"/>
      <c r="N147" s="302"/>
      <c r="O147" s="303"/>
      <c r="P147" s="303"/>
      <c r="Q147" s="302"/>
      <c r="R147" s="303"/>
      <c r="S147" s="303"/>
      <c r="T147" s="303"/>
      <c r="U147" s="303"/>
      <c r="V147" s="309"/>
    </row>
    <row r="148" spans="1:22">
      <c r="A148" s="304"/>
      <c r="B148" s="305"/>
      <c r="C148" s="306"/>
      <c r="D148" s="307"/>
      <c r="E148" s="307"/>
      <c r="F148" s="307"/>
      <c r="G148" s="307"/>
      <c r="H148" s="307"/>
      <c r="I148" s="307"/>
      <c r="J148" s="308"/>
      <c r="K148" s="308"/>
      <c r="L148" s="307"/>
      <c r="M148" s="307"/>
      <c r="N148" s="307"/>
      <c r="O148" s="308"/>
      <c r="P148" s="308"/>
      <c r="Q148" s="307"/>
      <c r="R148" s="308"/>
      <c r="S148" s="308"/>
      <c r="T148" s="308"/>
      <c r="U148" s="308"/>
      <c r="V148" s="309"/>
    </row>
    <row r="149" spans="1:22" ht="15.75" thickBot="1">
      <c r="A149" s="320"/>
      <c r="B149" s="321"/>
      <c r="C149" s="322"/>
      <c r="D149" s="323"/>
      <c r="E149" s="323"/>
      <c r="F149" s="323"/>
      <c r="G149" s="323"/>
      <c r="H149" s="323"/>
      <c r="I149" s="323"/>
      <c r="J149" s="324"/>
      <c r="K149" s="324"/>
      <c r="L149" s="323"/>
      <c r="M149" s="323"/>
      <c r="N149" s="323"/>
      <c r="O149" s="324"/>
      <c r="P149" s="324"/>
      <c r="Q149" s="323"/>
      <c r="R149" s="324"/>
      <c r="S149" s="324"/>
      <c r="T149" s="324"/>
      <c r="U149" s="324"/>
      <c r="V149" s="309"/>
    </row>
    <row r="150" spans="1:22">
      <c r="A150" s="300"/>
      <c r="B150" s="50"/>
      <c r="C150" s="301"/>
      <c r="D150" s="302"/>
      <c r="E150" s="302"/>
      <c r="F150" s="302"/>
      <c r="G150" s="302"/>
      <c r="H150" s="302"/>
      <c r="I150" s="302"/>
      <c r="J150" s="303"/>
      <c r="K150" s="303"/>
      <c r="L150" s="302"/>
      <c r="M150" s="302"/>
      <c r="N150" s="302"/>
      <c r="O150" s="303"/>
      <c r="P150" s="303"/>
      <c r="Q150" s="302"/>
      <c r="R150" s="303"/>
      <c r="S150" s="303"/>
      <c r="T150" s="303"/>
      <c r="U150" s="303"/>
      <c r="V150" s="309"/>
    </row>
    <row r="151" spans="1:22">
      <c r="A151" s="304"/>
      <c r="B151" s="305"/>
      <c r="C151" s="306"/>
      <c r="D151" s="307"/>
      <c r="E151" s="307"/>
      <c r="F151" s="307"/>
      <c r="G151" s="307"/>
      <c r="H151" s="307"/>
      <c r="I151" s="307"/>
      <c r="J151" s="308"/>
      <c r="K151" s="308"/>
      <c r="L151" s="307"/>
      <c r="M151" s="307"/>
      <c r="N151" s="307"/>
      <c r="O151" s="308"/>
      <c r="P151" s="308"/>
      <c r="Q151" s="307"/>
      <c r="R151" s="308"/>
      <c r="S151" s="308"/>
      <c r="T151" s="308"/>
      <c r="U151" s="308"/>
      <c r="V151" s="309"/>
    </row>
    <row r="152" spans="1:22">
      <c r="A152" s="304"/>
      <c r="B152" s="310"/>
      <c r="C152" s="311"/>
      <c r="D152" s="312"/>
      <c r="E152" s="312"/>
      <c r="F152" s="312"/>
      <c r="G152" s="312"/>
      <c r="H152" s="312"/>
      <c r="I152" s="312"/>
      <c r="J152" s="314"/>
      <c r="K152" s="314"/>
      <c r="L152" s="312"/>
      <c r="M152" s="312"/>
      <c r="N152" s="312"/>
      <c r="O152" s="314"/>
      <c r="P152" s="314"/>
      <c r="Q152" s="312"/>
      <c r="R152" s="314"/>
      <c r="S152" s="314"/>
      <c r="T152" s="314"/>
      <c r="U152" s="314"/>
      <c r="V152" s="309"/>
    </row>
    <row r="153" spans="1:22">
      <c r="A153" s="304"/>
      <c r="B153" s="50"/>
      <c r="C153" s="301"/>
      <c r="D153" s="302"/>
      <c r="E153" s="302"/>
      <c r="F153" s="302"/>
      <c r="G153" s="302"/>
      <c r="H153" s="302"/>
      <c r="I153" s="302"/>
      <c r="J153" s="303"/>
      <c r="K153" s="303"/>
      <c r="L153" s="302"/>
      <c r="M153" s="302"/>
      <c r="N153" s="302"/>
      <c r="O153" s="303"/>
      <c r="P153" s="303"/>
      <c r="Q153" s="302"/>
      <c r="R153" s="303"/>
      <c r="S153" s="303"/>
      <c r="T153" s="303"/>
      <c r="U153" s="303"/>
      <c r="V153" s="309"/>
    </row>
    <row r="154" spans="1:22">
      <c r="A154" s="304"/>
      <c r="B154" s="305"/>
      <c r="C154" s="306"/>
      <c r="D154" s="307"/>
      <c r="E154" s="307"/>
      <c r="F154" s="307"/>
      <c r="G154" s="307"/>
      <c r="H154" s="307"/>
      <c r="I154" s="307"/>
      <c r="J154" s="308"/>
      <c r="K154" s="308"/>
      <c r="L154" s="307"/>
      <c r="M154" s="307"/>
      <c r="N154" s="307"/>
      <c r="O154" s="308"/>
      <c r="P154" s="308"/>
      <c r="Q154" s="307"/>
      <c r="R154" s="308"/>
      <c r="S154" s="308"/>
      <c r="T154" s="308"/>
      <c r="U154" s="308"/>
      <c r="V154" s="309"/>
    </row>
    <row r="155" spans="1:22">
      <c r="A155" s="304"/>
      <c r="B155" s="310"/>
      <c r="C155" s="311"/>
      <c r="D155" s="312"/>
      <c r="E155" s="312"/>
      <c r="F155" s="312"/>
      <c r="G155" s="312"/>
      <c r="H155" s="312"/>
      <c r="I155" s="312"/>
      <c r="J155" s="314"/>
      <c r="K155" s="314"/>
      <c r="L155" s="312"/>
      <c r="M155" s="312"/>
      <c r="N155" s="312"/>
      <c r="O155" s="314"/>
      <c r="P155" s="314"/>
      <c r="Q155" s="312"/>
      <c r="R155" s="314"/>
      <c r="S155" s="314"/>
      <c r="T155" s="314"/>
      <c r="U155" s="314"/>
      <c r="V155" s="309"/>
    </row>
    <row r="156" spans="1:22">
      <c r="A156" s="304"/>
      <c r="B156" s="50"/>
      <c r="C156" s="301"/>
      <c r="D156" s="302"/>
      <c r="E156" s="302"/>
      <c r="F156" s="302"/>
      <c r="G156" s="302"/>
      <c r="H156" s="302"/>
      <c r="I156" s="302"/>
      <c r="J156" s="303"/>
      <c r="K156" s="303"/>
      <c r="L156" s="302"/>
      <c r="M156" s="302"/>
      <c r="N156" s="302"/>
      <c r="O156" s="303"/>
      <c r="P156" s="303"/>
      <c r="Q156" s="302"/>
      <c r="R156" s="303"/>
      <c r="S156" s="303"/>
      <c r="T156" s="303"/>
      <c r="U156" s="303"/>
      <c r="V156" s="309"/>
    </row>
    <row r="157" spans="1:22">
      <c r="A157" s="304"/>
      <c r="B157" s="305"/>
      <c r="C157" s="306"/>
      <c r="D157" s="307"/>
      <c r="E157" s="307"/>
      <c r="F157" s="307"/>
      <c r="G157" s="307"/>
      <c r="H157" s="307"/>
      <c r="I157" s="307"/>
      <c r="J157" s="308"/>
      <c r="K157" s="308"/>
      <c r="L157" s="307"/>
      <c r="M157" s="307"/>
      <c r="N157" s="307"/>
      <c r="O157" s="308"/>
      <c r="P157" s="308"/>
      <c r="Q157" s="307"/>
      <c r="R157" s="308"/>
      <c r="S157" s="308"/>
      <c r="T157" s="308"/>
      <c r="U157" s="308"/>
      <c r="V157" s="309"/>
    </row>
    <row r="158" spans="1:22">
      <c r="A158" s="304"/>
      <c r="B158" s="310"/>
      <c r="C158" s="311"/>
      <c r="D158" s="312"/>
      <c r="E158" s="312"/>
      <c r="F158" s="312"/>
      <c r="G158" s="312"/>
      <c r="H158" s="312"/>
      <c r="I158" s="312"/>
      <c r="J158" s="314"/>
      <c r="K158" s="314"/>
      <c r="L158" s="312"/>
      <c r="M158" s="312"/>
      <c r="N158" s="312"/>
      <c r="O158" s="314"/>
      <c r="P158" s="314"/>
      <c r="Q158" s="312"/>
      <c r="R158" s="314"/>
      <c r="S158" s="314"/>
      <c r="T158" s="314"/>
      <c r="U158" s="314"/>
      <c r="V158" s="309"/>
    </row>
    <row r="159" spans="1:22">
      <c r="A159" s="304"/>
      <c r="B159" s="50"/>
      <c r="C159" s="301"/>
      <c r="D159" s="302"/>
      <c r="E159" s="302"/>
      <c r="F159" s="302"/>
      <c r="G159" s="302"/>
      <c r="H159" s="302"/>
      <c r="I159" s="302"/>
      <c r="J159" s="303"/>
      <c r="K159" s="303"/>
      <c r="L159" s="302"/>
      <c r="M159" s="302"/>
      <c r="N159" s="302"/>
      <c r="O159" s="303"/>
      <c r="P159" s="303"/>
      <c r="Q159" s="302"/>
      <c r="R159" s="303"/>
      <c r="S159" s="303"/>
      <c r="T159" s="303"/>
      <c r="U159" s="303"/>
      <c r="V159" s="309"/>
    </row>
    <row r="160" spans="1:22">
      <c r="A160" s="304"/>
      <c r="B160" s="305"/>
      <c r="C160" s="306"/>
      <c r="D160" s="307"/>
      <c r="E160" s="307"/>
      <c r="F160" s="307"/>
      <c r="G160" s="307"/>
      <c r="H160" s="307"/>
      <c r="I160" s="307"/>
      <c r="J160" s="308"/>
      <c r="K160" s="308"/>
      <c r="L160" s="307"/>
      <c r="M160" s="307"/>
      <c r="N160" s="307"/>
      <c r="O160" s="308"/>
      <c r="P160" s="308"/>
      <c r="Q160" s="307"/>
      <c r="R160" s="308"/>
      <c r="S160" s="308"/>
      <c r="T160" s="308"/>
      <c r="U160" s="308"/>
      <c r="V160" s="309"/>
    </row>
    <row r="161" spans="1:22">
      <c r="A161" s="304"/>
      <c r="B161" s="310"/>
      <c r="C161" s="311"/>
      <c r="D161" s="312"/>
      <c r="E161" s="312"/>
      <c r="F161" s="312"/>
      <c r="G161" s="312"/>
      <c r="H161" s="312"/>
      <c r="I161" s="312"/>
      <c r="J161" s="314"/>
      <c r="K161" s="314"/>
      <c r="L161" s="312"/>
      <c r="M161" s="312"/>
      <c r="N161" s="312"/>
      <c r="O161" s="314"/>
      <c r="P161" s="314"/>
      <c r="Q161" s="312"/>
      <c r="R161" s="314"/>
      <c r="S161" s="314"/>
      <c r="T161" s="314"/>
      <c r="U161" s="314"/>
      <c r="V161" s="309"/>
    </row>
    <row r="162" spans="1:22">
      <c r="A162" s="304"/>
      <c r="B162" s="50"/>
      <c r="C162" s="301"/>
      <c r="D162" s="302"/>
      <c r="E162" s="302"/>
      <c r="F162" s="302"/>
      <c r="G162" s="302"/>
      <c r="H162" s="302"/>
      <c r="I162" s="302"/>
      <c r="J162" s="303"/>
      <c r="K162" s="303"/>
      <c r="L162" s="302"/>
      <c r="M162" s="302"/>
      <c r="N162" s="302"/>
      <c r="O162" s="303"/>
      <c r="P162" s="303"/>
      <c r="Q162" s="302"/>
      <c r="R162" s="303"/>
      <c r="S162" s="303"/>
      <c r="T162" s="303"/>
      <c r="U162" s="303"/>
      <c r="V162" s="309"/>
    </row>
    <row r="163" spans="1:22">
      <c r="A163" s="304"/>
      <c r="B163" s="305"/>
      <c r="C163" s="306"/>
      <c r="D163" s="307"/>
      <c r="E163" s="307"/>
      <c r="F163" s="307"/>
      <c r="G163" s="307"/>
      <c r="H163" s="307"/>
      <c r="I163" s="307"/>
      <c r="J163" s="308"/>
      <c r="K163" s="308"/>
      <c r="L163" s="307"/>
      <c r="M163" s="307"/>
      <c r="N163" s="307"/>
      <c r="O163" s="308"/>
      <c r="P163" s="308"/>
      <c r="Q163" s="307"/>
      <c r="R163" s="308"/>
      <c r="S163" s="308"/>
      <c r="T163" s="308"/>
      <c r="U163" s="308"/>
      <c r="V163" s="309"/>
    </row>
    <row r="164" spans="1:22">
      <c r="A164" s="304"/>
      <c r="B164" s="310"/>
      <c r="C164" s="311"/>
      <c r="D164" s="312"/>
      <c r="E164" s="312"/>
      <c r="F164" s="312"/>
      <c r="G164" s="312"/>
      <c r="H164" s="312"/>
      <c r="I164" s="312"/>
      <c r="J164" s="314"/>
      <c r="K164" s="314"/>
      <c r="L164" s="312"/>
      <c r="M164" s="312"/>
      <c r="N164" s="312"/>
      <c r="O164" s="314"/>
      <c r="P164" s="314"/>
      <c r="Q164" s="312"/>
      <c r="R164" s="314"/>
      <c r="S164" s="314"/>
      <c r="T164" s="314"/>
      <c r="U164" s="314"/>
      <c r="V164" s="309"/>
    </row>
    <row r="165" spans="1:22">
      <c r="A165" s="304"/>
      <c r="B165" s="50"/>
      <c r="C165" s="301"/>
      <c r="D165" s="302"/>
      <c r="E165" s="302"/>
      <c r="F165" s="302"/>
      <c r="G165" s="302"/>
      <c r="H165" s="302"/>
      <c r="I165" s="302"/>
      <c r="J165" s="303"/>
      <c r="K165" s="303"/>
      <c r="L165" s="302"/>
      <c r="M165" s="302"/>
      <c r="N165" s="302"/>
      <c r="O165" s="303"/>
      <c r="P165" s="303"/>
      <c r="Q165" s="302"/>
      <c r="R165" s="303"/>
      <c r="S165" s="303"/>
      <c r="T165" s="303"/>
      <c r="U165" s="303"/>
      <c r="V165" s="309"/>
    </row>
    <row r="166" spans="1:22">
      <c r="A166" s="304"/>
      <c r="B166" s="305"/>
      <c r="C166" s="306"/>
      <c r="D166" s="307"/>
      <c r="E166" s="307"/>
      <c r="F166" s="307"/>
      <c r="G166" s="307"/>
      <c r="H166" s="307"/>
      <c r="I166" s="307"/>
      <c r="J166" s="308"/>
      <c r="K166" s="308"/>
      <c r="L166" s="307"/>
      <c r="M166" s="307"/>
      <c r="N166" s="307"/>
      <c r="O166" s="308"/>
      <c r="P166" s="308"/>
      <c r="Q166" s="307"/>
      <c r="R166" s="308"/>
      <c r="S166" s="308"/>
      <c r="T166" s="308"/>
      <c r="U166" s="308"/>
      <c r="V166" s="309"/>
    </row>
    <row r="167" spans="1:22" ht="15.75" thickBot="1">
      <c r="A167" s="304"/>
      <c r="B167" s="316"/>
      <c r="C167" s="317"/>
      <c r="D167" s="318"/>
      <c r="E167" s="318"/>
      <c r="F167" s="318"/>
      <c r="G167" s="318"/>
      <c r="H167" s="318"/>
      <c r="I167" s="318"/>
      <c r="J167" s="319"/>
      <c r="K167" s="319"/>
      <c r="L167" s="318"/>
      <c r="M167" s="318"/>
      <c r="N167" s="318"/>
      <c r="O167" s="319"/>
      <c r="P167" s="319"/>
      <c r="Q167" s="318"/>
      <c r="R167" s="319"/>
      <c r="S167" s="319"/>
      <c r="T167" s="319"/>
      <c r="U167" s="319"/>
      <c r="V167" s="309"/>
    </row>
    <row r="168" spans="1:22" ht="15.75" thickTop="1">
      <c r="A168" s="304"/>
      <c r="B168" s="305"/>
      <c r="C168" s="306"/>
      <c r="D168" s="307"/>
      <c r="E168" s="307"/>
      <c r="F168" s="307"/>
      <c r="G168" s="307"/>
      <c r="H168" s="307"/>
      <c r="I168" s="307"/>
      <c r="J168" s="308"/>
      <c r="K168" s="308"/>
      <c r="L168" s="307"/>
      <c r="M168" s="307"/>
      <c r="N168" s="307"/>
      <c r="O168" s="308"/>
      <c r="P168" s="308"/>
      <c r="Q168" s="307"/>
      <c r="R168" s="308"/>
      <c r="S168" s="308"/>
      <c r="T168" s="308"/>
      <c r="U168" s="308"/>
      <c r="V168" s="309"/>
    </row>
    <row r="169" spans="1:22">
      <c r="A169" s="304"/>
      <c r="B169" s="305"/>
      <c r="C169" s="306"/>
      <c r="D169" s="307"/>
      <c r="E169" s="307"/>
      <c r="F169" s="307"/>
      <c r="G169" s="307"/>
      <c r="H169" s="307"/>
      <c r="I169" s="307"/>
      <c r="J169" s="308"/>
      <c r="K169" s="308"/>
      <c r="L169" s="307"/>
      <c r="M169" s="307"/>
      <c r="N169" s="307"/>
      <c r="O169" s="308"/>
      <c r="P169" s="308"/>
      <c r="Q169" s="307"/>
      <c r="R169" s="308"/>
      <c r="S169" s="308"/>
      <c r="T169" s="308"/>
      <c r="U169" s="308"/>
      <c r="V169" s="309"/>
    </row>
    <row r="170" spans="1:22">
      <c r="A170" s="304"/>
      <c r="B170" s="310"/>
      <c r="C170" s="311"/>
      <c r="D170" s="312"/>
      <c r="E170" s="312"/>
      <c r="F170" s="312"/>
      <c r="G170" s="312"/>
      <c r="H170" s="312"/>
      <c r="I170" s="312"/>
      <c r="J170" s="314"/>
      <c r="K170" s="314"/>
      <c r="L170" s="312"/>
      <c r="M170" s="312"/>
      <c r="N170" s="312"/>
      <c r="O170" s="314"/>
      <c r="P170" s="314"/>
      <c r="Q170" s="312"/>
      <c r="R170" s="314"/>
      <c r="S170" s="314"/>
      <c r="T170" s="314"/>
      <c r="U170" s="314"/>
      <c r="V170" s="309"/>
    </row>
    <row r="171" spans="1:22">
      <c r="A171" s="304"/>
      <c r="B171" s="50"/>
      <c r="C171" s="301"/>
      <c r="D171" s="302"/>
      <c r="E171" s="302"/>
      <c r="F171" s="302"/>
      <c r="G171" s="302"/>
      <c r="H171" s="302"/>
      <c r="I171" s="302"/>
      <c r="J171" s="303"/>
      <c r="K171" s="303"/>
      <c r="L171" s="302"/>
      <c r="M171" s="302"/>
      <c r="N171" s="302"/>
      <c r="O171" s="303"/>
      <c r="P171" s="303"/>
      <c r="Q171" s="302"/>
      <c r="R171" s="303"/>
      <c r="S171" s="303"/>
      <c r="T171" s="303"/>
      <c r="U171" s="303"/>
      <c r="V171" s="309"/>
    </row>
    <row r="172" spans="1:22">
      <c r="A172" s="304"/>
      <c r="B172" s="305"/>
      <c r="C172" s="306"/>
      <c r="D172" s="307"/>
      <c r="E172" s="307"/>
      <c r="F172" s="307"/>
      <c r="G172" s="307"/>
      <c r="H172" s="307"/>
      <c r="I172" s="307"/>
      <c r="J172" s="308"/>
      <c r="K172" s="308"/>
      <c r="L172" s="307"/>
      <c r="M172" s="307"/>
      <c r="N172" s="307"/>
      <c r="O172" s="308"/>
      <c r="P172" s="308"/>
      <c r="Q172" s="307"/>
      <c r="R172" s="308"/>
      <c r="S172" s="308"/>
      <c r="T172" s="308"/>
      <c r="U172" s="308"/>
      <c r="V172" s="309"/>
    </row>
    <row r="173" spans="1:22">
      <c r="A173" s="304"/>
      <c r="B173" s="310"/>
      <c r="C173" s="311"/>
      <c r="D173" s="312"/>
      <c r="E173" s="312"/>
      <c r="F173" s="312"/>
      <c r="G173" s="312"/>
      <c r="H173" s="312"/>
      <c r="I173" s="312"/>
      <c r="J173" s="314"/>
      <c r="K173" s="314"/>
      <c r="L173" s="312"/>
      <c r="M173" s="312"/>
      <c r="N173" s="312"/>
      <c r="O173" s="314"/>
      <c r="P173" s="314"/>
      <c r="Q173" s="312"/>
      <c r="R173" s="314"/>
      <c r="S173" s="314"/>
      <c r="T173" s="314"/>
      <c r="U173" s="314"/>
      <c r="V173" s="309"/>
    </row>
    <row r="174" spans="1:22">
      <c r="A174" s="304"/>
      <c r="B174" s="50"/>
      <c r="C174" s="301"/>
      <c r="D174" s="302"/>
      <c r="E174" s="302"/>
      <c r="F174" s="302"/>
      <c r="G174" s="302"/>
      <c r="H174" s="302"/>
      <c r="I174" s="302"/>
      <c r="J174" s="303"/>
      <c r="K174" s="303"/>
      <c r="L174" s="302"/>
      <c r="M174" s="302"/>
      <c r="N174" s="302"/>
      <c r="O174" s="303"/>
      <c r="P174" s="303"/>
      <c r="Q174" s="302"/>
      <c r="R174" s="303"/>
      <c r="S174" s="303"/>
      <c r="T174" s="303"/>
      <c r="U174" s="303"/>
      <c r="V174" s="309"/>
    </row>
    <row r="175" spans="1:22">
      <c r="A175" s="304"/>
      <c r="B175" s="305"/>
      <c r="C175" s="306"/>
      <c r="D175" s="307"/>
      <c r="E175" s="307"/>
      <c r="F175" s="307"/>
      <c r="G175" s="307"/>
      <c r="H175" s="307"/>
      <c r="I175" s="307"/>
      <c r="J175" s="308"/>
      <c r="K175" s="308"/>
      <c r="L175" s="307"/>
      <c r="M175" s="307"/>
      <c r="N175" s="307"/>
      <c r="O175" s="308"/>
      <c r="P175" s="308"/>
      <c r="Q175" s="307"/>
      <c r="R175" s="308"/>
      <c r="S175" s="308"/>
      <c r="T175" s="308"/>
      <c r="U175" s="308"/>
      <c r="V175" s="309"/>
    </row>
    <row r="176" spans="1:22">
      <c r="A176" s="304"/>
      <c r="B176" s="310"/>
      <c r="C176" s="311"/>
      <c r="D176" s="312"/>
      <c r="E176" s="312"/>
      <c r="F176" s="312"/>
      <c r="G176" s="312"/>
      <c r="H176" s="312"/>
      <c r="I176" s="312"/>
      <c r="J176" s="314"/>
      <c r="K176" s="314"/>
      <c r="L176" s="312"/>
      <c r="M176" s="312"/>
      <c r="N176" s="312"/>
      <c r="O176" s="314"/>
      <c r="P176" s="314"/>
      <c r="Q176" s="312"/>
      <c r="R176" s="314"/>
      <c r="S176" s="314"/>
      <c r="T176" s="314"/>
      <c r="U176" s="314"/>
      <c r="V176" s="309"/>
    </row>
    <row r="177" spans="1:22">
      <c r="A177" s="304"/>
      <c r="B177" s="50"/>
      <c r="C177" s="301"/>
      <c r="D177" s="302"/>
      <c r="E177" s="302"/>
      <c r="F177" s="302"/>
      <c r="G177" s="302"/>
      <c r="H177" s="302"/>
      <c r="I177" s="302"/>
      <c r="J177" s="303"/>
      <c r="K177" s="303"/>
      <c r="L177" s="302"/>
      <c r="M177" s="302"/>
      <c r="N177" s="302"/>
      <c r="O177" s="303"/>
      <c r="P177" s="303"/>
      <c r="Q177" s="302"/>
      <c r="R177" s="303"/>
      <c r="S177" s="303"/>
      <c r="T177" s="303"/>
      <c r="U177" s="303"/>
      <c r="V177" s="309"/>
    </row>
    <row r="178" spans="1:22">
      <c r="A178" s="304"/>
      <c r="B178" s="305"/>
      <c r="C178" s="306"/>
      <c r="D178" s="307"/>
      <c r="E178" s="307"/>
      <c r="F178" s="307"/>
      <c r="G178" s="307"/>
      <c r="H178" s="307"/>
      <c r="I178" s="307"/>
      <c r="J178" s="308"/>
      <c r="K178" s="308"/>
      <c r="L178" s="307"/>
      <c r="M178" s="307"/>
      <c r="N178" s="307"/>
      <c r="O178" s="308"/>
      <c r="P178" s="308"/>
      <c r="Q178" s="307"/>
      <c r="R178" s="308"/>
      <c r="S178" s="308"/>
      <c r="T178" s="308"/>
      <c r="U178" s="308"/>
      <c r="V178" s="309"/>
    </row>
    <row r="179" spans="1:22">
      <c r="A179" s="304"/>
      <c r="B179" s="310"/>
      <c r="C179" s="311"/>
      <c r="D179" s="312"/>
      <c r="E179" s="312"/>
      <c r="F179" s="312"/>
      <c r="G179" s="312"/>
      <c r="H179" s="312"/>
      <c r="I179" s="312"/>
      <c r="J179" s="314"/>
      <c r="K179" s="314"/>
      <c r="L179" s="312"/>
      <c r="M179" s="312"/>
      <c r="N179" s="312"/>
      <c r="O179" s="314"/>
      <c r="P179" s="314"/>
      <c r="Q179" s="312"/>
      <c r="R179" s="314"/>
      <c r="S179" s="314"/>
      <c r="T179" s="314"/>
      <c r="U179" s="314"/>
      <c r="V179" s="309"/>
    </row>
    <row r="180" spans="1:22">
      <c r="A180" s="304"/>
      <c r="B180" s="50"/>
      <c r="C180" s="301"/>
      <c r="D180" s="302"/>
      <c r="E180" s="302"/>
      <c r="F180" s="302"/>
      <c r="G180" s="302"/>
      <c r="H180" s="302"/>
      <c r="I180" s="302"/>
      <c r="J180" s="303"/>
      <c r="K180" s="303"/>
      <c r="L180" s="302"/>
      <c r="M180" s="302"/>
      <c r="N180" s="302"/>
      <c r="O180" s="303"/>
      <c r="P180" s="303"/>
      <c r="Q180" s="302"/>
      <c r="R180" s="303"/>
      <c r="S180" s="303"/>
      <c r="T180" s="303"/>
      <c r="U180" s="303"/>
      <c r="V180" s="309"/>
    </row>
    <row r="181" spans="1:22">
      <c r="A181" s="304"/>
      <c r="B181" s="305"/>
      <c r="C181" s="306"/>
      <c r="D181" s="307"/>
      <c r="E181" s="307"/>
      <c r="F181" s="307"/>
      <c r="G181" s="307"/>
      <c r="H181" s="307"/>
      <c r="I181" s="307"/>
      <c r="J181" s="308"/>
      <c r="K181" s="308"/>
      <c r="L181" s="307"/>
      <c r="M181" s="307"/>
      <c r="N181" s="307"/>
      <c r="O181" s="308"/>
      <c r="P181" s="308"/>
      <c r="Q181" s="307"/>
      <c r="R181" s="308"/>
      <c r="S181" s="308"/>
      <c r="T181" s="308"/>
      <c r="U181" s="308"/>
      <c r="V181" s="309"/>
    </row>
    <row r="182" spans="1:22">
      <c r="A182" s="304"/>
      <c r="B182" s="310"/>
      <c r="C182" s="311"/>
      <c r="D182" s="312"/>
      <c r="E182" s="312"/>
      <c r="F182" s="312"/>
      <c r="G182" s="312"/>
      <c r="H182" s="312"/>
      <c r="I182" s="312"/>
      <c r="J182" s="314"/>
      <c r="K182" s="314"/>
      <c r="L182" s="312"/>
      <c r="M182" s="312"/>
      <c r="N182" s="312"/>
      <c r="O182" s="314"/>
      <c r="P182" s="314"/>
      <c r="Q182" s="312"/>
      <c r="R182" s="314"/>
      <c r="S182" s="314"/>
      <c r="T182" s="314"/>
      <c r="U182" s="314"/>
      <c r="V182" s="309"/>
    </row>
    <row r="183" spans="1:22">
      <c r="A183" s="304"/>
      <c r="B183" s="50"/>
      <c r="C183" s="301"/>
      <c r="D183" s="302"/>
      <c r="E183" s="302"/>
      <c r="F183" s="302"/>
      <c r="G183" s="302"/>
      <c r="H183" s="302"/>
      <c r="I183" s="302"/>
      <c r="J183" s="303"/>
      <c r="K183" s="303"/>
      <c r="L183" s="302"/>
      <c r="M183" s="302"/>
      <c r="N183" s="302"/>
      <c r="O183" s="303"/>
      <c r="P183" s="303"/>
      <c r="Q183" s="302"/>
      <c r="R183" s="303"/>
      <c r="S183" s="303"/>
      <c r="T183" s="303"/>
      <c r="U183" s="303"/>
      <c r="V183" s="309"/>
    </row>
    <row r="184" spans="1:22">
      <c r="A184" s="304"/>
      <c r="B184" s="305"/>
      <c r="C184" s="306"/>
      <c r="D184" s="307"/>
      <c r="E184" s="307"/>
      <c r="F184" s="307"/>
      <c r="G184" s="307"/>
      <c r="H184" s="307"/>
      <c r="I184" s="307"/>
      <c r="J184" s="308"/>
      <c r="K184" s="308"/>
      <c r="L184" s="307"/>
      <c r="M184" s="307"/>
      <c r="N184" s="307"/>
      <c r="O184" s="308"/>
      <c r="P184" s="308"/>
      <c r="Q184" s="307"/>
      <c r="R184" s="308"/>
      <c r="S184" s="308"/>
      <c r="T184" s="308"/>
      <c r="U184" s="308"/>
      <c r="V184" s="309"/>
    </row>
    <row r="185" spans="1:22" ht="15.75" thickBot="1">
      <c r="A185" s="320"/>
      <c r="B185" s="321"/>
      <c r="C185" s="322"/>
      <c r="D185" s="323"/>
      <c r="E185" s="323"/>
      <c r="F185" s="323"/>
      <c r="G185" s="323"/>
      <c r="H185" s="323"/>
      <c r="I185" s="323"/>
      <c r="J185" s="324"/>
      <c r="K185" s="324"/>
      <c r="L185" s="323"/>
      <c r="M185" s="323"/>
      <c r="N185" s="323"/>
      <c r="O185" s="324"/>
      <c r="P185" s="324"/>
      <c r="Q185" s="323"/>
      <c r="R185" s="324"/>
      <c r="S185" s="324"/>
      <c r="T185" s="324"/>
      <c r="U185" s="324"/>
      <c r="V185" s="309"/>
    </row>
    <row r="186" spans="1:22">
      <c r="A186" s="300"/>
      <c r="B186" s="50"/>
      <c r="C186" s="301"/>
      <c r="D186" s="302"/>
      <c r="E186" s="302"/>
      <c r="F186" s="302"/>
      <c r="G186" s="302"/>
      <c r="H186" s="302"/>
      <c r="I186" s="302"/>
      <c r="J186" s="303"/>
      <c r="K186" s="303"/>
      <c r="L186" s="302"/>
      <c r="M186" s="302"/>
      <c r="N186" s="302"/>
      <c r="O186" s="303"/>
      <c r="P186" s="303"/>
      <c r="Q186" s="302"/>
      <c r="R186" s="303"/>
      <c r="S186" s="303"/>
      <c r="T186" s="303"/>
      <c r="U186" s="303"/>
      <c r="V186" s="309"/>
    </row>
    <row r="187" spans="1:22">
      <c r="A187" s="304"/>
      <c r="B187" s="305"/>
      <c r="C187" s="306"/>
      <c r="D187" s="307"/>
      <c r="E187" s="307"/>
      <c r="F187" s="307"/>
      <c r="G187" s="307"/>
      <c r="H187" s="307"/>
      <c r="I187" s="307"/>
      <c r="J187" s="308"/>
      <c r="K187" s="308"/>
      <c r="L187" s="307"/>
      <c r="M187" s="307"/>
      <c r="N187" s="307"/>
      <c r="O187" s="308"/>
      <c r="P187" s="308"/>
      <c r="Q187" s="307"/>
      <c r="R187" s="308"/>
      <c r="S187" s="308"/>
      <c r="T187" s="308"/>
      <c r="U187" s="308"/>
      <c r="V187" s="309"/>
    </row>
    <row r="188" spans="1:22">
      <c r="A188" s="304"/>
      <c r="B188" s="310"/>
      <c r="C188" s="311"/>
      <c r="D188" s="312"/>
      <c r="E188" s="312"/>
      <c r="F188" s="312"/>
      <c r="G188" s="312"/>
      <c r="H188" s="312"/>
      <c r="I188" s="312"/>
      <c r="J188" s="314"/>
      <c r="K188" s="314"/>
      <c r="L188" s="312"/>
      <c r="M188" s="312"/>
      <c r="N188" s="312"/>
      <c r="O188" s="314"/>
      <c r="P188" s="314"/>
      <c r="Q188" s="312"/>
      <c r="R188" s="314"/>
      <c r="S188" s="314"/>
      <c r="T188" s="314"/>
      <c r="U188" s="314"/>
      <c r="V188" s="309"/>
    </row>
    <row r="189" spans="1:22">
      <c r="A189" s="304"/>
      <c r="B189" s="50"/>
      <c r="C189" s="301"/>
      <c r="D189" s="302"/>
      <c r="E189" s="302"/>
      <c r="F189" s="302"/>
      <c r="G189" s="302"/>
      <c r="H189" s="302"/>
      <c r="I189" s="302"/>
      <c r="J189" s="303"/>
      <c r="K189" s="303"/>
      <c r="L189" s="302"/>
      <c r="M189" s="302"/>
      <c r="N189" s="302"/>
      <c r="O189" s="303"/>
      <c r="P189" s="303"/>
      <c r="Q189" s="302"/>
      <c r="R189" s="303"/>
      <c r="S189" s="303"/>
      <c r="T189" s="303"/>
      <c r="U189" s="303"/>
      <c r="V189" s="309"/>
    </row>
    <row r="190" spans="1:22">
      <c r="A190" s="304"/>
      <c r="B190" s="305"/>
      <c r="C190" s="306"/>
      <c r="D190" s="307"/>
      <c r="E190" s="307"/>
      <c r="F190" s="307"/>
      <c r="G190" s="307"/>
      <c r="H190" s="307"/>
      <c r="I190" s="307"/>
      <c r="J190" s="308"/>
      <c r="K190" s="308"/>
      <c r="L190" s="307"/>
      <c r="M190" s="307"/>
      <c r="N190" s="307"/>
      <c r="O190" s="308"/>
      <c r="P190" s="308"/>
      <c r="Q190" s="307"/>
      <c r="R190" s="308"/>
      <c r="S190" s="308"/>
      <c r="T190" s="308"/>
      <c r="U190" s="308"/>
      <c r="V190" s="309"/>
    </row>
    <row r="191" spans="1:22">
      <c r="A191" s="304"/>
      <c r="B191" s="310"/>
      <c r="C191" s="311"/>
      <c r="D191" s="312"/>
      <c r="E191" s="312"/>
      <c r="F191" s="312"/>
      <c r="G191" s="312"/>
      <c r="H191" s="312"/>
      <c r="I191" s="312"/>
      <c r="J191" s="314"/>
      <c r="K191" s="314"/>
      <c r="L191" s="312"/>
      <c r="M191" s="312"/>
      <c r="N191" s="312"/>
      <c r="O191" s="314"/>
      <c r="P191" s="314"/>
      <c r="Q191" s="312"/>
      <c r="R191" s="314"/>
      <c r="S191" s="314"/>
      <c r="T191" s="314"/>
      <c r="U191" s="314"/>
      <c r="V191" s="309"/>
    </row>
    <row r="192" spans="1:22">
      <c r="A192" s="304"/>
      <c r="B192" s="50"/>
      <c r="C192" s="301"/>
      <c r="D192" s="302"/>
      <c r="E192" s="302"/>
      <c r="F192" s="302"/>
      <c r="G192" s="302"/>
      <c r="H192" s="302"/>
      <c r="I192" s="302"/>
      <c r="J192" s="303"/>
      <c r="K192" s="303"/>
      <c r="L192" s="302"/>
      <c r="M192" s="302"/>
      <c r="N192" s="302"/>
      <c r="O192" s="303"/>
      <c r="P192" s="303"/>
      <c r="Q192" s="302"/>
      <c r="R192" s="303"/>
      <c r="S192" s="303"/>
      <c r="T192" s="303"/>
      <c r="U192" s="303"/>
      <c r="V192" s="309"/>
    </row>
    <row r="193" spans="1:22">
      <c r="A193" s="304"/>
      <c r="B193" s="305"/>
      <c r="C193" s="306"/>
      <c r="D193" s="307"/>
      <c r="E193" s="307"/>
      <c r="F193" s="307"/>
      <c r="G193" s="307"/>
      <c r="H193" s="307"/>
      <c r="I193" s="307"/>
      <c r="J193" s="308"/>
      <c r="K193" s="308"/>
      <c r="L193" s="307"/>
      <c r="M193" s="307"/>
      <c r="N193" s="307"/>
      <c r="O193" s="308"/>
      <c r="P193" s="308"/>
      <c r="Q193" s="307"/>
      <c r="R193" s="308"/>
      <c r="S193" s="308"/>
      <c r="T193" s="308"/>
      <c r="U193" s="308"/>
      <c r="V193" s="309"/>
    </row>
    <row r="194" spans="1:22">
      <c r="A194" s="304"/>
      <c r="B194" s="310"/>
      <c r="C194" s="311"/>
      <c r="D194" s="312"/>
      <c r="E194" s="312"/>
      <c r="F194" s="312"/>
      <c r="G194" s="312"/>
      <c r="H194" s="312"/>
      <c r="I194" s="312"/>
      <c r="J194" s="314"/>
      <c r="K194" s="314"/>
      <c r="L194" s="312"/>
      <c r="M194" s="312"/>
      <c r="N194" s="312"/>
      <c r="O194" s="314"/>
      <c r="P194" s="314"/>
      <c r="Q194" s="312"/>
      <c r="R194" s="314"/>
      <c r="S194" s="314"/>
      <c r="T194" s="314"/>
      <c r="U194" s="314"/>
      <c r="V194" s="309"/>
    </row>
    <row r="195" spans="1:22">
      <c r="A195" s="304"/>
      <c r="B195" s="50"/>
      <c r="C195" s="301"/>
      <c r="D195" s="302"/>
      <c r="E195" s="302"/>
      <c r="F195" s="302"/>
      <c r="G195" s="302"/>
      <c r="H195" s="302"/>
      <c r="I195" s="302"/>
      <c r="J195" s="303"/>
      <c r="K195" s="303"/>
      <c r="L195" s="302"/>
      <c r="M195" s="302"/>
      <c r="N195" s="302"/>
      <c r="O195" s="303"/>
      <c r="P195" s="303"/>
      <c r="Q195" s="302"/>
      <c r="R195" s="303"/>
      <c r="S195" s="303"/>
      <c r="T195" s="303"/>
      <c r="U195" s="303"/>
      <c r="V195" s="309"/>
    </row>
    <row r="196" spans="1:22">
      <c r="A196" s="304"/>
      <c r="B196" s="305"/>
      <c r="C196" s="306"/>
      <c r="D196" s="307"/>
      <c r="E196" s="307"/>
      <c r="F196" s="307"/>
      <c r="G196" s="307"/>
      <c r="H196" s="307"/>
      <c r="I196" s="307"/>
      <c r="J196" s="308"/>
      <c r="K196" s="308"/>
      <c r="L196" s="307"/>
      <c r="M196" s="307"/>
      <c r="N196" s="307"/>
      <c r="O196" s="308"/>
      <c r="P196" s="308"/>
      <c r="Q196" s="307"/>
      <c r="R196" s="308"/>
      <c r="S196" s="308"/>
      <c r="T196" s="308"/>
      <c r="U196" s="308"/>
      <c r="V196" s="309"/>
    </row>
    <row r="197" spans="1:22">
      <c r="A197" s="304"/>
      <c r="B197" s="310"/>
      <c r="C197" s="311"/>
      <c r="D197" s="312"/>
      <c r="E197" s="312"/>
      <c r="F197" s="312"/>
      <c r="G197" s="312"/>
      <c r="H197" s="312"/>
      <c r="I197" s="312"/>
      <c r="J197" s="314"/>
      <c r="K197" s="314"/>
      <c r="L197" s="312"/>
      <c r="M197" s="312"/>
      <c r="N197" s="312"/>
      <c r="O197" s="314"/>
      <c r="P197" s="314"/>
      <c r="Q197" s="312"/>
      <c r="R197" s="314"/>
      <c r="S197" s="314"/>
      <c r="T197" s="314"/>
      <c r="U197" s="314"/>
      <c r="V197" s="309"/>
    </row>
    <row r="198" spans="1:22">
      <c r="A198" s="304"/>
      <c r="B198" s="50"/>
      <c r="C198" s="301"/>
      <c r="D198" s="302"/>
      <c r="E198" s="302"/>
      <c r="F198" s="302"/>
      <c r="G198" s="302"/>
      <c r="H198" s="302"/>
      <c r="I198" s="302"/>
      <c r="J198" s="303"/>
      <c r="K198" s="303"/>
      <c r="L198" s="302"/>
      <c r="M198" s="302"/>
      <c r="N198" s="302"/>
      <c r="O198" s="303"/>
      <c r="P198" s="303"/>
      <c r="Q198" s="302"/>
      <c r="R198" s="303"/>
      <c r="S198" s="303"/>
      <c r="T198" s="303"/>
      <c r="U198" s="303"/>
      <c r="V198" s="309"/>
    </row>
    <row r="199" spans="1:22">
      <c r="A199" s="304"/>
      <c r="B199" s="305"/>
      <c r="C199" s="306"/>
      <c r="D199" s="307"/>
      <c r="E199" s="307"/>
      <c r="F199" s="307"/>
      <c r="G199" s="307"/>
      <c r="H199" s="307"/>
      <c r="I199" s="307"/>
      <c r="J199" s="308"/>
      <c r="K199" s="308"/>
      <c r="L199" s="307"/>
      <c r="M199" s="307"/>
      <c r="N199" s="307"/>
      <c r="O199" s="308"/>
      <c r="P199" s="308"/>
      <c r="Q199" s="307"/>
      <c r="R199" s="308"/>
      <c r="S199" s="308"/>
      <c r="T199" s="308"/>
      <c r="U199" s="308"/>
      <c r="V199" s="309"/>
    </row>
    <row r="200" spans="1:22">
      <c r="A200" s="304"/>
      <c r="B200" s="310"/>
      <c r="C200" s="311"/>
      <c r="D200" s="312"/>
      <c r="E200" s="312"/>
      <c r="F200" s="312"/>
      <c r="G200" s="312"/>
      <c r="H200" s="312"/>
      <c r="I200" s="312"/>
      <c r="J200" s="314"/>
      <c r="K200" s="314"/>
      <c r="L200" s="312"/>
      <c r="M200" s="312"/>
      <c r="N200" s="312"/>
      <c r="O200" s="314"/>
      <c r="P200" s="314"/>
      <c r="Q200" s="312"/>
      <c r="R200" s="314"/>
      <c r="S200" s="314"/>
      <c r="T200" s="314"/>
      <c r="U200" s="314"/>
      <c r="V200" s="309"/>
    </row>
    <row r="201" spans="1:22">
      <c r="A201" s="304"/>
      <c r="B201" s="50"/>
      <c r="C201" s="301"/>
      <c r="D201" s="302"/>
      <c r="E201" s="302"/>
      <c r="F201" s="302"/>
      <c r="G201" s="302"/>
      <c r="H201" s="302"/>
      <c r="I201" s="302"/>
      <c r="J201" s="303"/>
      <c r="K201" s="303"/>
      <c r="L201" s="302"/>
      <c r="M201" s="302"/>
      <c r="N201" s="302"/>
      <c r="O201" s="303"/>
      <c r="P201" s="303"/>
      <c r="Q201" s="302"/>
      <c r="R201" s="303"/>
      <c r="S201" s="303"/>
      <c r="T201" s="303"/>
      <c r="U201" s="303"/>
      <c r="V201" s="309"/>
    </row>
    <row r="202" spans="1:22">
      <c r="A202" s="304"/>
      <c r="B202" s="305"/>
      <c r="C202" s="306"/>
      <c r="D202" s="307"/>
      <c r="E202" s="307"/>
      <c r="F202" s="307"/>
      <c r="G202" s="307"/>
      <c r="H202" s="307"/>
      <c r="I202" s="307"/>
      <c r="J202" s="308"/>
      <c r="K202" s="308"/>
      <c r="L202" s="307"/>
      <c r="M202" s="307"/>
      <c r="N202" s="307"/>
      <c r="O202" s="308"/>
      <c r="P202" s="308"/>
      <c r="Q202" s="307"/>
      <c r="R202" s="308"/>
      <c r="S202" s="308"/>
      <c r="T202" s="308"/>
      <c r="U202" s="308"/>
      <c r="V202" s="309"/>
    </row>
    <row r="203" spans="1:22" ht="15.75" thickBot="1">
      <c r="A203" s="304"/>
      <c r="B203" s="316"/>
      <c r="C203" s="317"/>
      <c r="D203" s="318"/>
      <c r="E203" s="318"/>
      <c r="F203" s="318"/>
      <c r="G203" s="318"/>
      <c r="H203" s="318"/>
      <c r="I203" s="318"/>
      <c r="J203" s="319"/>
      <c r="K203" s="319"/>
      <c r="L203" s="318"/>
      <c r="M203" s="318"/>
      <c r="N203" s="318"/>
      <c r="O203" s="319"/>
      <c r="P203" s="319"/>
      <c r="Q203" s="318"/>
      <c r="R203" s="319"/>
      <c r="S203" s="319"/>
      <c r="T203" s="319"/>
      <c r="U203" s="319"/>
      <c r="V203" s="309"/>
    </row>
    <row r="204" spans="1:22" ht="15.75" thickTop="1">
      <c r="A204" s="304"/>
      <c r="B204" s="305"/>
      <c r="C204" s="306"/>
      <c r="D204" s="307"/>
      <c r="E204" s="307"/>
      <c r="F204" s="307"/>
      <c r="G204" s="307"/>
      <c r="H204" s="307"/>
      <c r="I204" s="307"/>
      <c r="J204" s="308"/>
      <c r="K204" s="308"/>
      <c r="L204" s="307"/>
      <c r="M204" s="307"/>
      <c r="N204" s="307"/>
      <c r="O204" s="308"/>
      <c r="P204" s="308"/>
      <c r="Q204" s="307"/>
      <c r="R204" s="308"/>
      <c r="S204" s="308"/>
      <c r="T204" s="308"/>
      <c r="U204" s="308"/>
      <c r="V204" s="309"/>
    </row>
    <row r="205" spans="1:22">
      <c r="A205" s="304"/>
      <c r="B205" s="305"/>
      <c r="C205" s="306"/>
      <c r="D205" s="307"/>
      <c r="E205" s="307"/>
      <c r="F205" s="307"/>
      <c r="G205" s="307"/>
      <c r="H205" s="307"/>
      <c r="I205" s="307"/>
      <c r="J205" s="308"/>
      <c r="K205" s="308"/>
      <c r="L205" s="307"/>
      <c r="M205" s="307"/>
      <c r="N205" s="307"/>
      <c r="O205" s="308"/>
      <c r="P205" s="308"/>
      <c r="Q205" s="307"/>
      <c r="R205" s="308"/>
      <c r="S205" s="308"/>
      <c r="T205" s="308"/>
      <c r="U205" s="308"/>
      <c r="V205" s="309"/>
    </row>
    <row r="206" spans="1:22">
      <c r="A206" s="304"/>
      <c r="B206" s="310"/>
      <c r="C206" s="311"/>
      <c r="D206" s="312"/>
      <c r="E206" s="312"/>
      <c r="F206" s="312"/>
      <c r="G206" s="312"/>
      <c r="H206" s="312"/>
      <c r="I206" s="312"/>
      <c r="J206" s="314"/>
      <c r="K206" s="314"/>
      <c r="L206" s="312"/>
      <c r="M206" s="312"/>
      <c r="N206" s="312"/>
      <c r="O206" s="314"/>
      <c r="P206" s="314"/>
      <c r="Q206" s="312"/>
      <c r="R206" s="314"/>
      <c r="S206" s="314"/>
      <c r="T206" s="314"/>
      <c r="U206" s="314"/>
      <c r="V206" s="309"/>
    </row>
    <row r="207" spans="1:22">
      <c r="A207" s="304"/>
      <c r="B207" s="50"/>
      <c r="C207" s="301"/>
      <c r="D207" s="302"/>
      <c r="E207" s="302"/>
      <c r="F207" s="302"/>
      <c r="G207" s="302"/>
      <c r="H207" s="302"/>
      <c r="I207" s="302"/>
      <c r="J207" s="303"/>
      <c r="K207" s="303"/>
      <c r="L207" s="302"/>
      <c r="M207" s="302"/>
      <c r="N207" s="302"/>
      <c r="O207" s="303"/>
      <c r="P207" s="303"/>
      <c r="Q207" s="302"/>
      <c r="R207" s="303"/>
      <c r="S207" s="303"/>
      <c r="T207" s="303"/>
      <c r="U207" s="303"/>
      <c r="V207" s="309"/>
    </row>
    <row r="208" spans="1:22">
      <c r="A208" s="304"/>
      <c r="B208" s="305"/>
      <c r="C208" s="306"/>
      <c r="D208" s="307"/>
      <c r="E208" s="307"/>
      <c r="F208" s="307"/>
      <c r="G208" s="307"/>
      <c r="H208" s="307"/>
      <c r="I208" s="307"/>
      <c r="J208" s="308"/>
      <c r="K208" s="308"/>
      <c r="L208" s="307"/>
      <c r="M208" s="307"/>
      <c r="N208" s="307"/>
      <c r="O208" s="308"/>
      <c r="P208" s="308"/>
      <c r="Q208" s="307"/>
      <c r="R208" s="308"/>
      <c r="S208" s="308"/>
      <c r="T208" s="308"/>
      <c r="U208" s="308"/>
      <c r="V208" s="309"/>
    </row>
    <row r="209" spans="1:22">
      <c r="A209" s="304"/>
      <c r="B209" s="310"/>
      <c r="C209" s="311"/>
      <c r="D209" s="312"/>
      <c r="E209" s="312"/>
      <c r="F209" s="312"/>
      <c r="G209" s="312"/>
      <c r="H209" s="312"/>
      <c r="I209" s="312"/>
      <c r="J209" s="314"/>
      <c r="K209" s="314"/>
      <c r="L209" s="312"/>
      <c r="M209" s="312"/>
      <c r="N209" s="312"/>
      <c r="O209" s="314"/>
      <c r="P209" s="314"/>
      <c r="Q209" s="312"/>
      <c r="R209" s="314"/>
      <c r="S209" s="314"/>
      <c r="T209" s="314"/>
      <c r="U209" s="314"/>
      <c r="V209" s="309"/>
    </row>
    <row r="210" spans="1:22">
      <c r="A210" s="304"/>
      <c r="B210" s="50"/>
      <c r="C210" s="301"/>
      <c r="D210" s="302"/>
      <c r="E210" s="302"/>
      <c r="F210" s="302"/>
      <c r="G210" s="302"/>
      <c r="H210" s="302"/>
      <c r="I210" s="302"/>
      <c r="J210" s="303"/>
      <c r="K210" s="303"/>
      <c r="L210" s="302"/>
      <c r="M210" s="302"/>
      <c r="N210" s="302"/>
      <c r="O210" s="303"/>
      <c r="P210" s="303"/>
      <c r="Q210" s="302"/>
      <c r="R210" s="303"/>
      <c r="S210" s="303"/>
      <c r="T210" s="303"/>
      <c r="U210" s="303"/>
      <c r="V210" s="309"/>
    </row>
    <row r="211" spans="1:22">
      <c r="A211" s="304"/>
      <c r="B211" s="305"/>
      <c r="C211" s="306"/>
      <c r="D211" s="307"/>
      <c r="E211" s="307"/>
      <c r="F211" s="307"/>
      <c r="G211" s="307"/>
      <c r="H211" s="307"/>
      <c r="I211" s="307"/>
      <c r="J211" s="308"/>
      <c r="K211" s="308"/>
      <c r="L211" s="307"/>
      <c r="M211" s="307"/>
      <c r="N211" s="307"/>
      <c r="O211" s="308"/>
      <c r="P211" s="308"/>
      <c r="Q211" s="307"/>
      <c r="R211" s="308"/>
      <c r="S211" s="308"/>
      <c r="T211" s="308"/>
      <c r="U211" s="308"/>
      <c r="V211" s="309"/>
    </row>
    <row r="212" spans="1:22">
      <c r="A212" s="304"/>
      <c r="B212" s="310"/>
      <c r="C212" s="311"/>
      <c r="D212" s="312"/>
      <c r="E212" s="312"/>
      <c r="F212" s="312"/>
      <c r="G212" s="312"/>
      <c r="H212" s="312"/>
      <c r="I212" s="312"/>
      <c r="J212" s="314"/>
      <c r="K212" s="314"/>
      <c r="L212" s="312"/>
      <c r="M212" s="312"/>
      <c r="N212" s="312"/>
      <c r="O212" s="314"/>
      <c r="P212" s="314"/>
      <c r="Q212" s="312"/>
      <c r="R212" s="314"/>
      <c r="S212" s="314"/>
      <c r="T212" s="314"/>
      <c r="U212" s="314"/>
      <c r="V212" s="309"/>
    </row>
    <row r="213" spans="1:22">
      <c r="A213" s="304"/>
      <c r="B213" s="50"/>
      <c r="C213" s="301"/>
      <c r="D213" s="302"/>
      <c r="E213" s="302"/>
      <c r="F213" s="302"/>
      <c r="G213" s="302"/>
      <c r="H213" s="302"/>
      <c r="I213" s="302"/>
      <c r="J213" s="303"/>
      <c r="K213" s="303"/>
      <c r="L213" s="302"/>
      <c r="M213" s="302"/>
      <c r="N213" s="302"/>
      <c r="O213" s="303"/>
      <c r="P213" s="303"/>
      <c r="Q213" s="302"/>
      <c r="R213" s="303"/>
      <c r="S213" s="303"/>
      <c r="T213" s="303"/>
      <c r="U213" s="303"/>
      <c r="V213" s="309"/>
    </row>
    <row r="214" spans="1:22">
      <c r="A214" s="304"/>
      <c r="B214" s="305"/>
      <c r="C214" s="306"/>
      <c r="D214" s="307"/>
      <c r="E214" s="307"/>
      <c r="F214" s="307"/>
      <c r="G214" s="307"/>
      <c r="H214" s="307"/>
      <c r="I214" s="307"/>
      <c r="J214" s="308"/>
      <c r="K214" s="308"/>
      <c r="L214" s="307"/>
      <c r="M214" s="307"/>
      <c r="N214" s="307"/>
      <c r="O214" s="308"/>
      <c r="P214" s="308"/>
      <c r="Q214" s="307"/>
      <c r="R214" s="308"/>
      <c r="S214" s="308"/>
      <c r="T214" s="308"/>
      <c r="U214" s="308"/>
      <c r="V214" s="309"/>
    </row>
    <row r="215" spans="1:22">
      <c r="A215" s="304"/>
      <c r="B215" s="310"/>
      <c r="C215" s="311"/>
      <c r="D215" s="312"/>
      <c r="E215" s="312"/>
      <c r="F215" s="312"/>
      <c r="G215" s="312"/>
      <c r="H215" s="312"/>
      <c r="I215" s="312"/>
      <c r="J215" s="314"/>
      <c r="K215" s="314"/>
      <c r="L215" s="312"/>
      <c r="M215" s="312"/>
      <c r="N215" s="312"/>
      <c r="O215" s="314"/>
      <c r="P215" s="314"/>
      <c r="Q215" s="312"/>
      <c r="R215" s="314"/>
      <c r="S215" s="314"/>
      <c r="T215" s="314"/>
      <c r="U215" s="314"/>
      <c r="V215" s="309"/>
    </row>
    <row r="216" spans="1:22">
      <c r="A216" s="304"/>
      <c r="B216" s="50"/>
      <c r="C216" s="301"/>
      <c r="D216" s="302"/>
      <c r="E216" s="302"/>
      <c r="F216" s="302"/>
      <c r="G216" s="302"/>
      <c r="H216" s="302"/>
      <c r="I216" s="302"/>
      <c r="J216" s="303"/>
      <c r="K216" s="303"/>
      <c r="L216" s="302"/>
      <c r="M216" s="302"/>
      <c r="N216" s="302"/>
      <c r="O216" s="303"/>
      <c r="P216" s="303"/>
      <c r="Q216" s="302"/>
      <c r="R216" s="303"/>
      <c r="S216" s="303"/>
      <c r="T216" s="303"/>
      <c r="U216" s="303"/>
      <c r="V216" s="309"/>
    </row>
    <row r="217" spans="1:22">
      <c r="A217" s="304"/>
      <c r="B217" s="305"/>
      <c r="C217" s="306"/>
      <c r="D217" s="307"/>
      <c r="E217" s="307"/>
      <c r="F217" s="307"/>
      <c r="G217" s="307"/>
      <c r="H217" s="307"/>
      <c r="I217" s="307"/>
      <c r="J217" s="308"/>
      <c r="K217" s="308"/>
      <c r="L217" s="307"/>
      <c r="M217" s="307"/>
      <c r="N217" s="307"/>
      <c r="O217" s="308"/>
      <c r="P217" s="308"/>
      <c r="Q217" s="307"/>
      <c r="R217" s="308"/>
      <c r="S217" s="308"/>
      <c r="T217" s="308"/>
      <c r="U217" s="308"/>
      <c r="V217" s="309"/>
    </row>
    <row r="218" spans="1:22">
      <c r="A218" s="304"/>
      <c r="B218" s="310"/>
      <c r="C218" s="311"/>
      <c r="D218" s="312"/>
      <c r="E218" s="312"/>
      <c r="F218" s="312"/>
      <c r="G218" s="312"/>
      <c r="H218" s="312"/>
      <c r="I218" s="312"/>
      <c r="J218" s="314"/>
      <c r="K218" s="314"/>
      <c r="L218" s="312"/>
      <c r="M218" s="312"/>
      <c r="N218" s="312"/>
      <c r="O218" s="314"/>
      <c r="P218" s="314"/>
      <c r="Q218" s="312"/>
      <c r="R218" s="314"/>
      <c r="S218" s="314"/>
      <c r="T218" s="314"/>
      <c r="U218" s="314"/>
      <c r="V218" s="309"/>
    </row>
    <row r="219" spans="1:22">
      <c r="A219" s="304"/>
      <c r="B219" s="50"/>
      <c r="C219" s="301"/>
      <c r="D219" s="302"/>
      <c r="E219" s="302"/>
      <c r="F219" s="302"/>
      <c r="G219" s="302"/>
      <c r="H219" s="302"/>
      <c r="I219" s="302"/>
      <c r="J219" s="303"/>
      <c r="K219" s="303"/>
      <c r="L219" s="302"/>
      <c r="M219" s="302"/>
      <c r="N219" s="302"/>
      <c r="O219" s="303"/>
      <c r="P219" s="303"/>
      <c r="Q219" s="302"/>
      <c r="R219" s="303"/>
      <c r="S219" s="303"/>
      <c r="T219" s="303"/>
      <c r="U219" s="303"/>
      <c r="V219" s="309"/>
    </row>
    <row r="220" spans="1:22">
      <c r="A220" s="304"/>
      <c r="B220" s="305"/>
      <c r="C220" s="306"/>
      <c r="D220" s="307"/>
      <c r="E220" s="307"/>
      <c r="F220" s="307"/>
      <c r="G220" s="307"/>
      <c r="H220" s="307"/>
      <c r="I220" s="307"/>
      <c r="J220" s="308"/>
      <c r="K220" s="308"/>
      <c r="L220" s="307"/>
      <c r="M220" s="307"/>
      <c r="N220" s="307"/>
      <c r="O220" s="308"/>
      <c r="P220" s="308"/>
      <c r="Q220" s="307"/>
      <c r="R220" s="308"/>
      <c r="S220" s="308"/>
      <c r="T220" s="308"/>
      <c r="U220" s="308"/>
      <c r="V220" s="309"/>
    </row>
    <row r="221" spans="1:22" ht="15.75" thickBot="1">
      <c r="A221" s="320"/>
      <c r="B221" s="321"/>
      <c r="C221" s="322"/>
      <c r="D221" s="323"/>
      <c r="E221" s="323"/>
      <c r="F221" s="323"/>
      <c r="G221" s="323"/>
      <c r="H221" s="323"/>
      <c r="I221" s="323"/>
      <c r="J221" s="324"/>
      <c r="K221" s="324"/>
      <c r="L221" s="323"/>
      <c r="M221" s="323"/>
      <c r="N221" s="323"/>
      <c r="O221" s="324"/>
      <c r="P221" s="324"/>
      <c r="Q221" s="323"/>
      <c r="R221" s="324"/>
      <c r="S221" s="324"/>
      <c r="T221" s="324"/>
      <c r="U221" s="324"/>
      <c r="V221" s="309"/>
    </row>
    <row r="222" spans="1:22">
      <c r="A222" s="300"/>
      <c r="B222" s="50"/>
      <c r="C222" s="301"/>
      <c r="D222" s="302"/>
      <c r="E222" s="302"/>
      <c r="F222" s="302"/>
      <c r="G222" s="302"/>
      <c r="H222" s="302"/>
      <c r="I222" s="302"/>
      <c r="J222" s="303"/>
      <c r="K222" s="303"/>
      <c r="L222" s="302"/>
      <c r="M222" s="302"/>
      <c r="N222" s="302"/>
      <c r="O222" s="303"/>
      <c r="P222" s="303"/>
      <c r="Q222" s="302"/>
      <c r="R222" s="303"/>
      <c r="S222" s="303"/>
      <c r="T222" s="303"/>
      <c r="U222" s="303"/>
      <c r="V222" s="309"/>
    </row>
    <row r="223" spans="1:22">
      <c r="A223" s="304"/>
      <c r="B223" s="305"/>
      <c r="C223" s="306"/>
      <c r="D223" s="307"/>
      <c r="E223" s="307"/>
      <c r="F223" s="307"/>
      <c r="G223" s="307"/>
      <c r="H223" s="307"/>
      <c r="I223" s="307"/>
      <c r="J223" s="308"/>
      <c r="K223" s="308"/>
      <c r="L223" s="307"/>
      <c r="M223" s="307"/>
      <c r="N223" s="307"/>
      <c r="O223" s="308"/>
      <c r="P223" s="308"/>
      <c r="Q223" s="307"/>
      <c r="R223" s="308"/>
      <c r="S223" s="308"/>
      <c r="T223" s="308"/>
      <c r="U223" s="308"/>
      <c r="V223" s="309"/>
    </row>
    <row r="224" spans="1:22">
      <c r="A224" s="304"/>
      <c r="B224" s="310"/>
      <c r="C224" s="311"/>
      <c r="D224" s="312"/>
      <c r="E224" s="312"/>
      <c r="F224" s="312"/>
      <c r="G224" s="312"/>
      <c r="H224" s="312"/>
      <c r="I224" s="312"/>
      <c r="J224" s="314"/>
      <c r="K224" s="314"/>
      <c r="L224" s="312"/>
      <c r="M224" s="312"/>
      <c r="N224" s="312"/>
      <c r="O224" s="314"/>
      <c r="P224" s="314"/>
      <c r="Q224" s="312"/>
      <c r="R224" s="314"/>
      <c r="S224" s="314"/>
      <c r="T224" s="314"/>
      <c r="U224" s="314"/>
      <c r="V224" s="309"/>
    </row>
    <row r="225" spans="1:22">
      <c r="A225" s="304"/>
      <c r="B225" s="50"/>
      <c r="C225" s="301"/>
      <c r="D225" s="302"/>
      <c r="E225" s="302"/>
      <c r="F225" s="302"/>
      <c r="G225" s="302"/>
      <c r="H225" s="302"/>
      <c r="I225" s="302"/>
      <c r="J225" s="303"/>
      <c r="K225" s="303"/>
      <c r="L225" s="302"/>
      <c r="M225" s="302"/>
      <c r="N225" s="302"/>
      <c r="O225" s="303"/>
      <c r="P225" s="303"/>
      <c r="Q225" s="302"/>
      <c r="R225" s="303"/>
      <c r="S225" s="303"/>
      <c r="T225" s="303"/>
      <c r="U225" s="303"/>
      <c r="V225" s="309"/>
    </row>
    <row r="226" spans="1:22">
      <c r="A226" s="304"/>
      <c r="B226" s="305"/>
      <c r="C226" s="306"/>
      <c r="D226" s="307"/>
      <c r="E226" s="307"/>
      <c r="F226" s="307"/>
      <c r="G226" s="307"/>
      <c r="H226" s="307"/>
      <c r="I226" s="307"/>
      <c r="J226" s="308"/>
      <c r="K226" s="308"/>
      <c r="L226" s="307"/>
      <c r="M226" s="307"/>
      <c r="N226" s="307"/>
      <c r="O226" s="308"/>
      <c r="P226" s="308"/>
      <c r="Q226" s="307"/>
      <c r="R226" s="308"/>
      <c r="S226" s="308"/>
      <c r="T226" s="308"/>
      <c r="U226" s="308"/>
      <c r="V226" s="309"/>
    </row>
    <row r="227" spans="1:22">
      <c r="A227" s="304"/>
      <c r="B227" s="310"/>
      <c r="C227" s="311"/>
      <c r="D227" s="312"/>
      <c r="E227" s="312"/>
      <c r="F227" s="312"/>
      <c r="G227" s="312"/>
      <c r="H227" s="312"/>
      <c r="I227" s="312"/>
      <c r="J227" s="314"/>
      <c r="K227" s="314"/>
      <c r="L227" s="312"/>
      <c r="M227" s="312"/>
      <c r="N227" s="312"/>
      <c r="O227" s="314"/>
      <c r="P227" s="314"/>
      <c r="Q227" s="312"/>
      <c r="R227" s="314"/>
      <c r="S227" s="314"/>
      <c r="T227" s="314"/>
      <c r="U227" s="314"/>
      <c r="V227" s="309"/>
    </row>
    <row r="228" spans="1:22">
      <c r="A228" s="304"/>
      <c r="B228" s="50"/>
      <c r="C228" s="301"/>
      <c r="D228" s="302"/>
      <c r="E228" s="302"/>
      <c r="F228" s="302"/>
      <c r="G228" s="302"/>
      <c r="H228" s="302"/>
      <c r="I228" s="302"/>
      <c r="J228" s="303"/>
      <c r="K228" s="303"/>
      <c r="L228" s="302"/>
      <c r="M228" s="302"/>
      <c r="N228" s="302"/>
      <c r="O228" s="303"/>
      <c r="P228" s="303"/>
      <c r="Q228" s="302"/>
      <c r="R228" s="303"/>
      <c r="S228" s="303"/>
      <c r="T228" s="303"/>
      <c r="U228" s="303"/>
      <c r="V228" s="309"/>
    </row>
    <row r="229" spans="1:22">
      <c r="A229" s="304"/>
      <c r="B229" s="305"/>
      <c r="C229" s="306"/>
      <c r="D229" s="307"/>
      <c r="E229" s="307"/>
      <c r="F229" s="307"/>
      <c r="G229" s="307"/>
      <c r="H229" s="307"/>
      <c r="I229" s="307"/>
      <c r="J229" s="308"/>
      <c r="K229" s="308"/>
      <c r="L229" s="307"/>
      <c r="M229" s="307"/>
      <c r="N229" s="307"/>
      <c r="O229" s="308"/>
      <c r="P229" s="308"/>
      <c r="Q229" s="307"/>
      <c r="R229" s="308"/>
      <c r="S229" s="308"/>
      <c r="T229" s="308"/>
      <c r="U229" s="308"/>
      <c r="V229" s="309"/>
    </row>
    <row r="230" spans="1:22">
      <c r="A230" s="304"/>
      <c r="B230" s="310"/>
      <c r="C230" s="311"/>
      <c r="D230" s="312"/>
      <c r="E230" s="312"/>
      <c r="F230" s="312"/>
      <c r="G230" s="312"/>
      <c r="H230" s="312"/>
      <c r="I230" s="312"/>
      <c r="J230" s="314"/>
      <c r="K230" s="314"/>
      <c r="L230" s="312"/>
      <c r="M230" s="312"/>
      <c r="N230" s="312"/>
      <c r="O230" s="314"/>
      <c r="P230" s="314"/>
      <c r="Q230" s="312"/>
      <c r="R230" s="314"/>
      <c r="S230" s="314"/>
      <c r="T230" s="314"/>
      <c r="U230" s="314"/>
      <c r="V230" s="309"/>
    </row>
    <row r="231" spans="1:22">
      <c r="A231" s="304"/>
      <c r="B231" s="50"/>
      <c r="C231" s="301"/>
      <c r="D231" s="302"/>
      <c r="E231" s="302"/>
      <c r="F231" s="302"/>
      <c r="G231" s="302"/>
      <c r="H231" s="302"/>
      <c r="I231" s="302"/>
      <c r="J231" s="303"/>
      <c r="K231" s="303"/>
      <c r="L231" s="302"/>
      <c r="M231" s="302"/>
      <c r="N231" s="302"/>
      <c r="O231" s="303"/>
      <c r="P231" s="303"/>
      <c r="Q231" s="302"/>
      <c r="R231" s="303"/>
      <c r="S231" s="303"/>
      <c r="T231" s="303"/>
      <c r="U231" s="303"/>
      <c r="V231" s="309"/>
    </row>
    <row r="232" spans="1:22">
      <c r="A232" s="304"/>
      <c r="B232" s="305"/>
      <c r="C232" s="306"/>
      <c r="D232" s="307"/>
      <c r="E232" s="307"/>
      <c r="F232" s="307"/>
      <c r="G232" s="307"/>
      <c r="H232" s="307"/>
      <c r="I232" s="307"/>
      <c r="J232" s="308"/>
      <c r="K232" s="308"/>
      <c r="L232" s="307"/>
      <c r="M232" s="307"/>
      <c r="N232" s="307"/>
      <c r="O232" s="308"/>
      <c r="P232" s="308"/>
      <c r="Q232" s="307"/>
      <c r="R232" s="308"/>
      <c r="S232" s="308"/>
      <c r="T232" s="308"/>
      <c r="U232" s="308"/>
      <c r="V232" s="309"/>
    </row>
    <row r="233" spans="1:22">
      <c r="A233" s="304"/>
      <c r="B233" s="310"/>
      <c r="C233" s="311"/>
      <c r="D233" s="312"/>
      <c r="E233" s="312"/>
      <c r="F233" s="312"/>
      <c r="G233" s="312"/>
      <c r="H233" s="312"/>
      <c r="I233" s="312"/>
      <c r="J233" s="314"/>
      <c r="K233" s="314"/>
      <c r="L233" s="312"/>
      <c r="M233" s="312"/>
      <c r="N233" s="312"/>
      <c r="O233" s="314"/>
      <c r="P233" s="314"/>
      <c r="Q233" s="312"/>
      <c r="R233" s="314"/>
      <c r="S233" s="314"/>
      <c r="T233" s="314"/>
      <c r="U233" s="314"/>
      <c r="V233" s="309"/>
    </row>
    <row r="234" spans="1:22">
      <c r="A234" s="304"/>
      <c r="B234" s="50"/>
      <c r="C234" s="301"/>
      <c r="D234" s="302"/>
      <c r="E234" s="302"/>
      <c r="F234" s="302"/>
      <c r="G234" s="302"/>
      <c r="H234" s="302"/>
      <c r="I234" s="302"/>
      <c r="J234" s="303"/>
      <c r="K234" s="303"/>
      <c r="L234" s="302"/>
      <c r="M234" s="302"/>
      <c r="N234" s="302"/>
      <c r="O234" s="303"/>
      <c r="P234" s="303"/>
      <c r="Q234" s="302"/>
      <c r="R234" s="303"/>
      <c r="S234" s="303"/>
      <c r="T234" s="303"/>
      <c r="U234" s="303"/>
      <c r="V234" s="309"/>
    </row>
    <row r="235" spans="1:22">
      <c r="A235" s="304"/>
      <c r="B235" s="305"/>
      <c r="C235" s="306"/>
      <c r="D235" s="307"/>
      <c r="E235" s="307"/>
      <c r="F235" s="307"/>
      <c r="G235" s="307"/>
      <c r="H235" s="307"/>
      <c r="I235" s="307"/>
      <c r="J235" s="308"/>
      <c r="K235" s="308"/>
      <c r="L235" s="307"/>
      <c r="M235" s="307"/>
      <c r="N235" s="307"/>
      <c r="O235" s="308"/>
      <c r="P235" s="308"/>
      <c r="Q235" s="307"/>
      <c r="R235" s="308"/>
      <c r="S235" s="308"/>
      <c r="T235" s="308"/>
      <c r="U235" s="308"/>
      <c r="V235" s="309"/>
    </row>
    <row r="236" spans="1:22">
      <c r="A236" s="304"/>
      <c r="B236" s="310"/>
      <c r="C236" s="311"/>
      <c r="D236" s="312"/>
      <c r="E236" s="312"/>
      <c r="F236" s="312"/>
      <c r="G236" s="312"/>
      <c r="H236" s="312"/>
      <c r="I236" s="312"/>
      <c r="J236" s="314"/>
      <c r="K236" s="314"/>
      <c r="L236" s="312"/>
      <c r="M236" s="312"/>
      <c r="N236" s="312"/>
      <c r="O236" s="314"/>
      <c r="P236" s="314"/>
      <c r="Q236" s="312"/>
      <c r="R236" s="314"/>
      <c r="S236" s="314"/>
      <c r="T236" s="314"/>
      <c r="U236" s="314"/>
      <c r="V236" s="309"/>
    </row>
    <row r="237" spans="1:22">
      <c r="A237" s="304"/>
      <c r="B237" s="50"/>
      <c r="C237" s="301"/>
      <c r="D237" s="302"/>
      <c r="E237" s="302"/>
      <c r="F237" s="302"/>
      <c r="G237" s="302"/>
      <c r="H237" s="302"/>
      <c r="I237" s="302"/>
      <c r="J237" s="303"/>
      <c r="K237" s="303"/>
      <c r="L237" s="302"/>
      <c r="M237" s="302"/>
      <c r="N237" s="302"/>
      <c r="O237" s="303"/>
      <c r="P237" s="303"/>
      <c r="Q237" s="302"/>
      <c r="R237" s="303"/>
      <c r="S237" s="303"/>
      <c r="T237" s="303"/>
      <c r="U237" s="303"/>
      <c r="V237" s="309"/>
    </row>
    <row r="238" spans="1:22">
      <c r="A238" s="304"/>
      <c r="B238" s="305"/>
      <c r="C238" s="306"/>
      <c r="D238" s="307"/>
      <c r="E238" s="307"/>
      <c r="F238" s="307"/>
      <c r="G238" s="307"/>
      <c r="H238" s="307"/>
      <c r="I238" s="307"/>
      <c r="J238" s="308"/>
      <c r="K238" s="308"/>
      <c r="L238" s="307"/>
      <c r="M238" s="307"/>
      <c r="N238" s="307"/>
      <c r="O238" s="308"/>
      <c r="P238" s="308"/>
      <c r="Q238" s="307"/>
      <c r="R238" s="308"/>
      <c r="S238" s="308"/>
      <c r="T238" s="308"/>
      <c r="U238" s="308"/>
      <c r="V238" s="309"/>
    </row>
    <row r="239" spans="1:22" ht="15.75" thickBot="1">
      <c r="A239" s="304"/>
      <c r="B239" s="316"/>
      <c r="C239" s="317"/>
      <c r="D239" s="318"/>
      <c r="E239" s="318"/>
      <c r="F239" s="318"/>
      <c r="G239" s="318"/>
      <c r="H239" s="318"/>
      <c r="I239" s="318"/>
      <c r="J239" s="319"/>
      <c r="K239" s="319"/>
      <c r="L239" s="318"/>
      <c r="M239" s="318"/>
      <c r="N239" s="318"/>
      <c r="O239" s="319"/>
      <c r="P239" s="319"/>
      <c r="Q239" s="318"/>
      <c r="R239" s="319"/>
      <c r="S239" s="319"/>
      <c r="T239" s="319"/>
      <c r="U239" s="319"/>
      <c r="V239" s="309"/>
    </row>
    <row r="240" spans="1:22" ht="15.75" thickTop="1">
      <c r="A240" s="304"/>
      <c r="B240" s="305"/>
      <c r="C240" s="306"/>
      <c r="D240" s="307"/>
      <c r="E240" s="307"/>
      <c r="F240" s="307"/>
      <c r="G240" s="307"/>
      <c r="H240" s="307"/>
      <c r="I240" s="307"/>
      <c r="J240" s="308"/>
      <c r="K240" s="308"/>
      <c r="L240" s="307"/>
      <c r="M240" s="307"/>
      <c r="N240" s="307"/>
      <c r="O240" s="308"/>
      <c r="P240" s="308"/>
      <c r="Q240" s="307"/>
      <c r="R240" s="308"/>
      <c r="S240" s="308"/>
      <c r="T240" s="308"/>
      <c r="U240" s="308"/>
      <c r="V240" s="309"/>
    </row>
    <row r="241" spans="1:22">
      <c r="A241" s="304"/>
      <c r="B241" s="305"/>
      <c r="C241" s="306"/>
      <c r="D241" s="307"/>
      <c r="E241" s="307"/>
      <c r="F241" s="307"/>
      <c r="G241" s="307"/>
      <c r="H241" s="307"/>
      <c r="I241" s="307"/>
      <c r="J241" s="308"/>
      <c r="K241" s="308"/>
      <c r="L241" s="307"/>
      <c r="M241" s="307"/>
      <c r="N241" s="307"/>
      <c r="O241" s="308"/>
      <c r="P241" s="308"/>
      <c r="Q241" s="307"/>
      <c r="R241" s="308"/>
      <c r="S241" s="308"/>
      <c r="T241" s="308"/>
      <c r="U241" s="308"/>
      <c r="V241" s="309"/>
    </row>
    <row r="242" spans="1:22">
      <c r="A242" s="304"/>
      <c r="B242" s="310"/>
      <c r="C242" s="311"/>
      <c r="D242" s="312"/>
      <c r="E242" s="312"/>
      <c r="F242" s="312"/>
      <c r="G242" s="312"/>
      <c r="H242" s="312"/>
      <c r="I242" s="312"/>
      <c r="J242" s="314"/>
      <c r="K242" s="314"/>
      <c r="L242" s="312"/>
      <c r="M242" s="312"/>
      <c r="N242" s="312"/>
      <c r="O242" s="314"/>
      <c r="P242" s="314"/>
      <c r="Q242" s="312"/>
      <c r="R242" s="314"/>
      <c r="S242" s="314"/>
      <c r="T242" s="314"/>
      <c r="U242" s="314"/>
      <c r="V242" s="309"/>
    </row>
    <row r="243" spans="1:22">
      <c r="A243" s="304"/>
      <c r="B243" s="50"/>
      <c r="C243" s="301"/>
      <c r="D243" s="302"/>
      <c r="E243" s="302"/>
      <c r="F243" s="302"/>
      <c r="G243" s="302"/>
      <c r="H243" s="302"/>
      <c r="I243" s="302"/>
      <c r="J243" s="303"/>
      <c r="K243" s="303"/>
      <c r="L243" s="302"/>
      <c r="M243" s="302"/>
      <c r="N243" s="302"/>
      <c r="O243" s="303"/>
      <c r="P243" s="303"/>
      <c r="Q243" s="302"/>
      <c r="R243" s="303"/>
      <c r="S243" s="303"/>
      <c r="T243" s="303"/>
      <c r="U243" s="303"/>
      <c r="V243" s="309"/>
    </row>
    <row r="244" spans="1:22">
      <c r="A244" s="304"/>
      <c r="B244" s="305"/>
      <c r="C244" s="306"/>
      <c r="D244" s="307"/>
      <c r="E244" s="307"/>
      <c r="F244" s="307"/>
      <c r="G244" s="307"/>
      <c r="H244" s="307"/>
      <c r="I244" s="307"/>
      <c r="J244" s="308"/>
      <c r="K244" s="308"/>
      <c r="L244" s="307"/>
      <c r="M244" s="307"/>
      <c r="N244" s="307"/>
      <c r="O244" s="308"/>
      <c r="P244" s="308"/>
      <c r="Q244" s="307"/>
      <c r="R244" s="308"/>
      <c r="S244" s="308"/>
      <c r="T244" s="308"/>
      <c r="U244" s="308"/>
      <c r="V244" s="309"/>
    </row>
    <row r="245" spans="1:22">
      <c r="A245" s="304"/>
      <c r="B245" s="310"/>
      <c r="C245" s="311"/>
      <c r="D245" s="312"/>
      <c r="E245" s="312"/>
      <c r="F245" s="312"/>
      <c r="G245" s="312"/>
      <c r="H245" s="312"/>
      <c r="I245" s="312"/>
      <c r="J245" s="314"/>
      <c r="K245" s="314"/>
      <c r="L245" s="312"/>
      <c r="M245" s="312"/>
      <c r="N245" s="312"/>
      <c r="O245" s="314"/>
      <c r="P245" s="314"/>
      <c r="Q245" s="312"/>
      <c r="R245" s="314"/>
      <c r="S245" s="314"/>
      <c r="T245" s="314"/>
      <c r="U245" s="314"/>
      <c r="V245" s="309"/>
    </row>
    <row r="246" spans="1:22">
      <c r="A246" s="304"/>
      <c r="B246" s="50"/>
      <c r="C246" s="301"/>
      <c r="D246" s="302"/>
      <c r="E246" s="302"/>
      <c r="F246" s="302"/>
      <c r="G246" s="302"/>
      <c r="H246" s="302"/>
      <c r="I246" s="302"/>
      <c r="J246" s="303"/>
      <c r="K246" s="303"/>
      <c r="L246" s="302"/>
      <c r="M246" s="302"/>
      <c r="N246" s="302"/>
      <c r="O246" s="303"/>
      <c r="P246" s="303"/>
      <c r="Q246" s="302"/>
      <c r="R246" s="303"/>
      <c r="S246" s="303"/>
      <c r="T246" s="303"/>
      <c r="U246" s="303"/>
      <c r="V246" s="309"/>
    </row>
    <row r="247" spans="1:22">
      <c r="A247" s="304"/>
      <c r="B247" s="305"/>
      <c r="C247" s="306"/>
      <c r="D247" s="307"/>
      <c r="E247" s="307"/>
      <c r="F247" s="307"/>
      <c r="G247" s="307"/>
      <c r="H247" s="307"/>
      <c r="I247" s="307"/>
      <c r="J247" s="308"/>
      <c r="K247" s="308"/>
      <c r="L247" s="307"/>
      <c r="M247" s="307"/>
      <c r="N247" s="307"/>
      <c r="O247" s="308"/>
      <c r="P247" s="308"/>
      <c r="Q247" s="307"/>
      <c r="R247" s="308"/>
      <c r="S247" s="308"/>
      <c r="T247" s="308"/>
      <c r="U247" s="308"/>
      <c r="V247" s="309"/>
    </row>
    <row r="248" spans="1:22">
      <c r="A248" s="304"/>
      <c r="B248" s="310"/>
      <c r="C248" s="311"/>
      <c r="D248" s="312"/>
      <c r="E248" s="312"/>
      <c r="F248" s="312"/>
      <c r="G248" s="312"/>
      <c r="H248" s="312"/>
      <c r="I248" s="312"/>
      <c r="J248" s="314"/>
      <c r="K248" s="314"/>
      <c r="L248" s="312"/>
      <c r="M248" s="312"/>
      <c r="N248" s="312"/>
      <c r="O248" s="314"/>
      <c r="P248" s="314"/>
      <c r="Q248" s="312"/>
      <c r="R248" s="314"/>
      <c r="S248" s="314"/>
      <c r="T248" s="314"/>
      <c r="U248" s="314"/>
      <c r="V248" s="309"/>
    </row>
    <row r="249" spans="1:22">
      <c r="A249" s="304"/>
      <c r="B249" s="50"/>
      <c r="C249" s="301"/>
      <c r="D249" s="302"/>
      <c r="E249" s="302"/>
      <c r="F249" s="302"/>
      <c r="G249" s="302"/>
      <c r="H249" s="302"/>
      <c r="I249" s="302"/>
      <c r="J249" s="303"/>
      <c r="K249" s="303"/>
      <c r="L249" s="302"/>
      <c r="M249" s="302"/>
      <c r="N249" s="302"/>
      <c r="O249" s="303"/>
      <c r="P249" s="303"/>
      <c r="Q249" s="302"/>
      <c r="R249" s="303"/>
      <c r="S249" s="303"/>
      <c r="T249" s="303"/>
      <c r="U249" s="303"/>
      <c r="V249" s="309"/>
    </row>
    <row r="250" spans="1:22">
      <c r="A250" s="304"/>
      <c r="B250" s="305"/>
      <c r="C250" s="306"/>
      <c r="D250" s="307"/>
      <c r="E250" s="307"/>
      <c r="F250" s="307"/>
      <c r="G250" s="307"/>
      <c r="H250" s="307"/>
      <c r="I250" s="307"/>
      <c r="J250" s="308"/>
      <c r="K250" s="308"/>
      <c r="L250" s="307"/>
      <c r="M250" s="307"/>
      <c r="N250" s="307"/>
      <c r="O250" s="308"/>
      <c r="P250" s="308"/>
      <c r="Q250" s="307"/>
      <c r="R250" s="308"/>
      <c r="S250" s="308"/>
      <c r="T250" s="308"/>
      <c r="U250" s="308"/>
      <c r="V250" s="309"/>
    </row>
    <row r="251" spans="1:22">
      <c r="A251" s="304"/>
      <c r="B251" s="310"/>
      <c r="C251" s="311"/>
      <c r="D251" s="312"/>
      <c r="E251" s="312"/>
      <c r="F251" s="312"/>
      <c r="G251" s="312"/>
      <c r="H251" s="312"/>
      <c r="I251" s="312"/>
      <c r="J251" s="314"/>
      <c r="K251" s="314"/>
      <c r="L251" s="312"/>
      <c r="M251" s="312"/>
      <c r="N251" s="312"/>
      <c r="O251" s="314"/>
      <c r="P251" s="314"/>
      <c r="Q251" s="312"/>
      <c r="R251" s="314"/>
      <c r="S251" s="314"/>
      <c r="T251" s="314"/>
      <c r="U251" s="314"/>
      <c r="V251" s="309"/>
    </row>
    <row r="252" spans="1:22">
      <c r="A252" s="304"/>
      <c r="B252" s="50"/>
      <c r="C252" s="301"/>
      <c r="D252" s="302"/>
      <c r="E252" s="302"/>
      <c r="F252" s="302"/>
      <c r="G252" s="302"/>
      <c r="H252" s="302"/>
      <c r="I252" s="302"/>
      <c r="J252" s="303"/>
      <c r="K252" s="303"/>
      <c r="L252" s="302"/>
      <c r="M252" s="302"/>
      <c r="N252" s="302"/>
      <c r="O252" s="303"/>
      <c r="P252" s="303"/>
      <c r="Q252" s="302"/>
      <c r="R252" s="303"/>
      <c r="S252" s="303"/>
      <c r="T252" s="303"/>
      <c r="U252" s="303"/>
      <c r="V252" s="309"/>
    </row>
    <row r="253" spans="1:22">
      <c r="A253" s="304"/>
      <c r="B253" s="305"/>
      <c r="C253" s="306"/>
      <c r="D253" s="307"/>
      <c r="E253" s="307"/>
      <c r="F253" s="307"/>
      <c r="G253" s="307"/>
      <c r="H253" s="307"/>
      <c r="I253" s="307"/>
      <c r="J253" s="308"/>
      <c r="K253" s="308"/>
      <c r="L253" s="307"/>
      <c r="M253" s="307"/>
      <c r="N253" s="307"/>
      <c r="O253" s="308"/>
      <c r="P253" s="308"/>
      <c r="Q253" s="307"/>
      <c r="R253" s="308"/>
      <c r="S253" s="308"/>
      <c r="T253" s="308"/>
      <c r="U253" s="308"/>
      <c r="V253" s="309"/>
    </row>
    <row r="254" spans="1:22">
      <c r="A254" s="304"/>
      <c r="B254" s="310"/>
      <c r="C254" s="311"/>
      <c r="D254" s="312"/>
      <c r="E254" s="312"/>
      <c r="F254" s="312"/>
      <c r="G254" s="312"/>
      <c r="H254" s="312"/>
      <c r="I254" s="312"/>
      <c r="J254" s="314"/>
      <c r="K254" s="314"/>
      <c r="L254" s="312"/>
      <c r="M254" s="312"/>
      <c r="N254" s="312"/>
      <c r="O254" s="314"/>
      <c r="P254" s="314"/>
      <c r="Q254" s="312"/>
      <c r="R254" s="314"/>
      <c r="S254" s="314"/>
      <c r="T254" s="314"/>
      <c r="U254" s="314"/>
      <c r="V254" s="309"/>
    </row>
    <row r="255" spans="1:22">
      <c r="A255" s="304"/>
      <c r="B255" s="50"/>
      <c r="C255" s="301"/>
      <c r="D255" s="302"/>
      <c r="E255" s="302"/>
      <c r="F255" s="302"/>
      <c r="G255" s="302"/>
      <c r="H255" s="302"/>
      <c r="I255" s="302"/>
      <c r="J255" s="303"/>
      <c r="K255" s="303"/>
      <c r="L255" s="302"/>
      <c r="M255" s="302"/>
      <c r="N255" s="302"/>
      <c r="O255" s="303"/>
      <c r="P255" s="303"/>
      <c r="Q255" s="302"/>
      <c r="R255" s="303"/>
      <c r="S255" s="303"/>
      <c r="T255" s="303"/>
      <c r="U255" s="303"/>
      <c r="V255" s="309"/>
    </row>
    <row r="256" spans="1:22">
      <c r="A256" s="304"/>
      <c r="B256" s="305"/>
      <c r="C256" s="306"/>
      <c r="D256" s="307"/>
      <c r="E256" s="307"/>
      <c r="F256" s="307"/>
      <c r="G256" s="307"/>
      <c r="H256" s="307"/>
      <c r="I256" s="307"/>
      <c r="J256" s="308"/>
      <c r="K256" s="308"/>
      <c r="L256" s="307"/>
      <c r="M256" s="307"/>
      <c r="N256" s="307"/>
      <c r="O256" s="308"/>
      <c r="P256" s="308"/>
      <c r="Q256" s="307"/>
      <c r="R256" s="308"/>
      <c r="S256" s="308"/>
      <c r="T256" s="308"/>
      <c r="U256" s="308"/>
      <c r="V256" s="309"/>
    </row>
    <row r="257" spans="1:22" ht="15.75" thickBot="1">
      <c r="A257" s="320"/>
      <c r="B257" s="321"/>
      <c r="C257" s="322"/>
      <c r="D257" s="323"/>
      <c r="E257" s="323"/>
      <c r="F257" s="323"/>
      <c r="G257" s="323"/>
      <c r="H257" s="323"/>
      <c r="I257" s="323"/>
      <c r="J257" s="324"/>
      <c r="K257" s="324"/>
      <c r="L257" s="323"/>
      <c r="M257" s="323"/>
      <c r="N257" s="323"/>
      <c r="O257" s="324"/>
      <c r="P257" s="324"/>
      <c r="Q257" s="323"/>
      <c r="R257" s="324"/>
      <c r="S257" s="324"/>
      <c r="T257" s="324"/>
      <c r="U257" s="324"/>
      <c r="V257" s="309"/>
    </row>
    <row r="258" spans="1:22">
      <c r="A258" s="300"/>
      <c r="B258" s="50"/>
      <c r="C258" s="301"/>
      <c r="D258" s="302"/>
      <c r="E258" s="302"/>
      <c r="F258" s="302"/>
      <c r="G258" s="302"/>
      <c r="H258" s="302"/>
      <c r="I258" s="302"/>
      <c r="J258" s="303"/>
      <c r="K258" s="303"/>
      <c r="L258" s="302"/>
      <c r="M258" s="302"/>
      <c r="N258" s="302"/>
      <c r="O258" s="303"/>
      <c r="P258" s="303"/>
      <c r="Q258" s="302"/>
      <c r="R258" s="303"/>
      <c r="S258" s="303"/>
      <c r="T258" s="303"/>
      <c r="U258" s="303"/>
      <c r="V258" s="309"/>
    </row>
    <row r="259" spans="1:22">
      <c r="A259" s="304"/>
      <c r="B259" s="305"/>
      <c r="C259" s="306"/>
      <c r="D259" s="307"/>
      <c r="E259" s="307"/>
      <c r="F259" s="307"/>
      <c r="G259" s="307"/>
      <c r="H259" s="307"/>
      <c r="I259" s="307"/>
      <c r="J259" s="308"/>
      <c r="K259" s="308"/>
      <c r="L259" s="307"/>
      <c r="M259" s="307"/>
      <c r="N259" s="307"/>
      <c r="O259" s="308"/>
      <c r="P259" s="308"/>
      <c r="Q259" s="307"/>
      <c r="R259" s="308"/>
      <c r="S259" s="308"/>
      <c r="T259" s="308"/>
      <c r="U259" s="308"/>
      <c r="V259" s="309"/>
    </row>
    <row r="260" spans="1:22" s="327" customFormat="1">
      <c r="A260" s="304"/>
      <c r="B260" s="310"/>
      <c r="C260" s="311"/>
      <c r="D260" s="312"/>
      <c r="E260" s="312"/>
      <c r="F260" s="312"/>
      <c r="G260" s="312"/>
      <c r="H260" s="312"/>
      <c r="I260" s="312"/>
      <c r="J260" s="314"/>
      <c r="K260" s="314"/>
      <c r="L260" s="312"/>
      <c r="M260" s="312"/>
      <c r="N260" s="312"/>
      <c r="O260" s="314"/>
      <c r="P260" s="314"/>
      <c r="Q260" s="312"/>
      <c r="R260" s="314"/>
      <c r="S260" s="314"/>
      <c r="T260" s="314"/>
      <c r="U260" s="314"/>
      <c r="V260" s="309"/>
    </row>
    <row r="261" spans="1:22">
      <c r="A261" s="304"/>
      <c r="B261" s="50"/>
      <c r="C261" s="301"/>
      <c r="D261" s="302"/>
      <c r="E261" s="302"/>
      <c r="F261" s="302"/>
      <c r="G261" s="302"/>
      <c r="H261" s="302"/>
      <c r="I261" s="302"/>
      <c r="J261" s="303"/>
      <c r="K261" s="303"/>
      <c r="L261" s="302"/>
      <c r="M261" s="302"/>
      <c r="N261" s="302"/>
      <c r="O261" s="303"/>
      <c r="P261" s="303"/>
      <c r="Q261" s="302"/>
      <c r="R261" s="303"/>
      <c r="S261" s="303"/>
      <c r="T261" s="303"/>
      <c r="U261" s="303"/>
      <c r="V261" s="309"/>
    </row>
    <row r="262" spans="1:22">
      <c r="A262" s="304"/>
      <c r="B262" s="305"/>
      <c r="C262" s="306"/>
      <c r="D262" s="307"/>
      <c r="E262" s="307"/>
      <c r="F262" s="307"/>
      <c r="G262" s="307"/>
      <c r="H262" s="307"/>
      <c r="I262" s="307"/>
      <c r="J262" s="308"/>
      <c r="K262" s="308"/>
      <c r="L262" s="307"/>
      <c r="M262" s="307"/>
      <c r="N262" s="307"/>
      <c r="O262" s="308"/>
      <c r="P262" s="308"/>
      <c r="Q262" s="307"/>
      <c r="R262" s="308"/>
      <c r="S262" s="308"/>
      <c r="T262" s="308"/>
      <c r="U262" s="308"/>
      <c r="V262" s="309"/>
    </row>
    <row r="263" spans="1:22" s="327" customFormat="1">
      <c r="A263" s="304"/>
      <c r="B263" s="310"/>
      <c r="C263" s="311"/>
      <c r="D263" s="312"/>
      <c r="E263" s="312"/>
      <c r="F263" s="312"/>
      <c r="G263" s="312"/>
      <c r="H263" s="312"/>
      <c r="I263" s="312"/>
      <c r="J263" s="314"/>
      <c r="K263" s="314"/>
      <c r="L263" s="312"/>
      <c r="M263" s="312"/>
      <c r="N263" s="312"/>
      <c r="O263" s="314"/>
      <c r="P263" s="314"/>
      <c r="Q263" s="312"/>
      <c r="R263" s="314"/>
      <c r="S263" s="314"/>
      <c r="T263" s="314"/>
      <c r="U263" s="314"/>
      <c r="V263" s="309"/>
    </row>
    <row r="264" spans="1:22">
      <c r="A264" s="304"/>
      <c r="B264" s="50"/>
      <c r="C264" s="301"/>
      <c r="D264" s="302"/>
      <c r="E264" s="302"/>
      <c r="F264" s="302"/>
      <c r="G264" s="302"/>
      <c r="H264" s="302"/>
      <c r="I264" s="302"/>
      <c r="J264" s="303"/>
      <c r="K264" s="303"/>
      <c r="L264" s="302"/>
      <c r="M264" s="302"/>
      <c r="N264" s="302"/>
      <c r="O264" s="303"/>
      <c r="P264" s="303"/>
      <c r="Q264" s="302"/>
      <c r="R264" s="303"/>
      <c r="S264" s="303"/>
      <c r="T264" s="303"/>
      <c r="U264" s="303"/>
      <c r="V264" s="309"/>
    </row>
    <row r="265" spans="1:22">
      <c r="A265" s="304"/>
      <c r="B265" s="305"/>
      <c r="C265" s="306"/>
      <c r="D265" s="307"/>
      <c r="E265" s="307"/>
      <c r="F265" s="307"/>
      <c r="G265" s="307"/>
      <c r="H265" s="307"/>
      <c r="I265" s="307"/>
      <c r="J265" s="308"/>
      <c r="K265" s="308"/>
      <c r="L265" s="307"/>
      <c r="M265" s="307"/>
      <c r="N265" s="307"/>
      <c r="O265" s="308"/>
      <c r="P265" s="308"/>
      <c r="Q265" s="307"/>
      <c r="R265" s="308"/>
      <c r="S265" s="308"/>
      <c r="T265" s="308"/>
      <c r="U265" s="308"/>
      <c r="V265" s="309"/>
    </row>
    <row r="266" spans="1:22" s="327" customFormat="1">
      <c r="A266" s="304"/>
      <c r="B266" s="310"/>
      <c r="C266" s="311"/>
      <c r="D266" s="312"/>
      <c r="E266" s="312"/>
      <c r="F266" s="312"/>
      <c r="G266" s="312"/>
      <c r="H266" s="312"/>
      <c r="I266" s="312"/>
      <c r="J266" s="314"/>
      <c r="K266" s="314"/>
      <c r="L266" s="312"/>
      <c r="M266" s="312"/>
      <c r="N266" s="312"/>
      <c r="O266" s="314"/>
      <c r="P266" s="314"/>
      <c r="Q266" s="312"/>
      <c r="R266" s="314"/>
      <c r="S266" s="314"/>
      <c r="T266" s="314"/>
      <c r="U266" s="314"/>
      <c r="V266" s="309"/>
    </row>
    <row r="267" spans="1:22">
      <c r="A267" s="304"/>
      <c r="B267" s="50"/>
      <c r="C267" s="301"/>
      <c r="D267" s="302"/>
      <c r="E267" s="302"/>
      <c r="F267" s="302"/>
      <c r="G267" s="302"/>
      <c r="H267" s="302"/>
      <c r="I267" s="302"/>
      <c r="J267" s="303"/>
      <c r="K267" s="303"/>
      <c r="L267" s="302"/>
      <c r="M267" s="302"/>
      <c r="N267" s="302"/>
      <c r="O267" s="303"/>
      <c r="P267" s="303"/>
      <c r="Q267" s="302"/>
      <c r="R267" s="303"/>
      <c r="S267" s="303"/>
      <c r="T267" s="303"/>
      <c r="U267" s="303"/>
      <c r="V267" s="309"/>
    </row>
    <row r="268" spans="1:22">
      <c r="A268" s="304"/>
      <c r="B268" s="305"/>
      <c r="C268" s="306"/>
      <c r="D268" s="307"/>
      <c r="E268" s="307"/>
      <c r="F268" s="307"/>
      <c r="G268" s="307"/>
      <c r="H268" s="307"/>
      <c r="I268" s="307"/>
      <c r="J268" s="308"/>
      <c r="K268" s="308"/>
      <c r="L268" s="307"/>
      <c r="M268" s="307"/>
      <c r="N268" s="307"/>
      <c r="O268" s="308"/>
      <c r="P268" s="308"/>
      <c r="Q268" s="307"/>
      <c r="R268" s="308"/>
      <c r="S268" s="308"/>
      <c r="T268" s="308"/>
      <c r="U268" s="308"/>
      <c r="V268" s="309"/>
    </row>
    <row r="269" spans="1:22" s="327" customFormat="1">
      <c r="A269" s="304"/>
      <c r="B269" s="310"/>
      <c r="C269" s="311"/>
      <c r="D269" s="312"/>
      <c r="E269" s="312"/>
      <c r="F269" s="312"/>
      <c r="G269" s="312"/>
      <c r="H269" s="312"/>
      <c r="I269" s="312"/>
      <c r="J269" s="314"/>
      <c r="K269" s="314"/>
      <c r="L269" s="312"/>
      <c r="M269" s="312"/>
      <c r="N269" s="312"/>
      <c r="O269" s="314"/>
      <c r="P269" s="314"/>
      <c r="Q269" s="312"/>
      <c r="R269" s="314"/>
      <c r="S269" s="314"/>
      <c r="T269" s="314"/>
      <c r="U269" s="314"/>
      <c r="V269" s="309"/>
    </row>
    <row r="270" spans="1:22">
      <c r="A270" s="304"/>
      <c r="B270" s="50"/>
      <c r="C270" s="301"/>
      <c r="D270" s="302"/>
      <c r="E270" s="302"/>
      <c r="F270" s="302"/>
      <c r="G270" s="302"/>
      <c r="H270" s="302"/>
      <c r="I270" s="302"/>
      <c r="J270" s="303"/>
      <c r="K270" s="303"/>
      <c r="L270" s="302"/>
      <c r="M270" s="302"/>
      <c r="N270" s="302"/>
      <c r="O270" s="303"/>
      <c r="P270" s="303"/>
      <c r="Q270" s="302"/>
      <c r="R270" s="303"/>
      <c r="S270" s="303"/>
      <c r="T270" s="303"/>
      <c r="U270" s="303"/>
      <c r="V270" s="309"/>
    </row>
    <row r="271" spans="1:22">
      <c r="A271" s="304"/>
      <c r="B271" s="305"/>
      <c r="C271" s="306"/>
      <c r="D271" s="307"/>
      <c r="E271" s="307"/>
      <c r="F271" s="307"/>
      <c r="G271" s="307"/>
      <c r="H271" s="307"/>
      <c r="I271" s="307"/>
      <c r="J271" s="308"/>
      <c r="K271" s="308"/>
      <c r="L271" s="307"/>
      <c r="M271" s="307"/>
      <c r="N271" s="307"/>
      <c r="O271" s="308"/>
      <c r="P271" s="308"/>
      <c r="Q271" s="307"/>
      <c r="R271" s="308"/>
      <c r="S271" s="308"/>
      <c r="T271" s="308"/>
      <c r="U271" s="308"/>
      <c r="V271" s="309"/>
    </row>
    <row r="272" spans="1:22" s="327" customFormat="1">
      <c r="A272" s="304"/>
      <c r="B272" s="310"/>
      <c r="C272" s="311"/>
      <c r="D272" s="312"/>
      <c r="E272" s="312"/>
      <c r="F272" s="312"/>
      <c r="G272" s="312"/>
      <c r="H272" s="312"/>
      <c r="I272" s="312"/>
      <c r="J272" s="314"/>
      <c r="K272" s="314"/>
      <c r="L272" s="312"/>
      <c r="M272" s="312"/>
      <c r="N272" s="312"/>
      <c r="O272" s="314"/>
      <c r="P272" s="314"/>
      <c r="Q272" s="312"/>
      <c r="R272" s="314"/>
      <c r="S272" s="314"/>
      <c r="T272" s="314"/>
      <c r="U272" s="314"/>
      <c r="V272" s="309"/>
    </row>
    <row r="273" spans="1:22">
      <c r="A273" s="304"/>
      <c r="B273" s="50"/>
      <c r="C273" s="301"/>
      <c r="D273" s="302"/>
      <c r="E273" s="302"/>
      <c r="F273" s="302"/>
      <c r="G273" s="302"/>
      <c r="H273" s="302"/>
      <c r="I273" s="302"/>
      <c r="J273" s="303"/>
      <c r="K273" s="303"/>
      <c r="L273" s="302"/>
      <c r="M273" s="302"/>
      <c r="N273" s="302"/>
      <c r="O273" s="303"/>
      <c r="P273" s="303"/>
      <c r="Q273" s="302"/>
      <c r="R273" s="303"/>
      <c r="S273" s="303"/>
      <c r="T273" s="303"/>
      <c r="U273" s="303"/>
      <c r="V273" s="309"/>
    </row>
    <row r="274" spans="1:22">
      <c r="A274" s="304"/>
      <c r="B274" s="305"/>
      <c r="C274" s="306"/>
      <c r="D274" s="307"/>
      <c r="E274" s="307"/>
      <c r="F274" s="307"/>
      <c r="G274" s="307"/>
      <c r="H274" s="307"/>
      <c r="I274" s="307"/>
      <c r="J274" s="308"/>
      <c r="K274" s="308"/>
      <c r="L274" s="307"/>
      <c r="M274" s="307"/>
      <c r="N274" s="307"/>
      <c r="O274" s="308"/>
      <c r="P274" s="308"/>
      <c r="Q274" s="307"/>
      <c r="R274" s="308"/>
      <c r="S274" s="308"/>
      <c r="T274" s="308"/>
      <c r="U274" s="308"/>
      <c r="V274" s="309"/>
    </row>
    <row r="275" spans="1:22" s="327" customFormat="1" ht="15.75" thickBot="1">
      <c r="A275" s="304"/>
      <c r="B275" s="316"/>
      <c r="C275" s="317"/>
      <c r="D275" s="318"/>
      <c r="E275" s="318"/>
      <c r="F275" s="318"/>
      <c r="G275" s="318"/>
      <c r="H275" s="318"/>
      <c r="I275" s="318"/>
      <c r="J275" s="319"/>
      <c r="K275" s="319"/>
      <c r="L275" s="318"/>
      <c r="M275" s="318"/>
      <c r="N275" s="318"/>
      <c r="O275" s="319"/>
      <c r="P275" s="319"/>
      <c r="Q275" s="318"/>
      <c r="R275" s="319"/>
      <c r="S275" s="319"/>
      <c r="T275" s="319"/>
      <c r="U275" s="319"/>
      <c r="V275" s="309"/>
    </row>
    <row r="276" spans="1:22" ht="15.75" thickTop="1">
      <c r="A276" s="304"/>
      <c r="B276" s="305"/>
      <c r="C276" s="306"/>
      <c r="D276" s="307"/>
      <c r="E276" s="307"/>
      <c r="F276" s="307"/>
      <c r="G276" s="307"/>
      <c r="H276" s="307"/>
      <c r="I276" s="307"/>
      <c r="J276" s="308"/>
      <c r="K276" s="308"/>
      <c r="L276" s="307"/>
      <c r="M276" s="307"/>
      <c r="N276" s="307"/>
      <c r="O276" s="308"/>
      <c r="P276" s="308"/>
      <c r="Q276" s="307"/>
      <c r="R276" s="308"/>
      <c r="S276" s="308"/>
      <c r="T276" s="308"/>
      <c r="U276" s="308"/>
      <c r="V276" s="309"/>
    </row>
    <row r="277" spans="1:22">
      <c r="A277" s="304"/>
      <c r="B277" s="305"/>
      <c r="C277" s="306"/>
      <c r="D277" s="307"/>
      <c r="E277" s="307"/>
      <c r="F277" s="307"/>
      <c r="G277" s="307"/>
      <c r="H277" s="307"/>
      <c r="I277" s="307"/>
      <c r="J277" s="308"/>
      <c r="K277" s="308"/>
      <c r="L277" s="307"/>
      <c r="M277" s="307"/>
      <c r="N277" s="307"/>
      <c r="O277" s="308"/>
      <c r="P277" s="308"/>
      <c r="Q277" s="307"/>
      <c r="R277" s="308"/>
      <c r="S277" s="308"/>
      <c r="T277" s="308"/>
      <c r="U277" s="308"/>
      <c r="V277" s="309"/>
    </row>
    <row r="278" spans="1:22" s="327" customFormat="1">
      <c r="A278" s="304"/>
      <c r="B278" s="310"/>
      <c r="C278" s="311"/>
      <c r="D278" s="312"/>
      <c r="E278" s="312"/>
      <c r="F278" s="312"/>
      <c r="G278" s="312"/>
      <c r="H278" s="312"/>
      <c r="I278" s="312"/>
      <c r="J278" s="314"/>
      <c r="K278" s="314"/>
      <c r="L278" s="312"/>
      <c r="M278" s="312"/>
      <c r="N278" s="312"/>
      <c r="O278" s="314"/>
      <c r="P278" s="314"/>
      <c r="Q278" s="312"/>
      <c r="R278" s="314"/>
      <c r="S278" s="314"/>
      <c r="T278" s="314"/>
      <c r="U278" s="314"/>
      <c r="V278" s="309"/>
    </row>
    <row r="279" spans="1:22">
      <c r="A279" s="304"/>
      <c r="B279" s="50"/>
      <c r="C279" s="301"/>
      <c r="D279" s="302"/>
      <c r="E279" s="302"/>
      <c r="F279" s="302"/>
      <c r="G279" s="302"/>
      <c r="H279" s="302"/>
      <c r="I279" s="302"/>
      <c r="J279" s="303"/>
      <c r="K279" s="303"/>
      <c r="L279" s="302"/>
      <c r="M279" s="302"/>
      <c r="N279" s="302"/>
      <c r="O279" s="303"/>
      <c r="P279" s="303"/>
      <c r="Q279" s="302"/>
      <c r="R279" s="303"/>
      <c r="S279" s="303"/>
      <c r="T279" s="303"/>
      <c r="U279" s="303"/>
      <c r="V279" s="309"/>
    </row>
    <row r="280" spans="1:22">
      <c r="A280" s="304"/>
      <c r="B280" s="305"/>
      <c r="C280" s="306"/>
      <c r="D280" s="307"/>
      <c r="E280" s="307"/>
      <c r="F280" s="307"/>
      <c r="G280" s="307"/>
      <c r="H280" s="307"/>
      <c r="I280" s="307"/>
      <c r="J280" s="308"/>
      <c r="K280" s="308"/>
      <c r="L280" s="307"/>
      <c r="M280" s="307"/>
      <c r="N280" s="307"/>
      <c r="O280" s="308"/>
      <c r="P280" s="308"/>
      <c r="Q280" s="307"/>
      <c r="R280" s="308"/>
      <c r="S280" s="308"/>
      <c r="T280" s="308"/>
      <c r="U280" s="308"/>
      <c r="V280" s="309"/>
    </row>
    <row r="281" spans="1:22" s="327" customFormat="1">
      <c r="A281" s="304"/>
      <c r="B281" s="310"/>
      <c r="C281" s="311"/>
      <c r="D281" s="312"/>
      <c r="E281" s="312"/>
      <c r="F281" s="312"/>
      <c r="G281" s="312"/>
      <c r="H281" s="312"/>
      <c r="I281" s="312"/>
      <c r="J281" s="314"/>
      <c r="K281" s="314"/>
      <c r="L281" s="312"/>
      <c r="M281" s="312"/>
      <c r="N281" s="312"/>
      <c r="O281" s="314"/>
      <c r="P281" s="314"/>
      <c r="Q281" s="312"/>
      <c r="R281" s="314"/>
      <c r="S281" s="314"/>
      <c r="T281" s="314"/>
      <c r="U281" s="314"/>
      <c r="V281" s="309"/>
    </row>
    <row r="282" spans="1:22">
      <c r="A282" s="304"/>
      <c r="B282" s="50"/>
      <c r="C282" s="301"/>
      <c r="D282" s="302"/>
      <c r="E282" s="302"/>
      <c r="F282" s="302"/>
      <c r="G282" s="302"/>
      <c r="H282" s="302"/>
      <c r="I282" s="302"/>
      <c r="J282" s="303"/>
      <c r="K282" s="303"/>
      <c r="L282" s="302"/>
      <c r="M282" s="302"/>
      <c r="N282" s="302"/>
      <c r="O282" s="303"/>
      <c r="P282" s="303"/>
      <c r="Q282" s="302"/>
      <c r="R282" s="303"/>
      <c r="S282" s="303"/>
      <c r="T282" s="303"/>
      <c r="U282" s="303"/>
      <c r="V282" s="309"/>
    </row>
    <row r="283" spans="1:22">
      <c r="A283" s="304"/>
      <c r="B283" s="305"/>
      <c r="C283" s="306"/>
      <c r="D283" s="307"/>
      <c r="E283" s="307"/>
      <c r="F283" s="307"/>
      <c r="G283" s="307"/>
      <c r="H283" s="307"/>
      <c r="I283" s="307"/>
      <c r="J283" s="308"/>
      <c r="K283" s="308"/>
      <c r="L283" s="307"/>
      <c r="M283" s="307"/>
      <c r="N283" s="307"/>
      <c r="O283" s="308"/>
      <c r="P283" s="308"/>
      <c r="Q283" s="307"/>
      <c r="R283" s="308"/>
      <c r="S283" s="308"/>
      <c r="T283" s="308"/>
      <c r="U283" s="308"/>
      <c r="V283" s="309"/>
    </row>
    <row r="284" spans="1:22" s="327" customFormat="1">
      <c r="A284" s="304"/>
      <c r="B284" s="310"/>
      <c r="C284" s="311"/>
      <c r="D284" s="312"/>
      <c r="E284" s="312"/>
      <c r="F284" s="312"/>
      <c r="G284" s="312"/>
      <c r="H284" s="312"/>
      <c r="I284" s="312"/>
      <c r="J284" s="314"/>
      <c r="K284" s="314"/>
      <c r="L284" s="312"/>
      <c r="M284" s="312"/>
      <c r="N284" s="312"/>
      <c r="O284" s="314"/>
      <c r="P284" s="314"/>
      <c r="Q284" s="312"/>
      <c r="R284" s="314"/>
      <c r="S284" s="314"/>
      <c r="T284" s="314"/>
      <c r="U284" s="314"/>
      <c r="V284" s="309"/>
    </row>
    <row r="285" spans="1:22">
      <c r="A285" s="304"/>
      <c r="B285" s="50"/>
      <c r="C285" s="301"/>
      <c r="D285" s="302"/>
      <c r="E285" s="302"/>
      <c r="F285" s="302"/>
      <c r="G285" s="302"/>
      <c r="H285" s="302"/>
      <c r="I285" s="302"/>
      <c r="J285" s="303"/>
      <c r="K285" s="303"/>
      <c r="L285" s="302"/>
      <c r="M285" s="302"/>
      <c r="N285" s="302"/>
      <c r="O285" s="303"/>
      <c r="P285" s="303"/>
      <c r="Q285" s="302"/>
      <c r="R285" s="303"/>
      <c r="S285" s="303"/>
      <c r="T285" s="303"/>
      <c r="U285" s="303"/>
      <c r="V285" s="309"/>
    </row>
    <row r="286" spans="1:22">
      <c r="A286" s="304"/>
      <c r="B286" s="305"/>
      <c r="C286" s="306"/>
      <c r="D286" s="307"/>
      <c r="E286" s="307"/>
      <c r="F286" s="307"/>
      <c r="G286" s="307"/>
      <c r="H286" s="307"/>
      <c r="I286" s="307"/>
      <c r="J286" s="308"/>
      <c r="K286" s="308"/>
      <c r="L286" s="307"/>
      <c r="M286" s="307"/>
      <c r="N286" s="307"/>
      <c r="O286" s="308"/>
      <c r="P286" s="308"/>
      <c r="Q286" s="307"/>
      <c r="R286" s="308"/>
      <c r="S286" s="308"/>
      <c r="T286" s="308"/>
      <c r="U286" s="308"/>
      <c r="V286" s="309"/>
    </row>
    <row r="287" spans="1:22" s="327" customFormat="1">
      <c r="A287" s="304"/>
      <c r="B287" s="310"/>
      <c r="C287" s="311"/>
      <c r="D287" s="312"/>
      <c r="E287" s="312"/>
      <c r="F287" s="312"/>
      <c r="G287" s="312"/>
      <c r="H287" s="312"/>
      <c r="I287" s="312"/>
      <c r="J287" s="314"/>
      <c r="K287" s="314"/>
      <c r="L287" s="312"/>
      <c r="M287" s="312"/>
      <c r="N287" s="312"/>
      <c r="O287" s="314"/>
      <c r="P287" s="314"/>
      <c r="Q287" s="312"/>
      <c r="R287" s="314"/>
      <c r="S287" s="314"/>
      <c r="T287" s="314"/>
      <c r="U287" s="314"/>
      <c r="V287" s="309"/>
    </row>
    <row r="288" spans="1:22">
      <c r="A288" s="304"/>
      <c r="B288" s="50"/>
      <c r="C288" s="301"/>
      <c r="D288" s="302"/>
      <c r="E288" s="302"/>
      <c r="F288" s="302"/>
      <c r="G288" s="302"/>
      <c r="H288" s="302"/>
      <c r="I288" s="302"/>
      <c r="J288" s="303"/>
      <c r="K288" s="303"/>
      <c r="L288" s="302"/>
      <c r="M288" s="302"/>
      <c r="N288" s="302"/>
      <c r="O288" s="303"/>
      <c r="P288" s="303"/>
      <c r="Q288" s="302"/>
      <c r="R288" s="303"/>
      <c r="S288" s="303"/>
      <c r="T288" s="303"/>
      <c r="U288" s="303"/>
      <c r="V288" s="309"/>
    </row>
    <row r="289" spans="1:22">
      <c r="A289" s="304"/>
      <c r="B289" s="305"/>
      <c r="C289" s="306"/>
      <c r="D289" s="307"/>
      <c r="E289" s="307"/>
      <c r="F289" s="307"/>
      <c r="G289" s="307"/>
      <c r="H289" s="307"/>
      <c r="I289" s="307"/>
      <c r="J289" s="308"/>
      <c r="K289" s="308"/>
      <c r="L289" s="307"/>
      <c r="M289" s="307"/>
      <c r="N289" s="307"/>
      <c r="O289" s="308"/>
      <c r="P289" s="308"/>
      <c r="Q289" s="307"/>
      <c r="R289" s="308"/>
      <c r="S289" s="308"/>
      <c r="T289" s="308"/>
      <c r="U289" s="308"/>
      <c r="V289" s="309"/>
    </row>
    <row r="290" spans="1:22" s="327" customFormat="1">
      <c r="A290" s="304"/>
      <c r="B290" s="310"/>
      <c r="C290" s="311"/>
      <c r="D290" s="312"/>
      <c r="E290" s="312"/>
      <c r="F290" s="312"/>
      <c r="G290" s="312"/>
      <c r="H290" s="312"/>
      <c r="I290" s="312"/>
      <c r="J290" s="314"/>
      <c r="K290" s="314"/>
      <c r="L290" s="312"/>
      <c r="M290" s="312"/>
      <c r="N290" s="312"/>
      <c r="O290" s="314"/>
      <c r="P290" s="314"/>
      <c r="Q290" s="312"/>
      <c r="R290" s="314"/>
      <c r="S290" s="314"/>
      <c r="T290" s="314"/>
      <c r="U290" s="314"/>
      <c r="V290" s="309"/>
    </row>
    <row r="291" spans="1:22">
      <c r="A291" s="304"/>
      <c r="B291" s="50"/>
      <c r="C291" s="301"/>
      <c r="D291" s="302"/>
      <c r="E291" s="302"/>
      <c r="F291" s="302"/>
      <c r="G291" s="302"/>
      <c r="H291" s="302"/>
      <c r="I291" s="302"/>
      <c r="J291" s="303"/>
      <c r="K291" s="303"/>
      <c r="L291" s="302"/>
      <c r="M291" s="302"/>
      <c r="N291" s="302"/>
      <c r="O291" s="303"/>
      <c r="P291" s="303"/>
      <c r="Q291" s="302"/>
      <c r="R291" s="303"/>
      <c r="S291" s="303"/>
      <c r="T291" s="303"/>
      <c r="U291" s="303"/>
      <c r="V291" s="309"/>
    </row>
    <row r="292" spans="1:22">
      <c r="A292" s="304"/>
      <c r="B292" s="305"/>
      <c r="C292" s="306"/>
      <c r="D292" s="307"/>
      <c r="E292" s="307"/>
      <c r="F292" s="307"/>
      <c r="G292" s="307"/>
      <c r="H292" s="307"/>
      <c r="I292" s="307"/>
      <c r="J292" s="308"/>
      <c r="K292" s="308"/>
      <c r="L292" s="307"/>
      <c r="M292" s="307"/>
      <c r="N292" s="307"/>
      <c r="O292" s="308"/>
      <c r="P292" s="308"/>
      <c r="Q292" s="307"/>
      <c r="R292" s="308"/>
      <c r="S292" s="308"/>
      <c r="T292" s="308"/>
      <c r="U292" s="308"/>
      <c r="V292" s="309"/>
    </row>
    <row r="293" spans="1:22" s="327" customFormat="1" ht="15.75" thickBot="1">
      <c r="A293" s="320"/>
      <c r="B293" s="321"/>
      <c r="C293" s="322"/>
      <c r="D293" s="323"/>
      <c r="E293" s="323"/>
      <c r="F293" s="323"/>
      <c r="G293" s="323"/>
      <c r="H293" s="323"/>
      <c r="I293" s="323"/>
      <c r="J293" s="324"/>
      <c r="K293" s="324"/>
      <c r="L293" s="323"/>
      <c r="M293" s="323"/>
      <c r="N293" s="323"/>
      <c r="O293" s="324"/>
      <c r="P293" s="324"/>
      <c r="Q293" s="323"/>
      <c r="R293" s="324"/>
      <c r="S293" s="324"/>
      <c r="T293" s="324"/>
      <c r="U293" s="324"/>
      <c r="V293" s="309"/>
    </row>
    <row r="294" spans="1:22">
      <c r="A294" s="300"/>
      <c r="B294" s="50"/>
      <c r="C294" s="301"/>
      <c r="D294" s="302"/>
      <c r="E294" s="302"/>
      <c r="F294" s="302"/>
      <c r="G294" s="302"/>
      <c r="H294" s="302"/>
      <c r="I294" s="302"/>
      <c r="J294" s="303"/>
      <c r="K294" s="303"/>
      <c r="L294" s="302"/>
      <c r="M294" s="302"/>
      <c r="N294" s="302"/>
      <c r="O294" s="303"/>
      <c r="P294" s="303"/>
      <c r="Q294" s="302"/>
      <c r="R294" s="303"/>
      <c r="S294" s="303"/>
      <c r="T294" s="303"/>
      <c r="U294" s="303"/>
      <c r="V294" s="309"/>
    </row>
    <row r="295" spans="1:22">
      <c r="A295" s="304"/>
      <c r="B295" s="305"/>
      <c r="C295" s="306"/>
      <c r="D295" s="307"/>
      <c r="E295" s="307"/>
      <c r="F295" s="307"/>
      <c r="G295" s="307"/>
      <c r="H295" s="307"/>
      <c r="I295" s="307"/>
      <c r="J295" s="308"/>
      <c r="K295" s="308"/>
      <c r="L295" s="307"/>
      <c r="M295" s="307"/>
      <c r="N295" s="307"/>
      <c r="O295" s="308"/>
      <c r="P295" s="308"/>
      <c r="Q295" s="307"/>
      <c r="R295" s="308"/>
      <c r="S295" s="308"/>
      <c r="T295" s="308"/>
      <c r="U295" s="308"/>
      <c r="V295" s="309"/>
    </row>
    <row r="296" spans="1:22" s="327" customFormat="1">
      <c r="A296" s="304"/>
      <c r="B296" s="310"/>
      <c r="C296" s="311"/>
      <c r="D296" s="312"/>
      <c r="E296" s="312"/>
      <c r="F296" s="312"/>
      <c r="G296" s="312"/>
      <c r="H296" s="312"/>
      <c r="I296" s="312"/>
      <c r="J296" s="314"/>
      <c r="K296" s="314"/>
      <c r="L296" s="312"/>
      <c r="M296" s="312"/>
      <c r="N296" s="312"/>
      <c r="O296" s="314"/>
      <c r="P296" s="314"/>
      <c r="Q296" s="312"/>
      <c r="R296" s="314"/>
      <c r="S296" s="314"/>
      <c r="T296" s="314"/>
      <c r="U296" s="314"/>
      <c r="V296" s="309"/>
    </row>
    <row r="297" spans="1:22">
      <c r="A297" s="304"/>
      <c r="B297" s="50"/>
      <c r="C297" s="301"/>
      <c r="D297" s="302"/>
      <c r="E297" s="302"/>
      <c r="F297" s="302"/>
      <c r="G297" s="302"/>
      <c r="H297" s="302"/>
      <c r="I297" s="302"/>
      <c r="J297" s="303"/>
      <c r="K297" s="303"/>
      <c r="L297" s="302"/>
      <c r="M297" s="302"/>
      <c r="N297" s="302"/>
      <c r="O297" s="303"/>
      <c r="P297" s="303"/>
      <c r="Q297" s="302"/>
      <c r="R297" s="303"/>
      <c r="S297" s="303"/>
      <c r="T297" s="303"/>
      <c r="U297" s="303"/>
      <c r="V297" s="309"/>
    </row>
    <row r="298" spans="1:22">
      <c r="A298" s="304"/>
      <c r="B298" s="305"/>
      <c r="C298" s="306"/>
      <c r="D298" s="307"/>
      <c r="E298" s="307"/>
      <c r="F298" s="307"/>
      <c r="G298" s="307"/>
      <c r="H298" s="307"/>
      <c r="I298" s="307"/>
      <c r="J298" s="308"/>
      <c r="K298" s="308"/>
      <c r="L298" s="307"/>
      <c r="M298" s="307"/>
      <c r="N298" s="307"/>
      <c r="O298" s="308"/>
      <c r="P298" s="308"/>
      <c r="Q298" s="307"/>
      <c r="R298" s="308"/>
      <c r="S298" s="308"/>
      <c r="T298" s="308"/>
      <c r="U298" s="308"/>
      <c r="V298" s="309"/>
    </row>
    <row r="299" spans="1:22" s="327" customFormat="1">
      <c r="A299" s="304"/>
      <c r="B299" s="310"/>
      <c r="C299" s="311"/>
      <c r="D299" s="312"/>
      <c r="E299" s="312"/>
      <c r="F299" s="312"/>
      <c r="G299" s="312"/>
      <c r="H299" s="312"/>
      <c r="I299" s="312"/>
      <c r="J299" s="314"/>
      <c r="K299" s="314"/>
      <c r="L299" s="312"/>
      <c r="M299" s="312"/>
      <c r="N299" s="312"/>
      <c r="O299" s="314"/>
      <c r="P299" s="314"/>
      <c r="Q299" s="312"/>
      <c r="R299" s="314"/>
      <c r="S299" s="314"/>
      <c r="T299" s="314"/>
      <c r="U299" s="314"/>
      <c r="V299" s="309"/>
    </row>
    <row r="300" spans="1:22">
      <c r="A300" s="304"/>
      <c r="B300" s="50"/>
      <c r="C300" s="301"/>
      <c r="D300" s="302"/>
      <c r="E300" s="302"/>
      <c r="F300" s="302"/>
      <c r="G300" s="302"/>
      <c r="H300" s="302"/>
      <c r="I300" s="302"/>
      <c r="J300" s="303"/>
      <c r="K300" s="303"/>
      <c r="L300" s="302"/>
      <c r="M300" s="302"/>
      <c r="N300" s="302"/>
      <c r="O300" s="303"/>
      <c r="P300" s="303"/>
      <c r="Q300" s="302"/>
      <c r="R300" s="303"/>
      <c r="S300" s="303"/>
      <c r="T300" s="303"/>
      <c r="U300" s="303"/>
      <c r="V300" s="309"/>
    </row>
    <row r="301" spans="1:22">
      <c r="A301" s="304"/>
      <c r="B301" s="305"/>
      <c r="C301" s="306"/>
      <c r="D301" s="307"/>
      <c r="E301" s="307"/>
      <c r="F301" s="307"/>
      <c r="G301" s="307"/>
      <c r="H301" s="307"/>
      <c r="I301" s="307"/>
      <c r="J301" s="308"/>
      <c r="K301" s="308"/>
      <c r="L301" s="307"/>
      <c r="M301" s="307"/>
      <c r="N301" s="307"/>
      <c r="O301" s="308"/>
      <c r="P301" s="308"/>
      <c r="Q301" s="307"/>
      <c r="R301" s="308"/>
      <c r="S301" s="308"/>
      <c r="T301" s="308"/>
      <c r="U301" s="308"/>
      <c r="V301" s="309"/>
    </row>
    <row r="302" spans="1:22" s="327" customFormat="1">
      <c r="A302" s="304"/>
      <c r="B302" s="310"/>
      <c r="C302" s="311"/>
      <c r="D302" s="312"/>
      <c r="E302" s="312"/>
      <c r="F302" s="312"/>
      <c r="G302" s="312"/>
      <c r="H302" s="312"/>
      <c r="I302" s="312"/>
      <c r="J302" s="314"/>
      <c r="K302" s="314"/>
      <c r="L302" s="312"/>
      <c r="M302" s="312"/>
      <c r="N302" s="312"/>
      <c r="O302" s="314"/>
      <c r="P302" s="314"/>
      <c r="Q302" s="312"/>
      <c r="R302" s="314"/>
      <c r="S302" s="314"/>
      <c r="T302" s="314"/>
      <c r="U302" s="314"/>
      <c r="V302" s="309"/>
    </row>
    <row r="303" spans="1:22">
      <c r="A303" s="304"/>
      <c r="B303" s="50"/>
      <c r="C303" s="301"/>
      <c r="D303" s="302"/>
      <c r="E303" s="302"/>
      <c r="F303" s="302"/>
      <c r="G303" s="302"/>
      <c r="H303" s="302"/>
      <c r="I303" s="302"/>
      <c r="J303" s="303"/>
      <c r="K303" s="303"/>
      <c r="L303" s="302"/>
      <c r="M303" s="302"/>
      <c r="N303" s="302"/>
      <c r="O303" s="303"/>
      <c r="P303" s="303"/>
      <c r="Q303" s="302"/>
      <c r="R303" s="303"/>
      <c r="S303" s="303"/>
      <c r="T303" s="303"/>
      <c r="U303" s="303"/>
      <c r="V303" s="309"/>
    </row>
    <row r="304" spans="1:22">
      <c r="A304" s="304"/>
      <c r="B304" s="305"/>
      <c r="C304" s="306"/>
      <c r="D304" s="307"/>
      <c r="E304" s="307"/>
      <c r="F304" s="307"/>
      <c r="G304" s="307"/>
      <c r="H304" s="307"/>
      <c r="I304" s="307"/>
      <c r="J304" s="308"/>
      <c r="K304" s="308"/>
      <c r="L304" s="307"/>
      <c r="M304" s="307"/>
      <c r="N304" s="307"/>
      <c r="O304" s="308"/>
      <c r="P304" s="308"/>
      <c r="Q304" s="307"/>
      <c r="R304" s="308"/>
      <c r="S304" s="308"/>
      <c r="T304" s="308"/>
      <c r="U304" s="308"/>
      <c r="V304" s="309"/>
    </row>
    <row r="305" spans="1:22" s="327" customFormat="1">
      <c r="A305" s="304"/>
      <c r="B305" s="310"/>
      <c r="C305" s="311"/>
      <c r="D305" s="312"/>
      <c r="E305" s="312"/>
      <c r="F305" s="312"/>
      <c r="G305" s="312"/>
      <c r="H305" s="312"/>
      <c r="I305" s="312"/>
      <c r="J305" s="314"/>
      <c r="K305" s="314"/>
      <c r="L305" s="312"/>
      <c r="M305" s="312"/>
      <c r="N305" s="312"/>
      <c r="O305" s="314"/>
      <c r="P305" s="314"/>
      <c r="Q305" s="312"/>
      <c r="R305" s="314"/>
      <c r="S305" s="314"/>
      <c r="T305" s="314"/>
      <c r="U305" s="314"/>
      <c r="V305" s="309"/>
    </row>
    <row r="306" spans="1:22">
      <c r="A306" s="304"/>
      <c r="B306" s="50"/>
      <c r="C306" s="301"/>
      <c r="D306" s="302"/>
      <c r="E306" s="302"/>
      <c r="F306" s="302"/>
      <c r="G306" s="302"/>
      <c r="H306" s="302"/>
      <c r="I306" s="302"/>
      <c r="J306" s="303"/>
      <c r="K306" s="303"/>
      <c r="L306" s="302"/>
      <c r="M306" s="302"/>
      <c r="N306" s="302"/>
      <c r="O306" s="303"/>
      <c r="P306" s="303"/>
      <c r="Q306" s="302"/>
      <c r="R306" s="303"/>
      <c r="S306" s="303"/>
      <c r="T306" s="303"/>
      <c r="U306" s="303"/>
      <c r="V306" s="309"/>
    </row>
    <row r="307" spans="1:22">
      <c r="A307" s="304"/>
      <c r="B307" s="305"/>
      <c r="C307" s="306"/>
      <c r="D307" s="307"/>
      <c r="E307" s="307"/>
      <c r="F307" s="307"/>
      <c r="G307" s="307"/>
      <c r="H307" s="307"/>
      <c r="I307" s="307"/>
      <c r="J307" s="308"/>
      <c r="K307" s="308"/>
      <c r="L307" s="307"/>
      <c r="M307" s="307"/>
      <c r="N307" s="307"/>
      <c r="O307" s="308"/>
      <c r="P307" s="308"/>
      <c r="Q307" s="307"/>
      <c r="R307" s="308"/>
      <c r="S307" s="308"/>
      <c r="T307" s="308"/>
      <c r="U307" s="308"/>
      <c r="V307" s="309"/>
    </row>
    <row r="308" spans="1:22" s="327" customFormat="1">
      <c r="A308" s="304"/>
      <c r="B308" s="310"/>
      <c r="C308" s="311"/>
      <c r="D308" s="312"/>
      <c r="E308" s="312"/>
      <c r="F308" s="312"/>
      <c r="G308" s="312"/>
      <c r="H308" s="312"/>
      <c r="I308" s="312"/>
      <c r="J308" s="314"/>
      <c r="K308" s="314"/>
      <c r="L308" s="312"/>
      <c r="M308" s="312"/>
      <c r="N308" s="312"/>
      <c r="O308" s="314"/>
      <c r="P308" s="314"/>
      <c r="Q308" s="312"/>
      <c r="R308" s="314"/>
      <c r="S308" s="314"/>
      <c r="T308" s="314"/>
      <c r="U308" s="314"/>
      <c r="V308" s="309"/>
    </row>
    <row r="309" spans="1:22">
      <c r="A309" s="304"/>
      <c r="B309" s="50"/>
      <c r="C309" s="301"/>
      <c r="D309" s="302"/>
      <c r="E309" s="302"/>
      <c r="F309" s="302"/>
      <c r="G309" s="302"/>
      <c r="H309" s="302"/>
      <c r="I309" s="302"/>
      <c r="J309" s="303"/>
      <c r="K309" s="303"/>
      <c r="L309" s="302"/>
      <c r="M309" s="302"/>
      <c r="N309" s="302"/>
      <c r="O309" s="303"/>
      <c r="P309" s="303"/>
      <c r="Q309" s="302"/>
      <c r="R309" s="303"/>
      <c r="S309" s="303"/>
      <c r="T309" s="303"/>
      <c r="U309" s="303"/>
      <c r="V309" s="309"/>
    </row>
    <row r="310" spans="1:22">
      <c r="A310" s="304"/>
      <c r="B310" s="305"/>
      <c r="C310" s="306"/>
      <c r="D310" s="307"/>
      <c r="E310" s="307"/>
      <c r="F310" s="307"/>
      <c r="G310" s="307"/>
      <c r="H310" s="307"/>
      <c r="I310" s="307"/>
      <c r="J310" s="308"/>
      <c r="K310" s="308"/>
      <c r="L310" s="307"/>
      <c r="M310" s="307"/>
      <c r="N310" s="307"/>
      <c r="O310" s="308"/>
      <c r="P310" s="308"/>
      <c r="Q310" s="307"/>
      <c r="R310" s="308"/>
      <c r="S310" s="308"/>
      <c r="T310" s="308"/>
      <c r="U310" s="308"/>
      <c r="V310" s="309"/>
    </row>
    <row r="311" spans="1:22" s="327" customFormat="1" ht="15.75" thickBot="1">
      <c r="A311" s="304"/>
      <c r="B311" s="316"/>
      <c r="C311" s="317"/>
      <c r="D311" s="318"/>
      <c r="E311" s="318"/>
      <c r="F311" s="318"/>
      <c r="G311" s="318"/>
      <c r="H311" s="318"/>
      <c r="I311" s="318"/>
      <c r="J311" s="319"/>
      <c r="K311" s="319"/>
      <c r="L311" s="318"/>
      <c r="M311" s="318"/>
      <c r="N311" s="318"/>
      <c r="O311" s="319"/>
      <c r="P311" s="319"/>
      <c r="Q311" s="318"/>
      <c r="R311" s="319"/>
      <c r="S311" s="319"/>
      <c r="T311" s="319"/>
      <c r="U311" s="319"/>
      <c r="V311" s="309"/>
    </row>
    <row r="312" spans="1:22" ht="15.75" thickTop="1">
      <c r="A312" s="304"/>
      <c r="B312" s="305"/>
      <c r="C312" s="306"/>
      <c r="D312" s="307"/>
      <c r="E312" s="307"/>
      <c r="F312" s="307"/>
      <c r="G312" s="307"/>
      <c r="H312" s="307"/>
      <c r="I312" s="307"/>
      <c r="J312" s="308"/>
      <c r="K312" s="308"/>
      <c r="L312" s="307"/>
      <c r="M312" s="307"/>
      <c r="N312" s="307"/>
      <c r="O312" s="308"/>
      <c r="P312" s="308"/>
      <c r="Q312" s="307"/>
      <c r="R312" s="308"/>
      <c r="S312" s="308"/>
      <c r="T312" s="308"/>
      <c r="U312" s="308"/>
      <c r="V312" s="309"/>
    </row>
    <row r="313" spans="1:22">
      <c r="A313" s="304"/>
      <c r="B313" s="305"/>
      <c r="C313" s="306"/>
      <c r="D313" s="307"/>
      <c r="E313" s="307"/>
      <c r="F313" s="307"/>
      <c r="G313" s="307"/>
      <c r="H313" s="307"/>
      <c r="I313" s="307"/>
      <c r="J313" s="308"/>
      <c r="K313" s="308"/>
      <c r="L313" s="307"/>
      <c r="M313" s="307"/>
      <c r="N313" s="307"/>
      <c r="O313" s="308"/>
      <c r="P313" s="308"/>
      <c r="Q313" s="307"/>
      <c r="R313" s="308"/>
      <c r="S313" s="308"/>
      <c r="T313" s="308"/>
      <c r="U313" s="308"/>
      <c r="V313" s="309"/>
    </row>
    <row r="314" spans="1:22" s="327" customFormat="1">
      <c r="A314" s="304"/>
      <c r="B314" s="310"/>
      <c r="C314" s="311"/>
      <c r="D314" s="312"/>
      <c r="E314" s="312"/>
      <c r="F314" s="312"/>
      <c r="G314" s="312"/>
      <c r="H314" s="312"/>
      <c r="I314" s="312"/>
      <c r="J314" s="314"/>
      <c r="K314" s="314"/>
      <c r="L314" s="312"/>
      <c r="M314" s="312"/>
      <c r="N314" s="312"/>
      <c r="O314" s="314"/>
      <c r="P314" s="314"/>
      <c r="Q314" s="312"/>
      <c r="R314" s="314"/>
      <c r="S314" s="314"/>
      <c r="T314" s="314"/>
      <c r="U314" s="314"/>
      <c r="V314" s="309"/>
    </row>
    <row r="315" spans="1:22">
      <c r="A315" s="304"/>
      <c r="B315" s="50"/>
      <c r="C315" s="301"/>
      <c r="D315" s="302"/>
      <c r="E315" s="302"/>
      <c r="F315" s="302"/>
      <c r="G315" s="302"/>
      <c r="H315" s="302"/>
      <c r="I315" s="302"/>
      <c r="J315" s="303"/>
      <c r="K315" s="303"/>
      <c r="L315" s="302"/>
      <c r="M315" s="302"/>
      <c r="N315" s="302"/>
      <c r="O315" s="303"/>
      <c r="P315" s="303"/>
      <c r="Q315" s="302"/>
      <c r="R315" s="303"/>
      <c r="S315" s="303"/>
      <c r="T315" s="303"/>
      <c r="U315" s="303"/>
      <c r="V315" s="309"/>
    </row>
    <row r="316" spans="1:22">
      <c r="A316" s="304"/>
      <c r="B316" s="305"/>
      <c r="C316" s="306"/>
      <c r="D316" s="307"/>
      <c r="E316" s="307"/>
      <c r="F316" s="307"/>
      <c r="G316" s="307"/>
      <c r="H316" s="307"/>
      <c r="I316" s="307"/>
      <c r="J316" s="308"/>
      <c r="K316" s="308"/>
      <c r="L316" s="307"/>
      <c r="M316" s="307"/>
      <c r="N316" s="307"/>
      <c r="O316" s="308"/>
      <c r="P316" s="308"/>
      <c r="Q316" s="307"/>
      <c r="R316" s="308"/>
      <c r="S316" s="308"/>
      <c r="T316" s="308"/>
      <c r="U316" s="308"/>
      <c r="V316" s="309"/>
    </row>
    <row r="317" spans="1:22" s="327" customFormat="1">
      <c r="A317" s="304"/>
      <c r="B317" s="310"/>
      <c r="C317" s="311"/>
      <c r="D317" s="312"/>
      <c r="E317" s="312"/>
      <c r="F317" s="312"/>
      <c r="G317" s="312"/>
      <c r="H317" s="312"/>
      <c r="I317" s="312"/>
      <c r="J317" s="314"/>
      <c r="K317" s="314"/>
      <c r="L317" s="312"/>
      <c r="M317" s="312"/>
      <c r="N317" s="312"/>
      <c r="O317" s="314"/>
      <c r="P317" s="314"/>
      <c r="Q317" s="312"/>
      <c r="R317" s="314"/>
      <c r="S317" s="314"/>
      <c r="T317" s="314"/>
      <c r="U317" s="314"/>
      <c r="V317" s="309"/>
    </row>
    <row r="318" spans="1:22">
      <c r="A318" s="304"/>
      <c r="B318" s="50"/>
      <c r="C318" s="301"/>
      <c r="D318" s="302"/>
      <c r="E318" s="302"/>
      <c r="F318" s="302"/>
      <c r="G318" s="302"/>
      <c r="H318" s="302"/>
      <c r="I318" s="302"/>
      <c r="J318" s="303"/>
      <c r="K318" s="303"/>
      <c r="L318" s="302"/>
      <c r="M318" s="302"/>
      <c r="N318" s="302"/>
      <c r="O318" s="303"/>
      <c r="P318" s="303"/>
      <c r="Q318" s="302"/>
      <c r="R318" s="303"/>
      <c r="S318" s="303"/>
      <c r="T318" s="303"/>
      <c r="U318" s="303"/>
      <c r="V318" s="309"/>
    </row>
    <row r="319" spans="1:22">
      <c r="A319" s="304"/>
      <c r="B319" s="305"/>
      <c r="C319" s="306"/>
      <c r="D319" s="307"/>
      <c r="E319" s="307"/>
      <c r="F319" s="307"/>
      <c r="G319" s="307"/>
      <c r="H319" s="307"/>
      <c r="I319" s="307"/>
      <c r="J319" s="308"/>
      <c r="K319" s="308"/>
      <c r="L319" s="307"/>
      <c r="M319" s="307"/>
      <c r="N319" s="307"/>
      <c r="O319" s="308"/>
      <c r="P319" s="308"/>
      <c r="Q319" s="307"/>
      <c r="R319" s="308"/>
      <c r="S319" s="308"/>
      <c r="T319" s="308"/>
      <c r="U319" s="308"/>
      <c r="V319" s="309"/>
    </row>
    <row r="320" spans="1:22" s="327" customFormat="1">
      <c r="A320" s="304"/>
      <c r="B320" s="310"/>
      <c r="C320" s="311"/>
      <c r="D320" s="312"/>
      <c r="E320" s="312"/>
      <c r="F320" s="312"/>
      <c r="G320" s="312"/>
      <c r="H320" s="312"/>
      <c r="I320" s="312"/>
      <c r="J320" s="314"/>
      <c r="K320" s="314"/>
      <c r="L320" s="312"/>
      <c r="M320" s="312"/>
      <c r="N320" s="312"/>
      <c r="O320" s="314"/>
      <c r="P320" s="314"/>
      <c r="Q320" s="312"/>
      <c r="R320" s="314"/>
      <c r="S320" s="314"/>
      <c r="T320" s="314"/>
      <c r="U320" s="314"/>
      <c r="V320" s="309"/>
    </row>
    <row r="321" spans="1:22">
      <c r="A321" s="304"/>
      <c r="B321" s="50"/>
      <c r="C321" s="301"/>
      <c r="D321" s="302"/>
      <c r="E321" s="302"/>
      <c r="F321" s="302"/>
      <c r="G321" s="302"/>
      <c r="H321" s="302"/>
      <c r="I321" s="302"/>
      <c r="J321" s="303"/>
      <c r="K321" s="303"/>
      <c r="L321" s="302"/>
      <c r="M321" s="302"/>
      <c r="N321" s="302"/>
      <c r="O321" s="303"/>
      <c r="P321" s="303"/>
      <c r="Q321" s="302"/>
      <c r="R321" s="303"/>
      <c r="S321" s="303"/>
      <c r="T321" s="303"/>
      <c r="U321" s="303"/>
      <c r="V321" s="309"/>
    </row>
    <row r="322" spans="1:22">
      <c r="A322" s="304"/>
      <c r="B322" s="305"/>
      <c r="C322" s="306"/>
      <c r="D322" s="307"/>
      <c r="E322" s="307"/>
      <c r="F322" s="307"/>
      <c r="G322" s="307"/>
      <c r="H322" s="307"/>
      <c r="I322" s="307"/>
      <c r="J322" s="308"/>
      <c r="K322" s="308"/>
      <c r="L322" s="307"/>
      <c r="M322" s="307"/>
      <c r="N322" s="307"/>
      <c r="O322" s="308"/>
      <c r="P322" s="308"/>
      <c r="Q322" s="307"/>
      <c r="R322" s="308"/>
      <c r="S322" s="308"/>
      <c r="T322" s="308"/>
      <c r="U322" s="308"/>
      <c r="V322" s="309"/>
    </row>
    <row r="323" spans="1:22" s="327" customFormat="1">
      <c r="A323" s="304"/>
      <c r="B323" s="310"/>
      <c r="C323" s="311"/>
      <c r="D323" s="312"/>
      <c r="E323" s="312"/>
      <c r="F323" s="312"/>
      <c r="G323" s="312"/>
      <c r="H323" s="312"/>
      <c r="I323" s="312"/>
      <c r="J323" s="314"/>
      <c r="K323" s="314"/>
      <c r="L323" s="312"/>
      <c r="M323" s="312"/>
      <c r="N323" s="312"/>
      <c r="O323" s="314"/>
      <c r="P323" s="314"/>
      <c r="Q323" s="312"/>
      <c r="R323" s="314"/>
      <c r="S323" s="314"/>
      <c r="T323" s="314"/>
      <c r="U323" s="314"/>
      <c r="V323" s="309"/>
    </row>
    <row r="324" spans="1:22">
      <c r="A324" s="304"/>
      <c r="B324" s="50"/>
      <c r="C324" s="301"/>
      <c r="D324" s="302"/>
      <c r="E324" s="302"/>
      <c r="F324" s="302"/>
      <c r="G324" s="302"/>
      <c r="H324" s="302"/>
      <c r="I324" s="302"/>
      <c r="J324" s="303"/>
      <c r="K324" s="303"/>
      <c r="L324" s="302"/>
      <c r="M324" s="302"/>
      <c r="N324" s="302"/>
      <c r="O324" s="303"/>
      <c r="P324" s="303"/>
      <c r="Q324" s="302"/>
      <c r="R324" s="303"/>
      <c r="S324" s="303"/>
      <c r="T324" s="303"/>
      <c r="U324" s="303"/>
      <c r="V324" s="309"/>
    </row>
    <row r="325" spans="1:22">
      <c r="A325" s="304"/>
      <c r="B325" s="305"/>
      <c r="C325" s="306"/>
      <c r="D325" s="307"/>
      <c r="E325" s="307"/>
      <c r="F325" s="307"/>
      <c r="G325" s="307"/>
      <c r="H325" s="307"/>
      <c r="I325" s="307"/>
      <c r="J325" s="308"/>
      <c r="K325" s="308"/>
      <c r="L325" s="307"/>
      <c r="M325" s="307"/>
      <c r="N325" s="307"/>
      <c r="O325" s="308"/>
      <c r="P325" s="308"/>
      <c r="Q325" s="307"/>
      <c r="R325" s="308"/>
      <c r="S325" s="308"/>
      <c r="T325" s="308"/>
      <c r="U325" s="308"/>
      <c r="V325" s="309"/>
    </row>
    <row r="326" spans="1:22" s="327" customFormat="1">
      <c r="A326" s="304"/>
      <c r="B326" s="310"/>
      <c r="C326" s="311"/>
      <c r="D326" s="312"/>
      <c r="E326" s="312"/>
      <c r="F326" s="312"/>
      <c r="G326" s="312"/>
      <c r="H326" s="312"/>
      <c r="I326" s="312"/>
      <c r="J326" s="314"/>
      <c r="K326" s="314"/>
      <c r="L326" s="312"/>
      <c r="M326" s="312"/>
      <c r="N326" s="312"/>
      <c r="O326" s="314"/>
      <c r="P326" s="314"/>
      <c r="Q326" s="312"/>
      <c r="R326" s="314"/>
      <c r="S326" s="314"/>
      <c r="T326" s="314"/>
      <c r="U326" s="314"/>
      <c r="V326" s="309"/>
    </row>
    <row r="327" spans="1:22">
      <c r="A327" s="304"/>
      <c r="B327" s="50"/>
      <c r="C327" s="301"/>
      <c r="D327" s="302"/>
      <c r="E327" s="302"/>
      <c r="F327" s="302"/>
      <c r="G327" s="302"/>
      <c r="H327" s="302"/>
      <c r="I327" s="302"/>
      <c r="J327" s="303"/>
      <c r="K327" s="303"/>
      <c r="L327" s="302"/>
      <c r="M327" s="302"/>
      <c r="N327" s="302"/>
      <c r="O327" s="303"/>
      <c r="P327" s="303"/>
      <c r="Q327" s="302"/>
      <c r="R327" s="303"/>
      <c r="S327" s="303"/>
      <c r="T327" s="303"/>
      <c r="U327" s="303"/>
      <c r="V327" s="309"/>
    </row>
    <row r="328" spans="1:22">
      <c r="A328" s="304"/>
      <c r="B328" s="305"/>
      <c r="C328" s="306"/>
      <c r="D328" s="307"/>
      <c r="E328" s="307"/>
      <c r="F328" s="307"/>
      <c r="G328" s="307"/>
      <c r="H328" s="307"/>
      <c r="I328" s="307"/>
      <c r="J328" s="308"/>
      <c r="K328" s="308"/>
      <c r="L328" s="307"/>
      <c r="M328" s="307"/>
      <c r="N328" s="307"/>
      <c r="O328" s="308"/>
      <c r="P328" s="308"/>
      <c r="Q328" s="307"/>
      <c r="R328" s="308"/>
      <c r="S328" s="308"/>
      <c r="T328" s="308"/>
      <c r="U328" s="308"/>
      <c r="V328" s="309"/>
    </row>
    <row r="329" spans="1:22" s="327" customFormat="1" ht="15.75" thickBot="1">
      <c r="A329" s="320"/>
      <c r="B329" s="321"/>
      <c r="C329" s="322"/>
      <c r="D329" s="323"/>
      <c r="E329" s="323"/>
      <c r="F329" s="323"/>
      <c r="G329" s="323"/>
      <c r="H329" s="323"/>
      <c r="I329" s="323"/>
      <c r="J329" s="324"/>
      <c r="K329" s="324"/>
      <c r="L329" s="323"/>
      <c r="M329" s="323"/>
      <c r="N329" s="323"/>
      <c r="O329" s="324"/>
      <c r="P329" s="324"/>
      <c r="Q329" s="323"/>
      <c r="R329" s="324"/>
      <c r="S329" s="324"/>
      <c r="T329" s="324"/>
      <c r="U329" s="324"/>
      <c r="V329" s="309"/>
    </row>
    <row r="330" spans="1:22">
      <c r="A330" s="300"/>
      <c r="B330" s="50"/>
      <c r="C330" s="301"/>
      <c r="D330" s="302"/>
      <c r="E330" s="302"/>
      <c r="F330" s="302"/>
      <c r="G330" s="302"/>
      <c r="H330" s="302"/>
      <c r="I330" s="302"/>
      <c r="J330" s="303"/>
      <c r="K330" s="303"/>
      <c r="L330" s="302"/>
      <c r="M330" s="302"/>
      <c r="N330" s="302"/>
      <c r="O330" s="303"/>
      <c r="P330" s="303"/>
      <c r="Q330" s="302"/>
      <c r="R330" s="303"/>
      <c r="S330" s="303"/>
      <c r="T330" s="303"/>
      <c r="U330" s="303"/>
      <c r="V330" s="309"/>
    </row>
    <row r="331" spans="1:22">
      <c r="A331" s="304"/>
      <c r="B331" s="305"/>
      <c r="C331" s="306"/>
      <c r="D331" s="307"/>
      <c r="E331" s="307"/>
      <c r="F331" s="307"/>
      <c r="G331" s="307"/>
      <c r="H331" s="307"/>
      <c r="I331" s="307"/>
      <c r="J331" s="308"/>
      <c r="K331" s="308"/>
      <c r="L331" s="307"/>
      <c r="M331" s="307"/>
      <c r="N331" s="307"/>
      <c r="O331" s="308"/>
      <c r="P331" s="308"/>
      <c r="Q331" s="307"/>
      <c r="R331" s="308"/>
      <c r="S331" s="308"/>
      <c r="T331" s="308"/>
      <c r="U331" s="308"/>
      <c r="V331" s="309"/>
    </row>
    <row r="332" spans="1:22">
      <c r="A332" s="304"/>
      <c r="B332" s="310"/>
      <c r="C332" s="311"/>
      <c r="D332" s="312"/>
      <c r="E332" s="312"/>
      <c r="F332" s="312"/>
      <c r="G332" s="312"/>
      <c r="H332" s="312"/>
      <c r="I332" s="312"/>
      <c r="J332" s="314"/>
      <c r="K332" s="314"/>
      <c r="L332" s="312"/>
      <c r="M332" s="312"/>
      <c r="N332" s="312"/>
      <c r="O332" s="314"/>
      <c r="P332" s="314"/>
      <c r="Q332" s="312"/>
      <c r="R332" s="314"/>
      <c r="S332" s="314"/>
      <c r="T332" s="314"/>
      <c r="U332" s="314"/>
      <c r="V332" s="309"/>
    </row>
    <row r="333" spans="1:22">
      <c r="A333" s="304"/>
      <c r="B333" s="50"/>
      <c r="C333" s="301"/>
      <c r="D333" s="302"/>
      <c r="E333" s="302"/>
      <c r="F333" s="302"/>
      <c r="G333" s="302"/>
      <c r="H333" s="302"/>
      <c r="I333" s="302"/>
      <c r="J333" s="303"/>
      <c r="K333" s="303"/>
      <c r="L333" s="302"/>
      <c r="M333" s="302"/>
      <c r="N333" s="302"/>
      <c r="O333" s="303"/>
      <c r="P333" s="303"/>
      <c r="Q333" s="302"/>
      <c r="R333" s="303"/>
      <c r="S333" s="303"/>
      <c r="T333" s="303"/>
      <c r="U333" s="303"/>
      <c r="V333" s="309"/>
    </row>
    <row r="334" spans="1:22">
      <c r="A334" s="304"/>
      <c r="B334" s="305"/>
      <c r="C334" s="306"/>
      <c r="D334" s="307"/>
      <c r="E334" s="307"/>
      <c r="F334" s="307"/>
      <c r="G334" s="307"/>
      <c r="H334" s="307"/>
      <c r="I334" s="307"/>
      <c r="J334" s="308"/>
      <c r="K334" s="308"/>
      <c r="L334" s="307"/>
      <c r="M334" s="307"/>
      <c r="N334" s="307"/>
      <c r="O334" s="308"/>
      <c r="P334" s="308"/>
      <c r="Q334" s="307"/>
      <c r="R334" s="308"/>
      <c r="S334" s="308"/>
      <c r="T334" s="308"/>
      <c r="U334" s="308"/>
      <c r="V334" s="309"/>
    </row>
    <row r="335" spans="1:22">
      <c r="A335" s="304"/>
      <c r="B335" s="310"/>
      <c r="C335" s="311"/>
      <c r="D335" s="312"/>
      <c r="E335" s="312"/>
      <c r="F335" s="312"/>
      <c r="G335" s="312"/>
      <c r="H335" s="312"/>
      <c r="I335" s="312"/>
      <c r="J335" s="314"/>
      <c r="K335" s="314"/>
      <c r="L335" s="312"/>
      <c r="M335" s="312"/>
      <c r="N335" s="312"/>
      <c r="O335" s="314"/>
      <c r="P335" s="314"/>
      <c r="Q335" s="312"/>
      <c r="R335" s="314"/>
      <c r="S335" s="314"/>
      <c r="T335" s="314"/>
      <c r="U335" s="314"/>
      <c r="V335" s="309"/>
    </row>
    <row r="336" spans="1:22">
      <c r="A336" s="304"/>
      <c r="B336" s="50"/>
      <c r="C336" s="301"/>
      <c r="D336" s="302"/>
      <c r="E336" s="302"/>
      <c r="F336" s="302"/>
      <c r="G336" s="302"/>
      <c r="H336" s="302"/>
      <c r="I336" s="302"/>
      <c r="J336" s="303"/>
      <c r="K336" s="303"/>
      <c r="L336" s="302"/>
      <c r="M336" s="302"/>
      <c r="N336" s="302"/>
      <c r="O336" s="303"/>
      <c r="P336" s="303"/>
      <c r="Q336" s="302"/>
      <c r="R336" s="303"/>
      <c r="S336" s="303"/>
      <c r="T336" s="303"/>
      <c r="U336" s="303"/>
      <c r="V336" s="309"/>
    </row>
    <row r="337" spans="1:22">
      <c r="A337" s="304"/>
      <c r="B337" s="305"/>
      <c r="C337" s="306"/>
      <c r="D337" s="307"/>
      <c r="E337" s="307"/>
      <c r="F337" s="307"/>
      <c r="G337" s="307"/>
      <c r="H337" s="307"/>
      <c r="I337" s="307"/>
      <c r="J337" s="308"/>
      <c r="K337" s="308"/>
      <c r="L337" s="307"/>
      <c r="M337" s="307"/>
      <c r="N337" s="307"/>
      <c r="O337" s="308"/>
      <c r="P337" s="308"/>
      <c r="Q337" s="307"/>
      <c r="R337" s="308"/>
      <c r="S337" s="308"/>
      <c r="T337" s="308"/>
      <c r="U337" s="308"/>
      <c r="V337" s="309"/>
    </row>
    <row r="338" spans="1:22">
      <c r="A338" s="304"/>
      <c r="B338" s="310"/>
      <c r="C338" s="311"/>
      <c r="D338" s="312"/>
      <c r="E338" s="312"/>
      <c r="F338" s="312"/>
      <c r="G338" s="312"/>
      <c r="H338" s="312"/>
      <c r="I338" s="312"/>
      <c r="J338" s="314"/>
      <c r="K338" s="314"/>
      <c r="L338" s="312"/>
      <c r="M338" s="312"/>
      <c r="N338" s="312"/>
      <c r="O338" s="314"/>
      <c r="P338" s="314"/>
      <c r="Q338" s="312"/>
      <c r="R338" s="314"/>
      <c r="S338" s="314"/>
      <c r="T338" s="314"/>
      <c r="U338" s="314"/>
      <c r="V338" s="309"/>
    </row>
    <row r="339" spans="1:22">
      <c r="A339" s="304"/>
      <c r="B339" s="50"/>
      <c r="C339" s="301"/>
      <c r="D339" s="302"/>
      <c r="E339" s="302"/>
      <c r="F339" s="302"/>
      <c r="G339" s="302"/>
      <c r="H339" s="302"/>
      <c r="I339" s="302"/>
      <c r="J339" s="303"/>
      <c r="K339" s="303"/>
      <c r="L339" s="302"/>
      <c r="M339" s="302"/>
      <c r="N339" s="302"/>
      <c r="O339" s="303"/>
      <c r="P339" s="303"/>
      <c r="Q339" s="302"/>
      <c r="R339" s="303"/>
      <c r="S339" s="303"/>
      <c r="T339" s="303"/>
      <c r="U339" s="303"/>
      <c r="V339" s="309"/>
    </row>
    <row r="340" spans="1:22">
      <c r="A340" s="304"/>
      <c r="B340" s="305"/>
      <c r="C340" s="306"/>
      <c r="D340" s="307"/>
      <c r="E340" s="307"/>
      <c r="F340" s="307"/>
      <c r="G340" s="307"/>
      <c r="H340" s="307"/>
      <c r="I340" s="307"/>
      <c r="J340" s="308"/>
      <c r="K340" s="308"/>
      <c r="L340" s="307"/>
      <c r="M340" s="307"/>
      <c r="N340" s="307"/>
      <c r="O340" s="308"/>
      <c r="P340" s="308"/>
      <c r="Q340" s="307"/>
      <c r="R340" s="308"/>
      <c r="S340" s="308"/>
      <c r="T340" s="308"/>
      <c r="U340" s="308"/>
      <c r="V340" s="309"/>
    </row>
    <row r="341" spans="1:22">
      <c r="A341" s="304"/>
      <c r="B341" s="310"/>
      <c r="C341" s="311"/>
      <c r="D341" s="312"/>
      <c r="E341" s="312"/>
      <c r="F341" s="312"/>
      <c r="G341" s="312"/>
      <c r="H341" s="312"/>
      <c r="I341" s="312"/>
      <c r="J341" s="314"/>
      <c r="K341" s="314"/>
      <c r="L341" s="312"/>
      <c r="M341" s="312"/>
      <c r="N341" s="312"/>
      <c r="O341" s="314"/>
      <c r="P341" s="314"/>
      <c r="Q341" s="312"/>
      <c r="R341" s="314"/>
      <c r="S341" s="314"/>
      <c r="T341" s="314"/>
      <c r="U341" s="314"/>
      <c r="V341" s="309"/>
    </row>
    <row r="342" spans="1:22">
      <c r="A342" s="304"/>
      <c r="B342" s="50"/>
      <c r="C342" s="301"/>
      <c r="D342" s="302"/>
      <c r="E342" s="302"/>
      <c r="F342" s="302"/>
      <c r="G342" s="302"/>
      <c r="H342" s="302"/>
      <c r="I342" s="302"/>
      <c r="J342" s="303"/>
      <c r="K342" s="303"/>
      <c r="L342" s="302"/>
      <c r="M342" s="302"/>
      <c r="N342" s="302"/>
      <c r="O342" s="303"/>
      <c r="P342" s="303"/>
      <c r="Q342" s="302"/>
      <c r="R342" s="303"/>
      <c r="S342" s="303"/>
      <c r="T342" s="303"/>
      <c r="U342" s="303"/>
      <c r="V342" s="309"/>
    </row>
    <row r="343" spans="1:22">
      <c r="A343" s="304"/>
      <c r="B343" s="305"/>
      <c r="C343" s="306"/>
      <c r="D343" s="307"/>
      <c r="E343" s="307"/>
      <c r="F343" s="307"/>
      <c r="G343" s="307"/>
      <c r="H343" s="307"/>
      <c r="I343" s="307"/>
      <c r="J343" s="308"/>
      <c r="K343" s="308"/>
      <c r="L343" s="307"/>
      <c r="M343" s="307"/>
      <c r="N343" s="307"/>
      <c r="O343" s="308"/>
      <c r="P343" s="308"/>
      <c r="Q343" s="307"/>
      <c r="R343" s="308"/>
      <c r="S343" s="308"/>
      <c r="T343" s="308"/>
      <c r="U343" s="308"/>
      <c r="V343" s="309"/>
    </row>
    <row r="344" spans="1:22">
      <c r="A344" s="304"/>
      <c r="B344" s="310"/>
      <c r="C344" s="311"/>
      <c r="D344" s="312"/>
      <c r="E344" s="312"/>
      <c r="F344" s="312"/>
      <c r="G344" s="312"/>
      <c r="H344" s="312"/>
      <c r="I344" s="312"/>
      <c r="J344" s="314"/>
      <c r="K344" s="314"/>
      <c r="L344" s="312"/>
      <c r="M344" s="312"/>
      <c r="N344" s="312"/>
      <c r="O344" s="314"/>
      <c r="P344" s="314"/>
      <c r="Q344" s="312"/>
      <c r="R344" s="314"/>
      <c r="S344" s="314"/>
      <c r="T344" s="314"/>
      <c r="U344" s="314"/>
      <c r="V344" s="309"/>
    </row>
    <row r="345" spans="1:22">
      <c r="A345" s="304"/>
      <c r="B345" s="50"/>
      <c r="C345" s="301"/>
      <c r="D345" s="302"/>
      <c r="E345" s="302"/>
      <c r="F345" s="302"/>
      <c r="G345" s="302"/>
      <c r="H345" s="302"/>
      <c r="I345" s="302"/>
      <c r="J345" s="303"/>
      <c r="K345" s="303"/>
      <c r="L345" s="302"/>
      <c r="M345" s="302"/>
      <c r="N345" s="302"/>
      <c r="O345" s="303"/>
      <c r="P345" s="303"/>
      <c r="Q345" s="302"/>
      <c r="R345" s="303"/>
      <c r="S345" s="303"/>
      <c r="T345" s="303"/>
      <c r="U345" s="303"/>
      <c r="V345" s="309"/>
    </row>
    <row r="346" spans="1:22">
      <c r="A346" s="304"/>
      <c r="B346" s="305"/>
      <c r="C346" s="306"/>
      <c r="D346" s="307"/>
      <c r="E346" s="307"/>
      <c r="F346" s="307"/>
      <c r="G346" s="307"/>
      <c r="H346" s="307"/>
      <c r="I346" s="307"/>
      <c r="J346" s="308"/>
      <c r="K346" s="308"/>
      <c r="L346" s="307"/>
      <c r="M346" s="307"/>
      <c r="N346" s="307"/>
      <c r="O346" s="308"/>
      <c r="P346" s="308"/>
      <c r="Q346" s="307"/>
      <c r="R346" s="308"/>
      <c r="S346" s="308"/>
      <c r="T346" s="308"/>
      <c r="U346" s="308"/>
      <c r="V346" s="309"/>
    </row>
    <row r="347" spans="1:22" ht="15.75" thickBot="1">
      <c r="A347" s="304"/>
      <c r="B347" s="316"/>
      <c r="C347" s="317"/>
      <c r="D347" s="318"/>
      <c r="E347" s="318"/>
      <c r="F347" s="318"/>
      <c r="G347" s="318"/>
      <c r="H347" s="318"/>
      <c r="I347" s="318"/>
      <c r="J347" s="319"/>
      <c r="K347" s="319"/>
      <c r="L347" s="318"/>
      <c r="M347" s="318"/>
      <c r="N347" s="318"/>
      <c r="O347" s="319"/>
      <c r="P347" s="319"/>
      <c r="Q347" s="318"/>
      <c r="R347" s="319"/>
      <c r="S347" s="319"/>
      <c r="T347" s="319"/>
      <c r="U347" s="319"/>
      <c r="V347" s="309"/>
    </row>
    <row r="348" spans="1:22" ht="15.75" thickTop="1">
      <c r="A348" s="304"/>
      <c r="B348" s="305"/>
      <c r="C348" s="306"/>
      <c r="D348" s="307"/>
      <c r="E348" s="307"/>
      <c r="F348" s="307"/>
      <c r="G348" s="307"/>
      <c r="H348" s="307"/>
      <c r="I348" s="307"/>
      <c r="J348" s="308"/>
      <c r="K348" s="308"/>
      <c r="L348" s="307"/>
      <c r="M348" s="307"/>
      <c r="N348" s="307"/>
      <c r="O348" s="308"/>
      <c r="P348" s="308"/>
      <c r="Q348" s="307"/>
      <c r="R348" s="308"/>
      <c r="S348" s="308"/>
      <c r="T348" s="308"/>
      <c r="U348" s="308"/>
      <c r="V348" s="309"/>
    </row>
    <row r="349" spans="1:22">
      <c r="A349" s="304"/>
      <c r="B349" s="305"/>
      <c r="C349" s="306"/>
      <c r="D349" s="307"/>
      <c r="E349" s="307"/>
      <c r="F349" s="307"/>
      <c r="G349" s="307"/>
      <c r="H349" s="307"/>
      <c r="I349" s="307"/>
      <c r="J349" s="308"/>
      <c r="K349" s="308"/>
      <c r="L349" s="307"/>
      <c r="M349" s="307"/>
      <c r="N349" s="307"/>
      <c r="O349" s="308"/>
      <c r="P349" s="308"/>
      <c r="Q349" s="307"/>
      <c r="R349" s="308"/>
      <c r="S349" s="308"/>
      <c r="T349" s="308"/>
      <c r="U349" s="308"/>
      <c r="V349" s="309"/>
    </row>
    <row r="350" spans="1:22">
      <c r="A350" s="304"/>
      <c r="B350" s="310"/>
      <c r="C350" s="311"/>
      <c r="D350" s="312"/>
      <c r="E350" s="312"/>
      <c r="F350" s="312"/>
      <c r="G350" s="312"/>
      <c r="H350" s="312"/>
      <c r="I350" s="312"/>
      <c r="J350" s="314"/>
      <c r="K350" s="314"/>
      <c r="L350" s="312"/>
      <c r="M350" s="312"/>
      <c r="N350" s="312"/>
      <c r="O350" s="314"/>
      <c r="P350" s="314"/>
      <c r="Q350" s="312"/>
      <c r="R350" s="314"/>
      <c r="S350" s="314"/>
      <c r="T350" s="314"/>
      <c r="U350" s="314"/>
      <c r="V350" s="309"/>
    </row>
    <row r="351" spans="1:22">
      <c r="A351" s="304"/>
      <c r="B351" s="50"/>
      <c r="C351" s="301"/>
      <c r="D351" s="302"/>
      <c r="E351" s="302"/>
      <c r="F351" s="302"/>
      <c r="G351" s="302"/>
      <c r="H351" s="302"/>
      <c r="I351" s="302"/>
      <c r="J351" s="303"/>
      <c r="K351" s="303"/>
      <c r="L351" s="302"/>
      <c r="M351" s="302"/>
      <c r="N351" s="302"/>
      <c r="O351" s="303"/>
      <c r="P351" s="303"/>
      <c r="Q351" s="302"/>
      <c r="R351" s="303"/>
      <c r="S351" s="303"/>
      <c r="T351" s="303"/>
      <c r="U351" s="303"/>
      <c r="V351" s="309"/>
    </row>
    <row r="352" spans="1:22">
      <c r="A352" s="304"/>
      <c r="B352" s="305"/>
      <c r="C352" s="306"/>
      <c r="D352" s="307"/>
      <c r="E352" s="307"/>
      <c r="F352" s="307"/>
      <c r="G352" s="307"/>
      <c r="H352" s="307"/>
      <c r="I352" s="307"/>
      <c r="J352" s="308"/>
      <c r="K352" s="308"/>
      <c r="L352" s="307"/>
      <c r="M352" s="307"/>
      <c r="N352" s="307"/>
      <c r="O352" s="308"/>
      <c r="P352" s="308"/>
      <c r="Q352" s="307"/>
      <c r="R352" s="308"/>
      <c r="S352" s="308"/>
      <c r="T352" s="308"/>
      <c r="U352" s="308"/>
      <c r="V352" s="309"/>
    </row>
    <row r="353" spans="1:22">
      <c r="A353" s="304"/>
      <c r="B353" s="310"/>
      <c r="C353" s="311"/>
      <c r="D353" s="312"/>
      <c r="E353" s="312"/>
      <c r="F353" s="312"/>
      <c r="G353" s="312"/>
      <c r="H353" s="312"/>
      <c r="I353" s="312"/>
      <c r="J353" s="314"/>
      <c r="K353" s="314"/>
      <c r="L353" s="312"/>
      <c r="M353" s="312"/>
      <c r="N353" s="312"/>
      <c r="O353" s="314"/>
      <c r="P353" s="314"/>
      <c r="Q353" s="312"/>
      <c r="R353" s="314"/>
      <c r="S353" s="314"/>
      <c r="T353" s="314"/>
      <c r="U353" s="314"/>
      <c r="V353" s="309"/>
    </row>
    <row r="354" spans="1:22">
      <c r="A354" s="304"/>
      <c r="B354" s="50"/>
      <c r="C354" s="301"/>
      <c r="D354" s="302"/>
      <c r="E354" s="302"/>
      <c r="F354" s="302"/>
      <c r="G354" s="302"/>
      <c r="H354" s="302"/>
      <c r="I354" s="302"/>
      <c r="J354" s="303"/>
      <c r="K354" s="303"/>
      <c r="L354" s="302"/>
      <c r="M354" s="302"/>
      <c r="N354" s="302"/>
      <c r="O354" s="303"/>
      <c r="P354" s="303"/>
      <c r="Q354" s="302"/>
      <c r="R354" s="303"/>
      <c r="S354" s="303"/>
      <c r="T354" s="303"/>
      <c r="U354" s="303"/>
      <c r="V354" s="309"/>
    </row>
    <row r="355" spans="1:22">
      <c r="A355" s="304"/>
      <c r="B355" s="305"/>
      <c r="C355" s="306"/>
      <c r="D355" s="307"/>
      <c r="E355" s="307"/>
      <c r="F355" s="307"/>
      <c r="G355" s="307"/>
      <c r="H355" s="307"/>
      <c r="I355" s="307"/>
      <c r="J355" s="308"/>
      <c r="K355" s="308"/>
      <c r="L355" s="307"/>
      <c r="M355" s="307"/>
      <c r="N355" s="307"/>
      <c r="O355" s="308"/>
      <c r="P355" s="308"/>
      <c r="Q355" s="307"/>
      <c r="R355" s="308"/>
      <c r="S355" s="308"/>
      <c r="T355" s="308"/>
      <c r="U355" s="308"/>
      <c r="V355" s="309"/>
    </row>
    <row r="356" spans="1:22">
      <c r="A356" s="304"/>
      <c r="B356" s="310"/>
      <c r="C356" s="311"/>
      <c r="D356" s="312"/>
      <c r="E356" s="312"/>
      <c r="F356" s="312"/>
      <c r="G356" s="312"/>
      <c r="H356" s="312"/>
      <c r="I356" s="312"/>
      <c r="J356" s="314"/>
      <c r="K356" s="314"/>
      <c r="L356" s="312"/>
      <c r="M356" s="312"/>
      <c r="N356" s="312"/>
      <c r="O356" s="314"/>
      <c r="P356" s="314"/>
      <c r="Q356" s="312"/>
      <c r="R356" s="314"/>
      <c r="S356" s="314"/>
      <c r="T356" s="314"/>
      <c r="U356" s="314"/>
      <c r="V356" s="309"/>
    </row>
    <row r="357" spans="1:22">
      <c r="A357" s="304"/>
      <c r="B357" s="50"/>
      <c r="C357" s="301"/>
      <c r="D357" s="302"/>
      <c r="E357" s="302"/>
      <c r="F357" s="302"/>
      <c r="G357" s="302"/>
      <c r="H357" s="302"/>
      <c r="I357" s="302"/>
      <c r="J357" s="303"/>
      <c r="K357" s="303"/>
      <c r="L357" s="302"/>
      <c r="M357" s="302"/>
      <c r="N357" s="302"/>
      <c r="O357" s="303"/>
      <c r="P357" s="303"/>
      <c r="Q357" s="302"/>
      <c r="R357" s="303"/>
      <c r="S357" s="303"/>
      <c r="T357" s="303"/>
      <c r="U357" s="303"/>
      <c r="V357" s="309"/>
    </row>
    <row r="358" spans="1:22">
      <c r="A358" s="304"/>
      <c r="B358" s="305"/>
      <c r="C358" s="306"/>
      <c r="D358" s="307"/>
      <c r="E358" s="307"/>
      <c r="F358" s="307"/>
      <c r="G358" s="307"/>
      <c r="H358" s="307"/>
      <c r="I358" s="307"/>
      <c r="J358" s="308"/>
      <c r="K358" s="308"/>
      <c r="L358" s="307"/>
      <c r="M358" s="307"/>
      <c r="N358" s="307"/>
      <c r="O358" s="308"/>
      <c r="P358" s="308"/>
      <c r="Q358" s="307"/>
      <c r="R358" s="308"/>
      <c r="S358" s="308"/>
      <c r="T358" s="308"/>
      <c r="U358" s="308"/>
      <c r="V358" s="309"/>
    </row>
    <row r="359" spans="1:22">
      <c r="A359" s="304"/>
      <c r="B359" s="310"/>
      <c r="C359" s="311"/>
      <c r="D359" s="312"/>
      <c r="E359" s="312"/>
      <c r="F359" s="312"/>
      <c r="G359" s="312"/>
      <c r="H359" s="312"/>
      <c r="I359" s="312"/>
      <c r="J359" s="314"/>
      <c r="K359" s="314"/>
      <c r="L359" s="312"/>
      <c r="M359" s="312"/>
      <c r="N359" s="312"/>
      <c r="O359" s="314"/>
      <c r="P359" s="314"/>
      <c r="Q359" s="312"/>
      <c r="R359" s="314"/>
      <c r="S359" s="314"/>
      <c r="T359" s="314"/>
      <c r="U359" s="314"/>
      <c r="V359" s="309"/>
    </row>
    <row r="360" spans="1:22">
      <c r="A360" s="304"/>
      <c r="B360" s="50"/>
      <c r="C360" s="301"/>
      <c r="D360" s="302"/>
      <c r="E360" s="302"/>
      <c r="F360" s="302"/>
      <c r="G360" s="302"/>
      <c r="H360" s="302"/>
      <c r="I360" s="302"/>
      <c r="J360" s="303"/>
      <c r="K360" s="303"/>
      <c r="L360" s="302"/>
      <c r="M360" s="302"/>
      <c r="N360" s="302"/>
      <c r="O360" s="303"/>
      <c r="P360" s="303"/>
      <c r="Q360" s="302"/>
      <c r="R360" s="303"/>
      <c r="S360" s="303"/>
      <c r="T360" s="303"/>
      <c r="U360" s="303"/>
      <c r="V360" s="309"/>
    </row>
    <row r="361" spans="1:22">
      <c r="A361" s="304"/>
      <c r="B361" s="305"/>
      <c r="C361" s="306"/>
      <c r="D361" s="307"/>
      <c r="E361" s="307"/>
      <c r="F361" s="307"/>
      <c r="G361" s="307"/>
      <c r="H361" s="307"/>
      <c r="I361" s="307"/>
      <c r="J361" s="308"/>
      <c r="K361" s="308"/>
      <c r="L361" s="307"/>
      <c r="M361" s="307"/>
      <c r="N361" s="307"/>
      <c r="O361" s="308"/>
      <c r="P361" s="308"/>
      <c r="Q361" s="307"/>
      <c r="R361" s="308"/>
      <c r="S361" s="308"/>
      <c r="T361" s="308"/>
      <c r="U361" s="308"/>
      <c r="V361" s="309"/>
    </row>
    <row r="362" spans="1:22">
      <c r="A362" s="304"/>
      <c r="B362" s="310"/>
      <c r="C362" s="311"/>
      <c r="D362" s="312"/>
      <c r="E362" s="312"/>
      <c r="F362" s="312"/>
      <c r="G362" s="312"/>
      <c r="H362" s="312"/>
      <c r="I362" s="312"/>
      <c r="J362" s="314"/>
      <c r="K362" s="314"/>
      <c r="L362" s="312"/>
      <c r="M362" s="312"/>
      <c r="N362" s="312"/>
      <c r="O362" s="314"/>
      <c r="P362" s="314"/>
      <c r="Q362" s="312"/>
      <c r="R362" s="314"/>
      <c r="S362" s="314"/>
      <c r="T362" s="314"/>
      <c r="U362" s="314"/>
      <c r="V362" s="309"/>
    </row>
    <row r="363" spans="1:22">
      <c r="A363" s="304"/>
      <c r="B363" s="50"/>
      <c r="C363" s="301"/>
      <c r="D363" s="302"/>
      <c r="E363" s="302"/>
      <c r="F363" s="302"/>
      <c r="G363" s="302"/>
      <c r="H363" s="302"/>
      <c r="I363" s="302"/>
      <c r="J363" s="303"/>
      <c r="K363" s="303"/>
      <c r="L363" s="302"/>
      <c r="M363" s="302"/>
      <c r="N363" s="302"/>
      <c r="O363" s="303"/>
      <c r="P363" s="303"/>
      <c r="Q363" s="302"/>
      <c r="R363" s="303"/>
      <c r="S363" s="303"/>
      <c r="T363" s="303"/>
      <c r="U363" s="303"/>
      <c r="V363" s="309"/>
    </row>
    <row r="364" spans="1:22">
      <c r="A364" s="304"/>
      <c r="B364" s="305"/>
      <c r="C364" s="306"/>
      <c r="D364" s="307"/>
      <c r="E364" s="307"/>
      <c r="F364" s="307"/>
      <c r="G364" s="307"/>
      <c r="H364" s="307"/>
      <c r="I364" s="307"/>
      <c r="J364" s="308"/>
      <c r="K364" s="308"/>
      <c r="L364" s="307"/>
      <c r="M364" s="307"/>
      <c r="N364" s="307"/>
      <c r="O364" s="308"/>
      <c r="P364" s="308"/>
      <c r="Q364" s="307"/>
      <c r="R364" s="308"/>
      <c r="S364" s="308"/>
      <c r="T364" s="308"/>
      <c r="U364" s="308"/>
      <c r="V364" s="309"/>
    </row>
    <row r="365" spans="1:22" ht="15.75" thickBot="1">
      <c r="A365" s="320"/>
      <c r="B365" s="321"/>
      <c r="C365" s="322"/>
      <c r="D365" s="323"/>
      <c r="E365" s="323"/>
      <c r="F365" s="323"/>
      <c r="G365" s="323"/>
      <c r="H365" s="323"/>
      <c r="I365" s="323"/>
      <c r="J365" s="324"/>
      <c r="K365" s="324"/>
      <c r="L365" s="323"/>
      <c r="M365" s="323"/>
      <c r="N365" s="323"/>
      <c r="O365" s="324"/>
      <c r="P365" s="324"/>
      <c r="Q365" s="323"/>
      <c r="R365" s="324"/>
      <c r="S365" s="324"/>
      <c r="T365" s="324"/>
      <c r="U365" s="324"/>
      <c r="V365" s="309"/>
    </row>
    <row r="366" spans="1:22">
      <c r="A366" s="300"/>
      <c r="B366" s="50"/>
      <c r="C366" s="301"/>
      <c r="D366" s="302"/>
      <c r="E366" s="302"/>
      <c r="F366" s="302"/>
      <c r="G366" s="302"/>
      <c r="H366" s="302"/>
      <c r="I366" s="302"/>
      <c r="J366" s="303"/>
      <c r="K366" s="303"/>
      <c r="L366" s="302"/>
      <c r="M366" s="302"/>
      <c r="N366" s="302"/>
      <c r="O366" s="303"/>
      <c r="P366" s="303"/>
      <c r="Q366" s="302"/>
      <c r="R366" s="303"/>
      <c r="S366" s="303"/>
      <c r="T366" s="303"/>
      <c r="U366" s="303"/>
      <c r="V366" s="309"/>
    </row>
    <row r="367" spans="1:22">
      <c r="A367" s="304"/>
      <c r="B367" s="305"/>
      <c r="C367" s="306"/>
      <c r="D367" s="307"/>
      <c r="E367" s="307"/>
      <c r="F367" s="307"/>
      <c r="G367" s="307"/>
      <c r="H367" s="307"/>
      <c r="I367" s="307"/>
      <c r="J367" s="308"/>
      <c r="K367" s="308"/>
      <c r="L367" s="307"/>
      <c r="M367" s="307"/>
      <c r="N367" s="307"/>
      <c r="O367" s="308"/>
      <c r="P367" s="308"/>
      <c r="Q367" s="307"/>
      <c r="R367" s="308"/>
      <c r="S367" s="308"/>
      <c r="T367" s="308"/>
      <c r="U367" s="308"/>
      <c r="V367" s="309"/>
    </row>
    <row r="368" spans="1:22">
      <c r="A368" s="304"/>
      <c r="B368" s="310"/>
      <c r="C368" s="311"/>
      <c r="D368" s="312"/>
      <c r="E368" s="312"/>
      <c r="F368" s="312"/>
      <c r="G368" s="312"/>
      <c r="H368" s="312"/>
      <c r="I368" s="312"/>
      <c r="J368" s="314"/>
      <c r="K368" s="314"/>
      <c r="L368" s="312"/>
      <c r="M368" s="312"/>
      <c r="N368" s="312"/>
      <c r="O368" s="314"/>
      <c r="P368" s="314"/>
      <c r="Q368" s="312"/>
      <c r="R368" s="314"/>
      <c r="S368" s="314"/>
      <c r="T368" s="314"/>
      <c r="U368" s="314"/>
      <c r="V368" s="309"/>
    </row>
    <row r="369" spans="1:22">
      <c r="A369" s="304"/>
      <c r="B369" s="50"/>
      <c r="C369" s="301"/>
      <c r="D369" s="302"/>
      <c r="E369" s="302"/>
      <c r="F369" s="302"/>
      <c r="G369" s="302"/>
      <c r="H369" s="302"/>
      <c r="I369" s="302"/>
      <c r="J369" s="303"/>
      <c r="K369" s="303"/>
      <c r="L369" s="302"/>
      <c r="M369" s="302"/>
      <c r="N369" s="302"/>
      <c r="O369" s="303"/>
      <c r="P369" s="303"/>
      <c r="Q369" s="302"/>
      <c r="R369" s="303"/>
      <c r="S369" s="303"/>
      <c r="T369" s="303"/>
      <c r="U369" s="303"/>
      <c r="V369" s="309"/>
    </row>
    <row r="370" spans="1:22">
      <c r="A370" s="304"/>
      <c r="B370" s="305"/>
      <c r="C370" s="306"/>
      <c r="D370" s="307"/>
      <c r="E370" s="307"/>
      <c r="F370" s="307"/>
      <c r="G370" s="307"/>
      <c r="H370" s="307"/>
      <c r="I370" s="307"/>
      <c r="J370" s="308"/>
      <c r="K370" s="308"/>
      <c r="L370" s="307"/>
      <c r="M370" s="307"/>
      <c r="N370" s="307"/>
      <c r="O370" s="308"/>
      <c r="P370" s="308"/>
      <c r="Q370" s="307"/>
      <c r="R370" s="308"/>
      <c r="S370" s="308"/>
      <c r="T370" s="308"/>
      <c r="U370" s="308"/>
      <c r="V370" s="309"/>
    </row>
    <row r="371" spans="1:22">
      <c r="A371" s="304"/>
      <c r="B371" s="310"/>
      <c r="C371" s="311"/>
      <c r="D371" s="312"/>
      <c r="E371" s="312"/>
      <c r="F371" s="312"/>
      <c r="G371" s="312"/>
      <c r="H371" s="312"/>
      <c r="I371" s="312"/>
      <c r="J371" s="314"/>
      <c r="K371" s="314"/>
      <c r="L371" s="312"/>
      <c r="M371" s="312"/>
      <c r="N371" s="312"/>
      <c r="O371" s="314"/>
      <c r="P371" s="314"/>
      <c r="Q371" s="312"/>
      <c r="R371" s="314"/>
      <c r="S371" s="314"/>
      <c r="T371" s="314"/>
      <c r="U371" s="314"/>
      <c r="V371" s="309"/>
    </row>
    <row r="372" spans="1:22">
      <c r="A372" s="304"/>
      <c r="B372" s="50"/>
      <c r="C372" s="301"/>
      <c r="D372" s="302"/>
      <c r="E372" s="302"/>
      <c r="F372" s="302"/>
      <c r="G372" s="302"/>
      <c r="H372" s="302"/>
      <c r="I372" s="302"/>
      <c r="J372" s="303"/>
      <c r="K372" s="303"/>
      <c r="L372" s="302"/>
      <c r="M372" s="302"/>
      <c r="N372" s="302"/>
      <c r="O372" s="303"/>
      <c r="P372" s="303"/>
      <c r="Q372" s="302"/>
      <c r="R372" s="303"/>
      <c r="S372" s="303"/>
      <c r="T372" s="303"/>
      <c r="U372" s="303"/>
      <c r="V372" s="309"/>
    </row>
    <row r="373" spans="1:22">
      <c r="A373" s="304"/>
      <c r="B373" s="305"/>
      <c r="C373" s="306"/>
      <c r="D373" s="307"/>
      <c r="E373" s="307"/>
      <c r="F373" s="307"/>
      <c r="G373" s="307"/>
      <c r="H373" s="307"/>
      <c r="I373" s="307"/>
      <c r="J373" s="308"/>
      <c r="K373" s="308"/>
      <c r="L373" s="307"/>
      <c r="M373" s="307"/>
      <c r="N373" s="307"/>
      <c r="O373" s="308"/>
      <c r="P373" s="308"/>
      <c r="Q373" s="307"/>
      <c r="R373" s="308"/>
      <c r="S373" s="308"/>
      <c r="T373" s="308"/>
      <c r="U373" s="308"/>
      <c r="V373" s="309"/>
    </row>
    <row r="374" spans="1:22">
      <c r="A374" s="304"/>
      <c r="B374" s="310"/>
      <c r="C374" s="311"/>
      <c r="D374" s="312"/>
      <c r="E374" s="312"/>
      <c r="F374" s="312"/>
      <c r="G374" s="312"/>
      <c r="H374" s="312"/>
      <c r="I374" s="312"/>
      <c r="J374" s="314"/>
      <c r="K374" s="314"/>
      <c r="L374" s="312"/>
      <c r="M374" s="312"/>
      <c r="N374" s="312"/>
      <c r="O374" s="314"/>
      <c r="P374" s="314"/>
      <c r="Q374" s="312"/>
      <c r="R374" s="314"/>
      <c r="S374" s="314"/>
      <c r="T374" s="314"/>
      <c r="U374" s="314"/>
      <c r="V374" s="309"/>
    </row>
    <row r="375" spans="1:22">
      <c r="A375" s="304"/>
      <c r="B375" s="50"/>
      <c r="C375" s="301"/>
      <c r="D375" s="302"/>
      <c r="E375" s="302"/>
      <c r="F375" s="302"/>
      <c r="G375" s="302"/>
      <c r="H375" s="302"/>
      <c r="I375" s="302"/>
      <c r="J375" s="303"/>
      <c r="K375" s="303"/>
      <c r="L375" s="302"/>
      <c r="M375" s="302"/>
      <c r="N375" s="302"/>
      <c r="O375" s="303"/>
      <c r="P375" s="303"/>
      <c r="Q375" s="302"/>
      <c r="R375" s="303"/>
      <c r="S375" s="303"/>
      <c r="T375" s="303"/>
      <c r="U375" s="303"/>
      <c r="V375" s="309"/>
    </row>
    <row r="376" spans="1:22">
      <c r="A376" s="304"/>
      <c r="B376" s="305"/>
      <c r="C376" s="306"/>
      <c r="D376" s="307"/>
      <c r="E376" s="307"/>
      <c r="F376" s="307"/>
      <c r="G376" s="307"/>
      <c r="H376" s="307"/>
      <c r="I376" s="307"/>
      <c r="J376" s="308"/>
      <c r="K376" s="308"/>
      <c r="L376" s="307"/>
      <c r="M376" s="307"/>
      <c r="N376" s="307"/>
      <c r="O376" s="308"/>
      <c r="P376" s="308"/>
      <c r="Q376" s="307"/>
      <c r="R376" s="308"/>
      <c r="S376" s="308"/>
      <c r="T376" s="308"/>
      <c r="U376" s="308"/>
      <c r="V376" s="309"/>
    </row>
    <row r="377" spans="1:22">
      <c r="A377" s="304"/>
      <c r="B377" s="310"/>
      <c r="C377" s="311"/>
      <c r="D377" s="312"/>
      <c r="E377" s="312"/>
      <c r="F377" s="312"/>
      <c r="G377" s="312"/>
      <c r="H377" s="312"/>
      <c r="I377" s="312"/>
      <c r="J377" s="314"/>
      <c r="K377" s="314"/>
      <c r="L377" s="312"/>
      <c r="M377" s="312"/>
      <c r="N377" s="312"/>
      <c r="O377" s="314"/>
      <c r="P377" s="314"/>
      <c r="Q377" s="312"/>
      <c r="R377" s="314"/>
      <c r="S377" s="314"/>
      <c r="T377" s="314"/>
      <c r="U377" s="314"/>
      <c r="V377" s="309"/>
    </row>
    <row r="378" spans="1:22">
      <c r="A378" s="304"/>
      <c r="B378" s="50"/>
      <c r="C378" s="301"/>
      <c r="D378" s="302"/>
      <c r="E378" s="302"/>
      <c r="F378" s="302"/>
      <c r="G378" s="302"/>
      <c r="H378" s="302"/>
      <c r="I378" s="302"/>
      <c r="J378" s="303"/>
      <c r="K378" s="303"/>
      <c r="L378" s="302"/>
      <c r="M378" s="302"/>
      <c r="N378" s="302"/>
      <c r="O378" s="303"/>
      <c r="P378" s="303"/>
      <c r="Q378" s="302"/>
      <c r="R378" s="303"/>
      <c r="S378" s="303"/>
      <c r="T378" s="303"/>
      <c r="U378" s="303"/>
      <c r="V378" s="309"/>
    </row>
    <row r="379" spans="1:22">
      <c r="A379" s="304"/>
      <c r="B379" s="305"/>
      <c r="C379" s="306"/>
      <c r="D379" s="307"/>
      <c r="E379" s="307"/>
      <c r="F379" s="307"/>
      <c r="G379" s="307"/>
      <c r="H379" s="307"/>
      <c r="I379" s="307"/>
      <c r="J379" s="308"/>
      <c r="K379" s="308"/>
      <c r="L379" s="307"/>
      <c r="M379" s="307"/>
      <c r="N379" s="307"/>
      <c r="O379" s="308"/>
      <c r="P379" s="308"/>
      <c r="Q379" s="307"/>
      <c r="R379" s="308"/>
      <c r="S379" s="308"/>
      <c r="T379" s="308"/>
      <c r="U379" s="308"/>
      <c r="V379" s="309"/>
    </row>
    <row r="380" spans="1:22">
      <c r="A380" s="304"/>
      <c r="B380" s="310"/>
      <c r="C380" s="311"/>
      <c r="D380" s="312"/>
      <c r="E380" s="312"/>
      <c r="F380" s="312"/>
      <c r="G380" s="312"/>
      <c r="H380" s="312"/>
      <c r="I380" s="312"/>
      <c r="J380" s="314"/>
      <c r="K380" s="314"/>
      <c r="L380" s="312"/>
      <c r="M380" s="312"/>
      <c r="N380" s="312"/>
      <c r="O380" s="314"/>
      <c r="P380" s="314"/>
      <c r="Q380" s="312"/>
      <c r="R380" s="314"/>
      <c r="S380" s="314"/>
      <c r="T380" s="314"/>
      <c r="U380" s="314"/>
      <c r="V380" s="309"/>
    </row>
    <row r="381" spans="1:22">
      <c r="A381" s="304"/>
      <c r="B381" s="50"/>
      <c r="C381" s="301"/>
      <c r="D381" s="302"/>
      <c r="E381" s="302"/>
      <c r="F381" s="302"/>
      <c r="G381" s="302"/>
      <c r="H381" s="302"/>
      <c r="I381" s="302"/>
      <c r="J381" s="303"/>
      <c r="K381" s="303"/>
      <c r="L381" s="302"/>
      <c r="M381" s="302"/>
      <c r="N381" s="302"/>
      <c r="O381" s="303"/>
      <c r="P381" s="303"/>
      <c r="Q381" s="302"/>
      <c r="R381" s="303"/>
      <c r="S381" s="303"/>
      <c r="T381" s="303"/>
      <c r="U381" s="303"/>
      <c r="V381" s="309"/>
    </row>
    <row r="382" spans="1:22">
      <c r="A382" s="304"/>
      <c r="B382" s="305"/>
      <c r="C382" s="306"/>
      <c r="D382" s="307"/>
      <c r="E382" s="307"/>
      <c r="F382" s="307"/>
      <c r="G382" s="307"/>
      <c r="H382" s="307"/>
      <c r="I382" s="307"/>
      <c r="J382" s="308"/>
      <c r="K382" s="308"/>
      <c r="L382" s="307"/>
      <c r="M382" s="307"/>
      <c r="N382" s="307"/>
      <c r="O382" s="308"/>
      <c r="P382" s="308"/>
      <c r="Q382" s="307"/>
      <c r="R382" s="308"/>
      <c r="S382" s="308"/>
      <c r="T382" s="308"/>
      <c r="U382" s="308"/>
      <c r="V382" s="309"/>
    </row>
    <row r="383" spans="1:22" ht="15.75" thickBot="1">
      <c r="A383" s="304"/>
      <c r="B383" s="316"/>
      <c r="C383" s="317"/>
      <c r="D383" s="318"/>
      <c r="E383" s="318"/>
      <c r="F383" s="318"/>
      <c r="G383" s="318"/>
      <c r="H383" s="318"/>
      <c r="I383" s="318"/>
      <c r="J383" s="319"/>
      <c r="K383" s="319"/>
      <c r="L383" s="318"/>
      <c r="M383" s="318"/>
      <c r="N383" s="318"/>
      <c r="O383" s="319"/>
      <c r="P383" s="319"/>
      <c r="Q383" s="318"/>
      <c r="R383" s="319"/>
      <c r="S383" s="319"/>
      <c r="T383" s="319"/>
      <c r="U383" s="319"/>
      <c r="V383" s="309"/>
    </row>
    <row r="384" spans="1:22" ht="15.75" thickTop="1">
      <c r="A384" s="304"/>
      <c r="B384" s="305"/>
      <c r="C384" s="306"/>
      <c r="D384" s="307"/>
      <c r="E384" s="307"/>
      <c r="F384" s="307"/>
      <c r="G384" s="307"/>
      <c r="H384" s="307"/>
      <c r="I384" s="307"/>
      <c r="J384" s="308"/>
      <c r="K384" s="308"/>
      <c r="L384" s="307"/>
      <c r="M384" s="307"/>
      <c r="N384" s="307"/>
      <c r="O384" s="308"/>
      <c r="P384" s="308"/>
      <c r="Q384" s="307"/>
      <c r="R384" s="308"/>
      <c r="S384" s="308"/>
      <c r="T384" s="308"/>
      <c r="U384" s="308"/>
      <c r="V384" s="309"/>
    </row>
    <row r="385" spans="1:22">
      <c r="A385" s="304"/>
      <c r="B385" s="305"/>
      <c r="C385" s="306"/>
      <c r="D385" s="307"/>
      <c r="E385" s="307"/>
      <c r="F385" s="307"/>
      <c r="G385" s="307"/>
      <c r="H385" s="307"/>
      <c r="I385" s="307"/>
      <c r="J385" s="308"/>
      <c r="K385" s="308"/>
      <c r="L385" s="307"/>
      <c r="M385" s="307"/>
      <c r="N385" s="307"/>
      <c r="O385" s="308"/>
      <c r="P385" s="308"/>
      <c r="Q385" s="307"/>
      <c r="R385" s="308"/>
      <c r="S385" s="308"/>
      <c r="T385" s="308"/>
      <c r="U385" s="308"/>
      <c r="V385" s="309"/>
    </row>
    <row r="386" spans="1:22">
      <c r="A386" s="304"/>
      <c r="B386" s="310"/>
      <c r="C386" s="311"/>
      <c r="D386" s="312"/>
      <c r="E386" s="312"/>
      <c r="F386" s="312"/>
      <c r="G386" s="312"/>
      <c r="H386" s="312"/>
      <c r="I386" s="312"/>
      <c r="J386" s="314"/>
      <c r="K386" s="314"/>
      <c r="L386" s="312"/>
      <c r="M386" s="312"/>
      <c r="N386" s="312"/>
      <c r="O386" s="314"/>
      <c r="P386" s="314"/>
      <c r="Q386" s="312"/>
      <c r="R386" s="314"/>
      <c r="S386" s="314"/>
      <c r="T386" s="314"/>
      <c r="U386" s="314"/>
      <c r="V386" s="309"/>
    </row>
    <row r="387" spans="1:22">
      <c r="A387" s="304"/>
      <c r="B387" s="50"/>
      <c r="C387" s="301"/>
      <c r="D387" s="302"/>
      <c r="E387" s="302"/>
      <c r="F387" s="302"/>
      <c r="G387" s="302"/>
      <c r="H387" s="302"/>
      <c r="I387" s="302"/>
      <c r="J387" s="303"/>
      <c r="K387" s="303"/>
      <c r="L387" s="302"/>
      <c r="M387" s="302"/>
      <c r="N387" s="302"/>
      <c r="O387" s="303"/>
      <c r="P387" s="303"/>
      <c r="Q387" s="302"/>
      <c r="R387" s="303"/>
      <c r="S387" s="303"/>
      <c r="T387" s="303"/>
      <c r="U387" s="303"/>
      <c r="V387" s="309"/>
    </row>
    <row r="388" spans="1:22">
      <c r="A388" s="304"/>
      <c r="B388" s="305"/>
      <c r="C388" s="306"/>
      <c r="D388" s="307"/>
      <c r="E388" s="307"/>
      <c r="F388" s="307"/>
      <c r="G388" s="307"/>
      <c r="H388" s="307"/>
      <c r="I388" s="307"/>
      <c r="J388" s="308"/>
      <c r="K388" s="308"/>
      <c r="L388" s="307"/>
      <c r="M388" s="307"/>
      <c r="N388" s="307"/>
      <c r="O388" s="308"/>
      <c r="P388" s="308"/>
      <c r="Q388" s="307"/>
      <c r="R388" s="308"/>
      <c r="S388" s="308"/>
      <c r="T388" s="308"/>
      <c r="U388" s="308"/>
      <c r="V388" s="309"/>
    </row>
    <row r="389" spans="1:22">
      <c r="A389" s="304"/>
      <c r="B389" s="310"/>
      <c r="C389" s="311"/>
      <c r="D389" s="312"/>
      <c r="E389" s="312"/>
      <c r="F389" s="312"/>
      <c r="G389" s="312"/>
      <c r="H389" s="312"/>
      <c r="I389" s="312"/>
      <c r="J389" s="314"/>
      <c r="K389" s="314"/>
      <c r="L389" s="312"/>
      <c r="M389" s="312"/>
      <c r="N389" s="312"/>
      <c r="O389" s="314"/>
      <c r="P389" s="314"/>
      <c r="Q389" s="312"/>
      <c r="R389" s="314"/>
      <c r="S389" s="314"/>
      <c r="T389" s="314"/>
      <c r="U389" s="314"/>
      <c r="V389" s="309"/>
    </row>
    <row r="390" spans="1:22">
      <c r="A390" s="304"/>
      <c r="B390" s="50"/>
      <c r="C390" s="301"/>
      <c r="D390" s="302"/>
      <c r="E390" s="302"/>
      <c r="F390" s="302"/>
      <c r="G390" s="302"/>
      <c r="H390" s="302"/>
      <c r="I390" s="302"/>
      <c r="J390" s="303"/>
      <c r="K390" s="303"/>
      <c r="L390" s="302"/>
      <c r="M390" s="302"/>
      <c r="N390" s="302"/>
      <c r="O390" s="303"/>
      <c r="P390" s="303"/>
      <c r="Q390" s="302"/>
      <c r="R390" s="303"/>
      <c r="S390" s="303"/>
      <c r="T390" s="303"/>
      <c r="U390" s="303"/>
      <c r="V390" s="309"/>
    </row>
    <row r="391" spans="1:22">
      <c r="A391" s="304"/>
      <c r="B391" s="305"/>
      <c r="C391" s="306"/>
      <c r="D391" s="307"/>
      <c r="E391" s="307"/>
      <c r="F391" s="307"/>
      <c r="G391" s="307"/>
      <c r="H391" s="307"/>
      <c r="I391" s="307"/>
      <c r="J391" s="308"/>
      <c r="K391" s="308"/>
      <c r="L391" s="307"/>
      <c r="M391" s="307"/>
      <c r="N391" s="307"/>
      <c r="O391" s="308"/>
      <c r="P391" s="308"/>
      <c r="Q391" s="307"/>
      <c r="R391" s="308"/>
      <c r="S391" s="308"/>
      <c r="T391" s="308"/>
      <c r="U391" s="308"/>
      <c r="V391" s="309"/>
    </row>
    <row r="392" spans="1:22">
      <c r="A392" s="304"/>
      <c r="B392" s="310"/>
      <c r="C392" s="311"/>
      <c r="D392" s="312"/>
      <c r="E392" s="312"/>
      <c r="F392" s="312"/>
      <c r="G392" s="312"/>
      <c r="H392" s="312"/>
      <c r="I392" s="312"/>
      <c r="J392" s="314"/>
      <c r="K392" s="314"/>
      <c r="L392" s="312"/>
      <c r="M392" s="312"/>
      <c r="N392" s="312"/>
      <c r="O392" s="314"/>
      <c r="P392" s="314"/>
      <c r="Q392" s="312"/>
      <c r="R392" s="314"/>
      <c r="S392" s="314"/>
      <c r="T392" s="314"/>
      <c r="U392" s="314"/>
      <c r="V392" s="309"/>
    </row>
    <row r="393" spans="1:22">
      <c r="A393" s="304"/>
      <c r="B393" s="50"/>
      <c r="C393" s="301"/>
      <c r="D393" s="302"/>
      <c r="E393" s="302"/>
      <c r="F393" s="302"/>
      <c r="G393" s="302"/>
      <c r="H393" s="302"/>
      <c r="I393" s="302"/>
      <c r="J393" s="303"/>
      <c r="K393" s="303"/>
      <c r="L393" s="302"/>
      <c r="M393" s="302"/>
      <c r="N393" s="302"/>
      <c r="O393" s="303"/>
      <c r="P393" s="303"/>
      <c r="Q393" s="302"/>
      <c r="R393" s="303"/>
      <c r="S393" s="303"/>
      <c r="T393" s="303"/>
      <c r="U393" s="303"/>
      <c r="V393" s="309"/>
    </row>
    <row r="394" spans="1:22">
      <c r="A394" s="304"/>
      <c r="B394" s="305"/>
      <c r="C394" s="306"/>
      <c r="D394" s="307"/>
      <c r="E394" s="307"/>
      <c r="F394" s="307"/>
      <c r="G394" s="307"/>
      <c r="H394" s="307"/>
      <c r="I394" s="307"/>
      <c r="J394" s="308"/>
      <c r="K394" s="308"/>
      <c r="L394" s="307"/>
      <c r="M394" s="307"/>
      <c r="N394" s="307"/>
      <c r="O394" s="308"/>
      <c r="P394" s="308"/>
      <c r="Q394" s="307"/>
      <c r="R394" s="308"/>
      <c r="S394" s="308"/>
      <c r="T394" s="308"/>
      <c r="U394" s="308"/>
      <c r="V394" s="309"/>
    </row>
    <row r="395" spans="1:22">
      <c r="A395" s="304"/>
      <c r="B395" s="310"/>
      <c r="C395" s="311"/>
      <c r="D395" s="312"/>
      <c r="E395" s="312"/>
      <c r="F395" s="312"/>
      <c r="G395" s="312"/>
      <c r="H395" s="312"/>
      <c r="I395" s="312"/>
      <c r="J395" s="314"/>
      <c r="K395" s="314"/>
      <c r="L395" s="312"/>
      <c r="M395" s="312"/>
      <c r="N395" s="312"/>
      <c r="O395" s="314"/>
      <c r="P395" s="314"/>
      <c r="Q395" s="312"/>
      <c r="R395" s="314"/>
      <c r="S395" s="314"/>
      <c r="T395" s="314"/>
      <c r="U395" s="314"/>
      <c r="V395" s="309"/>
    </row>
    <row r="396" spans="1:22">
      <c r="A396" s="304"/>
      <c r="B396" s="50"/>
      <c r="C396" s="301"/>
      <c r="D396" s="302"/>
      <c r="E396" s="302"/>
      <c r="F396" s="302"/>
      <c r="G396" s="302"/>
      <c r="H396" s="302"/>
      <c r="I396" s="302"/>
      <c r="J396" s="303"/>
      <c r="K396" s="303"/>
      <c r="L396" s="302"/>
      <c r="M396" s="302"/>
      <c r="N396" s="302"/>
      <c r="O396" s="303"/>
      <c r="P396" s="303"/>
      <c r="Q396" s="302"/>
      <c r="R396" s="303"/>
      <c r="S396" s="303"/>
      <c r="T396" s="303"/>
      <c r="U396" s="303"/>
      <c r="V396" s="309"/>
    </row>
    <row r="397" spans="1:22">
      <c r="A397" s="304"/>
      <c r="B397" s="305"/>
      <c r="C397" s="306"/>
      <c r="D397" s="307"/>
      <c r="E397" s="307"/>
      <c r="F397" s="307"/>
      <c r="G397" s="307"/>
      <c r="H397" s="307"/>
      <c r="I397" s="307"/>
      <c r="J397" s="308"/>
      <c r="K397" s="308"/>
      <c r="L397" s="307"/>
      <c r="M397" s="307"/>
      <c r="N397" s="307"/>
      <c r="O397" s="308"/>
      <c r="P397" s="308"/>
      <c r="Q397" s="307"/>
      <c r="R397" s="308"/>
      <c r="S397" s="308"/>
      <c r="T397" s="308"/>
      <c r="U397" s="308"/>
      <c r="V397" s="309"/>
    </row>
    <row r="398" spans="1:22">
      <c r="A398" s="304"/>
      <c r="B398" s="310"/>
      <c r="C398" s="311"/>
      <c r="D398" s="312"/>
      <c r="E398" s="312"/>
      <c r="F398" s="312"/>
      <c r="G398" s="312"/>
      <c r="H398" s="312"/>
      <c r="I398" s="312"/>
      <c r="J398" s="314"/>
      <c r="K398" s="314"/>
      <c r="L398" s="312"/>
      <c r="M398" s="312"/>
      <c r="N398" s="312"/>
      <c r="O398" s="314"/>
      <c r="P398" s="314"/>
      <c r="Q398" s="312"/>
      <c r="R398" s="314"/>
      <c r="S398" s="314"/>
      <c r="T398" s="314"/>
      <c r="U398" s="314"/>
      <c r="V398" s="309"/>
    </row>
    <row r="399" spans="1:22">
      <c r="A399" s="304"/>
      <c r="B399" s="50"/>
      <c r="C399" s="301"/>
      <c r="D399" s="302"/>
      <c r="E399" s="302"/>
      <c r="F399" s="302"/>
      <c r="G399" s="302"/>
      <c r="H399" s="302"/>
      <c r="I399" s="302"/>
      <c r="J399" s="303"/>
      <c r="K399" s="303"/>
      <c r="L399" s="302"/>
      <c r="M399" s="302"/>
      <c r="N399" s="302"/>
      <c r="O399" s="303"/>
      <c r="P399" s="303"/>
      <c r="Q399" s="302"/>
      <c r="R399" s="303"/>
      <c r="S399" s="303"/>
      <c r="T399" s="303"/>
      <c r="U399" s="303"/>
      <c r="V399" s="309"/>
    </row>
    <row r="400" spans="1:22">
      <c r="A400" s="304"/>
      <c r="B400" s="305"/>
      <c r="C400" s="306"/>
      <c r="D400" s="307"/>
      <c r="E400" s="307"/>
      <c r="F400" s="307"/>
      <c r="G400" s="307"/>
      <c r="H400" s="307"/>
      <c r="I400" s="307"/>
      <c r="J400" s="308"/>
      <c r="K400" s="308"/>
      <c r="L400" s="307"/>
      <c r="M400" s="307"/>
      <c r="N400" s="307"/>
      <c r="O400" s="308"/>
      <c r="P400" s="308"/>
      <c r="Q400" s="307"/>
      <c r="R400" s="308"/>
      <c r="S400" s="308"/>
      <c r="T400" s="308"/>
      <c r="U400" s="308"/>
      <c r="V400" s="309"/>
    </row>
    <row r="401" spans="1:22" ht="15.75" thickBot="1">
      <c r="A401" s="320"/>
      <c r="B401" s="321"/>
      <c r="C401" s="322"/>
      <c r="D401" s="323"/>
      <c r="E401" s="323"/>
      <c r="F401" s="323"/>
      <c r="G401" s="323"/>
      <c r="H401" s="323"/>
      <c r="I401" s="323"/>
      <c r="J401" s="324"/>
      <c r="K401" s="324"/>
      <c r="L401" s="323"/>
      <c r="M401" s="323"/>
      <c r="N401" s="323"/>
      <c r="O401" s="324"/>
      <c r="P401" s="324"/>
      <c r="Q401" s="323"/>
      <c r="R401" s="324"/>
      <c r="S401" s="324"/>
      <c r="T401" s="324"/>
      <c r="U401" s="324"/>
      <c r="V401" s="309"/>
    </row>
    <row r="402" spans="1:22">
      <c r="A402" s="300"/>
      <c r="B402" s="50"/>
      <c r="C402" s="301"/>
      <c r="D402" s="302"/>
      <c r="E402" s="302"/>
      <c r="F402" s="302"/>
      <c r="G402" s="302"/>
      <c r="H402" s="302"/>
      <c r="I402" s="302"/>
      <c r="J402" s="303"/>
      <c r="K402" s="303"/>
      <c r="L402" s="302"/>
      <c r="M402" s="302"/>
      <c r="N402" s="302"/>
      <c r="O402" s="303"/>
      <c r="P402" s="303"/>
      <c r="Q402" s="302"/>
      <c r="R402" s="303"/>
      <c r="S402" s="303"/>
      <c r="T402" s="303"/>
      <c r="U402" s="303"/>
      <c r="V402" s="309"/>
    </row>
    <row r="403" spans="1:22">
      <c r="A403" s="304"/>
      <c r="B403" s="305"/>
      <c r="C403" s="306"/>
      <c r="D403" s="307"/>
      <c r="E403" s="307"/>
      <c r="F403" s="307"/>
      <c r="G403" s="307"/>
      <c r="H403" s="307"/>
      <c r="I403" s="307"/>
      <c r="J403" s="308"/>
      <c r="K403" s="308"/>
      <c r="L403" s="307"/>
      <c r="M403" s="307"/>
      <c r="N403" s="307"/>
      <c r="O403" s="308"/>
      <c r="P403" s="308"/>
      <c r="Q403" s="307"/>
      <c r="R403" s="308"/>
      <c r="S403" s="308"/>
      <c r="T403" s="308"/>
      <c r="U403" s="308"/>
      <c r="V403" s="309"/>
    </row>
    <row r="404" spans="1:22">
      <c r="A404" s="304"/>
      <c r="B404" s="310"/>
      <c r="C404" s="311"/>
      <c r="D404" s="312"/>
      <c r="E404" s="312"/>
      <c r="F404" s="312"/>
      <c r="G404" s="312"/>
      <c r="H404" s="312"/>
      <c r="I404" s="312"/>
      <c r="J404" s="314"/>
      <c r="K404" s="314"/>
      <c r="L404" s="312"/>
      <c r="M404" s="312"/>
      <c r="N404" s="312"/>
      <c r="O404" s="314"/>
      <c r="P404" s="314"/>
      <c r="Q404" s="312"/>
      <c r="R404" s="314"/>
      <c r="S404" s="314"/>
      <c r="T404" s="314"/>
      <c r="U404" s="314"/>
      <c r="V404" s="309"/>
    </row>
    <row r="405" spans="1:22">
      <c r="A405" s="304"/>
      <c r="B405" s="50"/>
      <c r="C405" s="301"/>
      <c r="D405" s="302"/>
      <c r="E405" s="302"/>
      <c r="F405" s="302"/>
      <c r="G405" s="302"/>
      <c r="H405" s="302"/>
      <c r="I405" s="302"/>
      <c r="J405" s="303"/>
      <c r="K405" s="303"/>
      <c r="L405" s="302"/>
      <c r="M405" s="302"/>
      <c r="N405" s="302"/>
      <c r="O405" s="303"/>
      <c r="P405" s="303"/>
      <c r="Q405" s="302"/>
      <c r="R405" s="303"/>
      <c r="S405" s="303"/>
      <c r="T405" s="303"/>
      <c r="U405" s="303"/>
      <c r="V405" s="309"/>
    </row>
    <row r="406" spans="1:22">
      <c r="A406" s="304"/>
      <c r="B406" s="305"/>
      <c r="C406" s="306"/>
      <c r="D406" s="307"/>
      <c r="E406" s="307"/>
      <c r="F406" s="307"/>
      <c r="G406" s="307"/>
      <c r="H406" s="307"/>
      <c r="I406" s="307"/>
      <c r="J406" s="308"/>
      <c r="K406" s="308"/>
      <c r="L406" s="307"/>
      <c r="M406" s="307"/>
      <c r="N406" s="307"/>
      <c r="O406" s="308"/>
      <c r="P406" s="308"/>
      <c r="Q406" s="307"/>
      <c r="R406" s="308"/>
      <c r="S406" s="308"/>
      <c r="T406" s="308"/>
      <c r="U406" s="308"/>
      <c r="V406" s="309"/>
    </row>
    <row r="407" spans="1:22">
      <c r="A407" s="304"/>
      <c r="B407" s="310"/>
      <c r="C407" s="311"/>
      <c r="D407" s="312"/>
      <c r="E407" s="312"/>
      <c r="F407" s="312"/>
      <c r="G407" s="312"/>
      <c r="H407" s="312"/>
      <c r="I407" s="312"/>
      <c r="J407" s="314"/>
      <c r="K407" s="314"/>
      <c r="L407" s="312"/>
      <c r="M407" s="312"/>
      <c r="N407" s="312"/>
      <c r="O407" s="314"/>
      <c r="P407" s="314"/>
      <c r="Q407" s="312"/>
      <c r="R407" s="314"/>
      <c r="S407" s="314"/>
      <c r="T407" s="314"/>
      <c r="U407" s="314"/>
      <c r="V407" s="309"/>
    </row>
    <row r="408" spans="1:22">
      <c r="A408" s="304"/>
      <c r="B408" s="50"/>
      <c r="C408" s="301"/>
      <c r="D408" s="302"/>
      <c r="E408" s="302"/>
      <c r="F408" s="302"/>
      <c r="G408" s="302"/>
      <c r="H408" s="302"/>
      <c r="I408" s="302"/>
      <c r="J408" s="303"/>
      <c r="K408" s="303"/>
      <c r="L408" s="302"/>
      <c r="M408" s="302"/>
      <c r="N408" s="302"/>
      <c r="O408" s="303"/>
      <c r="P408" s="303"/>
      <c r="Q408" s="302"/>
      <c r="R408" s="303"/>
      <c r="S408" s="303"/>
      <c r="T408" s="303"/>
      <c r="U408" s="303"/>
      <c r="V408" s="309"/>
    </row>
    <row r="409" spans="1:22">
      <c r="A409" s="304"/>
      <c r="B409" s="305"/>
      <c r="C409" s="306"/>
      <c r="D409" s="307"/>
      <c r="E409" s="307"/>
      <c r="F409" s="307"/>
      <c r="G409" s="307"/>
      <c r="H409" s="307"/>
      <c r="I409" s="307"/>
      <c r="J409" s="308"/>
      <c r="K409" s="308"/>
      <c r="L409" s="307"/>
      <c r="M409" s="307"/>
      <c r="N409" s="307"/>
      <c r="O409" s="308"/>
      <c r="P409" s="308"/>
      <c r="Q409" s="307"/>
      <c r="R409" s="308"/>
      <c r="S409" s="308"/>
      <c r="T409" s="308"/>
      <c r="U409" s="308"/>
      <c r="V409" s="309"/>
    </row>
    <row r="410" spans="1:22">
      <c r="A410" s="304"/>
      <c r="B410" s="310"/>
      <c r="C410" s="311"/>
      <c r="D410" s="312"/>
      <c r="E410" s="312"/>
      <c r="F410" s="312"/>
      <c r="G410" s="312"/>
      <c r="H410" s="312"/>
      <c r="I410" s="312"/>
      <c r="J410" s="314"/>
      <c r="K410" s="314"/>
      <c r="L410" s="312"/>
      <c r="M410" s="312"/>
      <c r="N410" s="312"/>
      <c r="O410" s="314"/>
      <c r="P410" s="314"/>
      <c r="Q410" s="312"/>
      <c r="R410" s="314"/>
      <c r="S410" s="314"/>
      <c r="T410" s="314"/>
      <c r="U410" s="314"/>
      <c r="V410" s="309"/>
    </row>
    <row r="411" spans="1:22">
      <c r="A411" s="304"/>
      <c r="B411" s="50"/>
      <c r="C411" s="301"/>
      <c r="D411" s="302"/>
      <c r="E411" s="302"/>
      <c r="F411" s="302"/>
      <c r="G411" s="302"/>
      <c r="H411" s="302"/>
      <c r="I411" s="302"/>
      <c r="J411" s="303"/>
      <c r="K411" s="303"/>
      <c r="L411" s="302"/>
      <c r="M411" s="302"/>
      <c r="N411" s="302"/>
      <c r="O411" s="303"/>
      <c r="P411" s="303"/>
      <c r="Q411" s="302"/>
      <c r="R411" s="303"/>
      <c r="S411" s="303"/>
      <c r="T411" s="303"/>
      <c r="U411" s="303"/>
      <c r="V411" s="309"/>
    </row>
    <row r="412" spans="1:22">
      <c r="A412" s="304"/>
      <c r="B412" s="305"/>
      <c r="C412" s="306"/>
      <c r="D412" s="307"/>
      <c r="E412" s="307"/>
      <c r="F412" s="307"/>
      <c r="G412" s="307"/>
      <c r="H412" s="307"/>
      <c r="I412" s="307"/>
      <c r="J412" s="308"/>
      <c r="K412" s="308"/>
      <c r="L412" s="307"/>
      <c r="M412" s="307"/>
      <c r="N412" s="307"/>
      <c r="O412" s="308"/>
      <c r="P412" s="308"/>
      <c r="Q412" s="307"/>
      <c r="R412" s="308"/>
      <c r="S412" s="308"/>
      <c r="T412" s="308"/>
      <c r="U412" s="308"/>
      <c r="V412" s="309"/>
    </row>
    <row r="413" spans="1:22">
      <c r="A413" s="304"/>
      <c r="B413" s="310"/>
      <c r="C413" s="311"/>
      <c r="D413" s="312"/>
      <c r="E413" s="312"/>
      <c r="F413" s="312"/>
      <c r="G413" s="312"/>
      <c r="H413" s="312"/>
      <c r="I413" s="312"/>
      <c r="J413" s="314"/>
      <c r="K413" s="314"/>
      <c r="L413" s="312"/>
      <c r="M413" s="312"/>
      <c r="N413" s="312"/>
      <c r="O413" s="314"/>
      <c r="P413" s="314"/>
      <c r="Q413" s="312"/>
      <c r="R413" s="314"/>
      <c r="S413" s="314"/>
      <c r="T413" s="314"/>
      <c r="U413" s="314"/>
      <c r="V413" s="309"/>
    </row>
    <row r="414" spans="1:22">
      <c r="A414" s="304"/>
      <c r="B414" s="50"/>
      <c r="C414" s="301"/>
      <c r="D414" s="302"/>
      <c r="E414" s="302"/>
      <c r="F414" s="302"/>
      <c r="G414" s="302"/>
      <c r="H414" s="302"/>
      <c r="I414" s="302"/>
      <c r="J414" s="303"/>
      <c r="K414" s="303"/>
      <c r="L414" s="302"/>
      <c r="M414" s="302"/>
      <c r="N414" s="302"/>
      <c r="O414" s="303"/>
      <c r="P414" s="303"/>
      <c r="Q414" s="302"/>
      <c r="R414" s="303"/>
      <c r="S414" s="303"/>
      <c r="T414" s="303"/>
      <c r="U414" s="303"/>
      <c r="V414" s="309"/>
    </row>
    <row r="415" spans="1:22">
      <c r="A415" s="304"/>
      <c r="B415" s="305"/>
      <c r="C415" s="306"/>
      <c r="D415" s="307"/>
      <c r="E415" s="307"/>
      <c r="F415" s="307"/>
      <c r="G415" s="307"/>
      <c r="H415" s="307"/>
      <c r="I415" s="307"/>
      <c r="J415" s="308"/>
      <c r="K415" s="308"/>
      <c r="L415" s="307"/>
      <c r="M415" s="307"/>
      <c r="N415" s="307"/>
      <c r="O415" s="308"/>
      <c r="P415" s="308"/>
      <c r="Q415" s="307"/>
      <c r="R415" s="308"/>
      <c r="S415" s="308"/>
      <c r="T415" s="308"/>
      <c r="U415" s="308"/>
      <c r="V415" s="309"/>
    </row>
    <row r="416" spans="1:22">
      <c r="A416" s="304"/>
      <c r="B416" s="310"/>
      <c r="C416" s="311"/>
      <c r="D416" s="312"/>
      <c r="E416" s="312"/>
      <c r="F416" s="312"/>
      <c r="G416" s="312"/>
      <c r="H416" s="312"/>
      <c r="I416" s="312"/>
      <c r="J416" s="314"/>
      <c r="K416" s="314"/>
      <c r="L416" s="312"/>
      <c r="M416" s="312"/>
      <c r="N416" s="312"/>
      <c r="O416" s="314"/>
      <c r="P416" s="314"/>
      <c r="Q416" s="312"/>
      <c r="R416" s="314"/>
      <c r="S416" s="314"/>
      <c r="T416" s="314"/>
      <c r="U416" s="314"/>
      <c r="V416" s="309"/>
    </row>
    <row r="417" spans="1:22">
      <c r="A417" s="304"/>
      <c r="B417" s="50"/>
      <c r="C417" s="301"/>
      <c r="D417" s="302"/>
      <c r="E417" s="302"/>
      <c r="F417" s="302"/>
      <c r="G417" s="302"/>
      <c r="H417" s="302"/>
      <c r="I417" s="302"/>
      <c r="J417" s="303"/>
      <c r="K417" s="303"/>
      <c r="L417" s="302"/>
      <c r="M417" s="302"/>
      <c r="N417" s="302"/>
      <c r="O417" s="303"/>
      <c r="P417" s="303"/>
      <c r="Q417" s="302"/>
      <c r="R417" s="303"/>
      <c r="S417" s="303"/>
      <c r="T417" s="303"/>
      <c r="U417" s="303"/>
      <c r="V417" s="309"/>
    </row>
    <row r="418" spans="1:22">
      <c r="A418" s="304"/>
      <c r="B418" s="305"/>
      <c r="C418" s="306"/>
      <c r="D418" s="307"/>
      <c r="E418" s="307"/>
      <c r="F418" s="307"/>
      <c r="G418" s="307"/>
      <c r="H418" s="307"/>
      <c r="I418" s="307"/>
      <c r="J418" s="308"/>
      <c r="K418" s="308"/>
      <c r="L418" s="307"/>
      <c r="M418" s="307"/>
      <c r="N418" s="307"/>
      <c r="O418" s="308"/>
      <c r="P418" s="308"/>
      <c r="Q418" s="307"/>
      <c r="R418" s="308"/>
      <c r="S418" s="308"/>
      <c r="T418" s="308"/>
      <c r="U418" s="308"/>
      <c r="V418" s="309"/>
    </row>
    <row r="419" spans="1:22" ht="15.75" thickBot="1">
      <c r="A419" s="304"/>
      <c r="B419" s="316"/>
      <c r="C419" s="317"/>
      <c r="D419" s="318"/>
      <c r="E419" s="318"/>
      <c r="F419" s="318"/>
      <c r="G419" s="318"/>
      <c r="H419" s="318"/>
      <c r="I419" s="318"/>
      <c r="J419" s="319"/>
      <c r="K419" s="319"/>
      <c r="L419" s="318"/>
      <c r="M419" s="318"/>
      <c r="N419" s="318"/>
      <c r="O419" s="319"/>
      <c r="P419" s="319"/>
      <c r="Q419" s="318"/>
      <c r="R419" s="319"/>
      <c r="S419" s="319"/>
      <c r="T419" s="319"/>
      <c r="U419" s="319"/>
      <c r="V419" s="309"/>
    </row>
    <row r="420" spans="1:22" ht="15.75" thickTop="1">
      <c r="A420" s="304"/>
      <c r="B420" s="305"/>
      <c r="C420" s="306"/>
      <c r="D420" s="307"/>
      <c r="E420" s="307"/>
      <c r="F420" s="307"/>
      <c r="G420" s="307"/>
      <c r="H420" s="307"/>
      <c r="I420" s="307"/>
      <c r="J420" s="308"/>
      <c r="K420" s="308"/>
      <c r="L420" s="307"/>
      <c r="M420" s="307"/>
      <c r="N420" s="307"/>
      <c r="O420" s="308"/>
      <c r="P420" s="308"/>
      <c r="Q420" s="307"/>
      <c r="R420" s="308"/>
      <c r="S420" s="308"/>
      <c r="T420" s="308"/>
      <c r="U420" s="308"/>
      <c r="V420" s="309"/>
    </row>
    <row r="421" spans="1:22">
      <c r="A421" s="304"/>
      <c r="B421" s="305"/>
      <c r="C421" s="306"/>
      <c r="D421" s="307"/>
      <c r="E421" s="307"/>
      <c r="F421" s="307"/>
      <c r="G421" s="307"/>
      <c r="H421" s="307"/>
      <c r="I421" s="307"/>
      <c r="J421" s="308"/>
      <c r="K421" s="308"/>
      <c r="L421" s="307"/>
      <c r="M421" s="307"/>
      <c r="N421" s="307"/>
      <c r="O421" s="308"/>
      <c r="P421" s="308"/>
      <c r="Q421" s="307"/>
      <c r="R421" s="308"/>
      <c r="S421" s="308"/>
      <c r="T421" s="308"/>
      <c r="U421" s="308"/>
      <c r="V421" s="309"/>
    </row>
    <row r="422" spans="1:22">
      <c r="A422" s="304"/>
      <c r="B422" s="310"/>
      <c r="C422" s="311"/>
      <c r="D422" s="312"/>
      <c r="E422" s="312"/>
      <c r="F422" s="312"/>
      <c r="G422" s="312"/>
      <c r="H422" s="312"/>
      <c r="I422" s="312"/>
      <c r="J422" s="314"/>
      <c r="K422" s="314"/>
      <c r="L422" s="312"/>
      <c r="M422" s="312"/>
      <c r="N422" s="312"/>
      <c r="O422" s="314"/>
      <c r="P422" s="314"/>
      <c r="Q422" s="312"/>
      <c r="R422" s="314"/>
      <c r="S422" s="314"/>
      <c r="T422" s="314"/>
      <c r="U422" s="314"/>
      <c r="V422" s="309"/>
    </row>
    <row r="423" spans="1:22">
      <c r="A423" s="304"/>
      <c r="B423" s="50"/>
      <c r="C423" s="301"/>
      <c r="D423" s="302"/>
      <c r="E423" s="302"/>
      <c r="F423" s="302"/>
      <c r="G423" s="302"/>
      <c r="H423" s="302"/>
      <c r="I423" s="302"/>
      <c r="J423" s="303"/>
      <c r="K423" s="303"/>
      <c r="L423" s="302"/>
      <c r="M423" s="302"/>
      <c r="N423" s="302"/>
      <c r="O423" s="303"/>
      <c r="P423" s="303"/>
      <c r="Q423" s="302"/>
      <c r="R423" s="303"/>
      <c r="S423" s="303"/>
      <c r="T423" s="303"/>
      <c r="U423" s="303"/>
      <c r="V423" s="309"/>
    </row>
    <row r="424" spans="1:22">
      <c r="A424" s="304"/>
      <c r="B424" s="305"/>
      <c r="C424" s="306"/>
      <c r="D424" s="307"/>
      <c r="E424" s="307"/>
      <c r="F424" s="307"/>
      <c r="G424" s="307"/>
      <c r="H424" s="307"/>
      <c r="I424" s="307"/>
      <c r="J424" s="308"/>
      <c r="K424" s="308"/>
      <c r="L424" s="307"/>
      <c r="M424" s="307"/>
      <c r="N424" s="307"/>
      <c r="O424" s="308"/>
      <c r="P424" s="308"/>
      <c r="Q424" s="307"/>
      <c r="R424" s="308"/>
      <c r="S424" s="308"/>
      <c r="T424" s="308"/>
      <c r="U424" s="308"/>
      <c r="V424" s="309"/>
    </row>
    <row r="425" spans="1:22">
      <c r="A425" s="304"/>
      <c r="B425" s="310"/>
      <c r="C425" s="311"/>
      <c r="D425" s="312"/>
      <c r="E425" s="312"/>
      <c r="F425" s="312"/>
      <c r="G425" s="312"/>
      <c r="H425" s="312"/>
      <c r="I425" s="312"/>
      <c r="J425" s="314"/>
      <c r="K425" s="314"/>
      <c r="L425" s="312"/>
      <c r="M425" s="312"/>
      <c r="N425" s="312"/>
      <c r="O425" s="314"/>
      <c r="P425" s="314"/>
      <c r="Q425" s="312"/>
      <c r="R425" s="314"/>
      <c r="S425" s="314"/>
      <c r="T425" s="314"/>
      <c r="U425" s="314"/>
      <c r="V425" s="309"/>
    </row>
    <row r="426" spans="1:22">
      <c r="A426" s="304"/>
      <c r="B426" s="50"/>
      <c r="C426" s="301"/>
      <c r="D426" s="302"/>
      <c r="E426" s="302"/>
      <c r="F426" s="302"/>
      <c r="G426" s="302"/>
      <c r="H426" s="302"/>
      <c r="I426" s="302"/>
      <c r="J426" s="303"/>
      <c r="K426" s="303"/>
      <c r="L426" s="302"/>
      <c r="M426" s="302"/>
      <c r="N426" s="302"/>
      <c r="O426" s="303"/>
      <c r="P426" s="303"/>
      <c r="Q426" s="302"/>
      <c r="R426" s="303"/>
      <c r="S426" s="303"/>
      <c r="T426" s="303"/>
      <c r="U426" s="303"/>
      <c r="V426" s="309"/>
    </row>
    <row r="427" spans="1:22">
      <c r="A427" s="304"/>
      <c r="B427" s="305"/>
      <c r="C427" s="306"/>
      <c r="D427" s="307"/>
      <c r="E427" s="307"/>
      <c r="F427" s="307"/>
      <c r="G427" s="307"/>
      <c r="H427" s="307"/>
      <c r="I427" s="307"/>
      <c r="J427" s="308"/>
      <c r="K427" s="308"/>
      <c r="L427" s="307"/>
      <c r="M427" s="307"/>
      <c r="N427" s="307"/>
      <c r="O427" s="308"/>
      <c r="P427" s="308"/>
      <c r="Q427" s="307"/>
      <c r="R427" s="308"/>
      <c r="S427" s="308"/>
      <c r="T427" s="308"/>
      <c r="U427" s="308"/>
      <c r="V427" s="309"/>
    </row>
    <row r="428" spans="1:22">
      <c r="A428" s="304"/>
      <c r="B428" s="310"/>
      <c r="C428" s="311"/>
      <c r="D428" s="312"/>
      <c r="E428" s="312"/>
      <c r="F428" s="312"/>
      <c r="G428" s="312"/>
      <c r="H428" s="312"/>
      <c r="I428" s="312"/>
      <c r="J428" s="314"/>
      <c r="K428" s="314"/>
      <c r="L428" s="312"/>
      <c r="M428" s="312"/>
      <c r="N428" s="312"/>
      <c r="O428" s="314"/>
      <c r="P428" s="314"/>
      <c r="Q428" s="312"/>
      <c r="R428" s="314"/>
      <c r="S428" s="314"/>
      <c r="T428" s="314"/>
      <c r="U428" s="314"/>
      <c r="V428" s="309"/>
    </row>
    <row r="429" spans="1:22">
      <c r="A429" s="304"/>
      <c r="B429" s="50"/>
      <c r="C429" s="301"/>
      <c r="D429" s="302"/>
      <c r="E429" s="302"/>
      <c r="F429" s="302"/>
      <c r="G429" s="302"/>
      <c r="H429" s="302"/>
      <c r="I429" s="302"/>
      <c r="J429" s="303"/>
      <c r="K429" s="303"/>
      <c r="L429" s="302"/>
      <c r="M429" s="302"/>
      <c r="N429" s="302"/>
      <c r="O429" s="303"/>
      <c r="P429" s="303"/>
      <c r="Q429" s="302"/>
      <c r="R429" s="303"/>
      <c r="S429" s="303"/>
      <c r="T429" s="303"/>
      <c r="U429" s="303"/>
      <c r="V429" s="309"/>
    </row>
    <row r="430" spans="1:22">
      <c r="A430" s="304"/>
      <c r="B430" s="305"/>
      <c r="C430" s="306"/>
      <c r="D430" s="307"/>
      <c r="E430" s="307"/>
      <c r="F430" s="307"/>
      <c r="G430" s="307"/>
      <c r="H430" s="307"/>
      <c r="I430" s="307"/>
      <c r="J430" s="308"/>
      <c r="K430" s="308"/>
      <c r="L430" s="307"/>
      <c r="M430" s="307"/>
      <c r="N430" s="307"/>
      <c r="O430" s="308"/>
      <c r="P430" s="308"/>
      <c r="Q430" s="307"/>
      <c r="R430" s="308"/>
      <c r="S430" s="308"/>
      <c r="T430" s="308"/>
      <c r="U430" s="308"/>
      <c r="V430" s="309"/>
    </row>
    <row r="431" spans="1:22">
      <c r="A431" s="304"/>
      <c r="B431" s="310"/>
      <c r="C431" s="311"/>
      <c r="D431" s="312"/>
      <c r="E431" s="312"/>
      <c r="F431" s="312"/>
      <c r="G431" s="312"/>
      <c r="H431" s="312"/>
      <c r="I431" s="312"/>
      <c r="J431" s="314"/>
      <c r="K431" s="314"/>
      <c r="L431" s="312"/>
      <c r="M431" s="312"/>
      <c r="N431" s="312"/>
      <c r="O431" s="314"/>
      <c r="P431" s="314"/>
      <c r="Q431" s="312"/>
      <c r="R431" s="314"/>
      <c r="S431" s="314"/>
      <c r="T431" s="314"/>
      <c r="U431" s="314"/>
      <c r="V431" s="309"/>
    </row>
    <row r="432" spans="1:22">
      <c r="A432" s="304"/>
      <c r="B432" s="50"/>
      <c r="C432" s="301"/>
      <c r="D432" s="302"/>
      <c r="E432" s="302"/>
      <c r="F432" s="302"/>
      <c r="G432" s="302"/>
      <c r="H432" s="302"/>
      <c r="I432" s="302"/>
      <c r="J432" s="303"/>
      <c r="K432" s="303"/>
      <c r="L432" s="302"/>
      <c r="M432" s="302"/>
      <c r="N432" s="302"/>
      <c r="O432" s="303"/>
      <c r="P432" s="303"/>
      <c r="Q432" s="302"/>
      <c r="R432" s="303"/>
      <c r="S432" s="303"/>
      <c r="T432" s="303"/>
      <c r="U432" s="303"/>
      <c r="V432" s="309"/>
    </row>
    <row r="433" spans="1:22">
      <c r="A433" s="304"/>
      <c r="B433" s="305"/>
      <c r="C433" s="306"/>
      <c r="D433" s="307"/>
      <c r="E433" s="307"/>
      <c r="F433" s="307"/>
      <c r="G433" s="307"/>
      <c r="H433" s="307"/>
      <c r="I433" s="307"/>
      <c r="J433" s="308"/>
      <c r="K433" s="308"/>
      <c r="L433" s="307"/>
      <c r="M433" s="307"/>
      <c r="N433" s="307"/>
      <c r="O433" s="308"/>
      <c r="P433" s="308"/>
      <c r="Q433" s="307"/>
      <c r="R433" s="308"/>
      <c r="S433" s="308"/>
      <c r="T433" s="308"/>
      <c r="U433" s="308"/>
      <c r="V433" s="309"/>
    </row>
    <row r="434" spans="1:22">
      <c r="A434" s="304"/>
      <c r="B434" s="310"/>
      <c r="C434" s="311"/>
      <c r="D434" s="312"/>
      <c r="E434" s="312"/>
      <c r="F434" s="312"/>
      <c r="G434" s="312"/>
      <c r="H434" s="312"/>
      <c r="I434" s="312"/>
      <c r="J434" s="314"/>
      <c r="K434" s="314"/>
      <c r="L434" s="312"/>
      <c r="M434" s="312"/>
      <c r="N434" s="312"/>
      <c r="O434" s="314"/>
      <c r="P434" s="314"/>
      <c r="Q434" s="312"/>
      <c r="R434" s="314"/>
      <c r="S434" s="314"/>
      <c r="T434" s="314"/>
      <c r="U434" s="314"/>
      <c r="V434" s="309"/>
    </row>
    <row r="435" spans="1:22">
      <c r="A435" s="304"/>
      <c r="B435" s="50"/>
      <c r="C435" s="301"/>
      <c r="D435" s="302"/>
      <c r="E435" s="302"/>
      <c r="F435" s="302"/>
      <c r="G435" s="302"/>
      <c r="H435" s="302"/>
      <c r="I435" s="302"/>
      <c r="J435" s="303"/>
      <c r="K435" s="303"/>
      <c r="L435" s="302"/>
      <c r="M435" s="302"/>
      <c r="N435" s="302"/>
      <c r="O435" s="303"/>
      <c r="P435" s="303"/>
      <c r="Q435" s="302"/>
      <c r="R435" s="303"/>
      <c r="S435" s="303"/>
      <c r="T435" s="303"/>
      <c r="U435" s="303"/>
      <c r="V435" s="309"/>
    </row>
    <row r="436" spans="1:22">
      <c r="A436" s="304"/>
      <c r="B436" s="305"/>
      <c r="C436" s="306"/>
      <c r="D436" s="307"/>
      <c r="E436" s="307"/>
      <c r="F436" s="307"/>
      <c r="G436" s="307"/>
      <c r="H436" s="307"/>
      <c r="I436" s="307"/>
      <c r="J436" s="308"/>
      <c r="K436" s="308"/>
      <c r="L436" s="307"/>
      <c r="M436" s="307"/>
      <c r="N436" s="307"/>
      <c r="O436" s="308"/>
      <c r="P436" s="308"/>
      <c r="Q436" s="307"/>
      <c r="R436" s="308"/>
      <c r="S436" s="308"/>
      <c r="T436" s="308"/>
      <c r="U436" s="308"/>
      <c r="V436" s="309"/>
    </row>
    <row r="437" spans="1:22" ht="15.75" thickBot="1">
      <c r="A437" s="320"/>
      <c r="B437" s="321"/>
      <c r="C437" s="322"/>
      <c r="D437" s="323"/>
      <c r="E437" s="323"/>
      <c r="F437" s="323"/>
      <c r="G437" s="323"/>
      <c r="H437" s="323"/>
      <c r="I437" s="323"/>
      <c r="J437" s="324"/>
      <c r="K437" s="324"/>
      <c r="L437" s="323"/>
      <c r="M437" s="323"/>
      <c r="N437" s="323"/>
      <c r="O437" s="324"/>
      <c r="P437" s="324"/>
      <c r="Q437" s="323"/>
      <c r="R437" s="324"/>
      <c r="S437" s="324"/>
      <c r="T437" s="324"/>
      <c r="U437" s="324"/>
      <c r="V437" s="309"/>
    </row>
    <row r="438" spans="1:22">
      <c r="A438" s="300"/>
      <c r="B438" s="50"/>
      <c r="C438" s="301"/>
      <c r="D438" s="302"/>
      <c r="E438" s="302"/>
      <c r="F438" s="302"/>
      <c r="G438" s="302"/>
      <c r="H438" s="302"/>
      <c r="I438" s="302"/>
      <c r="J438" s="303"/>
      <c r="K438" s="303"/>
      <c r="L438" s="302"/>
      <c r="M438" s="302"/>
      <c r="N438" s="302"/>
      <c r="O438" s="303"/>
      <c r="P438" s="303"/>
      <c r="Q438" s="302"/>
      <c r="R438" s="303"/>
      <c r="S438" s="303"/>
      <c r="T438" s="303"/>
      <c r="U438" s="303"/>
      <c r="V438" s="309"/>
    </row>
    <row r="439" spans="1:22">
      <c r="A439" s="304"/>
      <c r="B439" s="305"/>
      <c r="C439" s="306"/>
      <c r="D439" s="307"/>
      <c r="E439" s="307"/>
      <c r="F439" s="307"/>
      <c r="G439" s="307"/>
      <c r="H439" s="307"/>
      <c r="I439" s="307"/>
      <c r="J439" s="308"/>
      <c r="K439" s="308"/>
      <c r="L439" s="307"/>
      <c r="M439" s="307"/>
      <c r="N439" s="307"/>
      <c r="O439" s="308"/>
      <c r="P439" s="308"/>
      <c r="Q439" s="307"/>
      <c r="R439" s="308"/>
      <c r="S439" s="308"/>
      <c r="T439" s="308"/>
      <c r="U439" s="308"/>
      <c r="V439" s="309"/>
    </row>
    <row r="440" spans="1:22">
      <c r="A440" s="304"/>
      <c r="B440" s="310"/>
      <c r="C440" s="311"/>
      <c r="D440" s="312"/>
      <c r="E440" s="312"/>
      <c r="F440" s="312"/>
      <c r="G440" s="312"/>
      <c r="H440" s="312"/>
      <c r="I440" s="312"/>
      <c r="J440" s="314"/>
      <c r="K440" s="314"/>
      <c r="L440" s="312"/>
      <c r="M440" s="312"/>
      <c r="N440" s="312"/>
      <c r="O440" s="314"/>
      <c r="P440" s="314"/>
      <c r="Q440" s="312"/>
      <c r="R440" s="314"/>
      <c r="S440" s="314"/>
      <c r="T440" s="314"/>
      <c r="U440" s="314"/>
      <c r="V440" s="309"/>
    </row>
    <row r="441" spans="1:22">
      <c r="A441" s="304"/>
      <c r="B441" s="50"/>
      <c r="C441" s="301"/>
      <c r="D441" s="302"/>
      <c r="E441" s="302"/>
      <c r="F441" s="302"/>
      <c r="G441" s="302"/>
      <c r="H441" s="302"/>
      <c r="I441" s="302"/>
      <c r="J441" s="303"/>
      <c r="K441" s="303"/>
      <c r="L441" s="302"/>
      <c r="M441" s="302"/>
      <c r="N441" s="302"/>
      <c r="O441" s="303"/>
      <c r="P441" s="303"/>
      <c r="Q441" s="302"/>
      <c r="R441" s="303"/>
      <c r="S441" s="303"/>
      <c r="T441" s="303"/>
      <c r="U441" s="303"/>
      <c r="V441" s="309"/>
    </row>
    <row r="442" spans="1:22">
      <c r="A442" s="304"/>
      <c r="B442" s="305"/>
      <c r="C442" s="306"/>
      <c r="D442" s="307"/>
      <c r="E442" s="307"/>
      <c r="F442" s="307"/>
      <c r="G442" s="307"/>
      <c r="H442" s="307"/>
      <c r="I442" s="307"/>
      <c r="J442" s="308"/>
      <c r="K442" s="308"/>
      <c r="L442" s="307"/>
      <c r="M442" s="307"/>
      <c r="N442" s="307"/>
      <c r="O442" s="308"/>
      <c r="P442" s="308"/>
      <c r="Q442" s="307"/>
      <c r="R442" s="308"/>
      <c r="S442" s="308"/>
      <c r="T442" s="308"/>
      <c r="U442" s="308"/>
      <c r="V442" s="309"/>
    </row>
    <row r="443" spans="1:22">
      <c r="A443" s="304"/>
      <c r="B443" s="310"/>
      <c r="C443" s="311"/>
      <c r="D443" s="312"/>
      <c r="E443" s="312"/>
      <c r="F443" s="312"/>
      <c r="G443" s="312"/>
      <c r="H443" s="312"/>
      <c r="I443" s="312"/>
      <c r="J443" s="314"/>
      <c r="K443" s="314"/>
      <c r="L443" s="312"/>
      <c r="M443" s="312"/>
      <c r="N443" s="312"/>
      <c r="O443" s="314"/>
      <c r="P443" s="314"/>
      <c r="Q443" s="312"/>
      <c r="R443" s="314"/>
      <c r="S443" s="314"/>
      <c r="T443" s="314"/>
      <c r="U443" s="314"/>
      <c r="V443" s="309"/>
    </row>
    <row r="444" spans="1:22">
      <c r="A444" s="304"/>
      <c r="B444" s="50"/>
      <c r="C444" s="301"/>
      <c r="D444" s="302"/>
      <c r="E444" s="302"/>
      <c r="F444" s="302"/>
      <c r="G444" s="302"/>
      <c r="H444" s="302"/>
      <c r="I444" s="302"/>
      <c r="J444" s="303"/>
      <c r="K444" s="303"/>
      <c r="L444" s="302"/>
      <c r="M444" s="302"/>
      <c r="N444" s="302"/>
      <c r="O444" s="303"/>
      <c r="P444" s="303"/>
      <c r="Q444" s="302"/>
      <c r="R444" s="303"/>
      <c r="S444" s="303"/>
      <c r="T444" s="303"/>
      <c r="U444" s="303"/>
      <c r="V444" s="309"/>
    </row>
    <row r="445" spans="1:22">
      <c r="A445" s="304"/>
      <c r="B445" s="305"/>
      <c r="C445" s="306"/>
      <c r="D445" s="307"/>
      <c r="E445" s="307"/>
      <c r="F445" s="307"/>
      <c r="G445" s="307"/>
      <c r="H445" s="307"/>
      <c r="I445" s="307"/>
      <c r="J445" s="308"/>
      <c r="K445" s="308"/>
      <c r="L445" s="307"/>
      <c r="M445" s="307"/>
      <c r="N445" s="307"/>
      <c r="O445" s="308"/>
      <c r="P445" s="308"/>
      <c r="Q445" s="307"/>
      <c r="R445" s="308"/>
      <c r="S445" s="308"/>
      <c r="T445" s="308"/>
      <c r="U445" s="308"/>
      <c r="V445" s="309"/>
    </row>
    <row r="446" spans="1:22">
      <c r="A446" s="304"/>
      <c r="B446" s="310"/>
      <c r="C446" s="311"/>
      <c r="D446" s="312"/>
      <c r="E446" s="312"/>
      <c r="F446" s="312"/>
      <c r="G446" s="312"/>
      <c r="H446" s="312"/>
      <c r="I446" s="312"/>
      <c r="J446" s="314"/>
      <c r="K446" s="314"/>
      <c r="L446" s="312"/>
      <c r="M446" s="312"/>
      <c r="N446" s="312"/>
      <c r="O446" s="314"/>
      <c r="P446" s="314"/>
      <c r="Q446" s="312"/>
      <c r="R446" s="314"/>
      <c r="S446" s="314"/>
      <c r="T446" s="314"/>
      <c r="U446" s="314"/>
      <c r="V446" s="309"/>
    </row>
    <row r="447" spans="1:22">
      <c r="A447" s="304"/>
      <c r="B447" s="50"/>
      <c r="C447" s="301"/>
      <c r="D447" s="302"/>
      <c r="E447" s="302"/>
      <c r="F447" s="302"/>
      <c r="G447" s="302"/>
      <c r="H447" s="302"/>
      <c r="I447" s="302"/>
      <c r="J447" s="303"/>
      <c r="K447" s="303"/>
      <c r="L447" s="302"/>
      <c r="M447" s="302"/>
      <c r="N447" s="302"/>
      <c r="O447" s="303"/>
      <c r="P447" s="303"/>
      <c r="Q447" s="302"/>
      <c r="R447" s="303"/>
      <c r="S447" s="303"/>
      <c r="T447" s="303"/>
      <c r="U447" s="303"/>
      <c r="V447" s="309"/>
    </row>
    <row r="448" spans="1:22">
      <c r="A448" s="304"/>
      <c r="B448" s="305"/>
      <c r="C448" s="306"/>
      <c r="D448" s="307"/>
      <c r="E448" s="307"/>
      <c r="F448" s="307"/>
      <c r="G448" s="307"/>
      <c r="H448" s="307"/>
      <c r="I448" s="307"/>
      <c r="J448" s="308"/>
      <c r="K448" s="308"/>
      <c r="L448" s="307"/>
      <c r="M448" s="307"/>
      <c r="N448" s="307"/>
      <c r="O448" s="308"/>
      <c r="P448" s="308"/>
      <c r="Q448" s="307"/>
      <c r="R448" s="308"/>
      <c r="S448" s="308"/>
      <c r="T448" s="308"/>
      <c r="U448" s="308"/>
      <c r="V448" s="309"/>
    </row>
    <row r="449" spans="1:22">
      <c r="A449" s="304"/>
      <c r="B449" s="310"/>
      <c r="C449" s="311"/>
      <c r="D449" s="312"/>
      <c r="E449" s="312"/>
      <c r="F449" s="312"/>
      <c r="G449" s="312"/>
      <c r="H449" s="312"/>
      <c r="I449" s="312"/>
      <c r="J449" s="314"/>
      <c r="K449" s="314"/>
      <c r="L449" s="312"/>
      <c r="M449" s="312"/>
      <c r="N449" s="312"/>
      <c r="O449" s="314"/>
      <c r="P449" s="314"/>
      <c r="Q449" s="312"/>
      <c r="R449" s="314"/>
      <c r="S449" s="314"/>
      <c r="T449" s="314"/>
      <c r="U449" s="314"/>
      <c r="V449" s="309"/>
    </row>
    <row r="450" spans="1:22">
      <c r="A450" s="304"/>
      <c r="B450" s="50"/>
      <c r="C450" s="301"/>
      <c r="D450" s="302"/>
      <c r="E450" s="302"/>
      <c r="F450" s="302"/>
      <c r="G450" s="302"/>
      <c r="H450" s="302"/>
      <c r="I450" s="302"/>
      <c r="J450" s="303"/>
      <c r="K450" s="303"/>
      <c r="L450" s="302"/>
      <c r="M450" s="302"/>
      <c r="N450" s="302"/>
      <c r="O450" s="303"/>
      <c r="P450" s="303"/>
      <c r="Q450" s="302"/>
      <c r="R450" s="303"/>
      <c r="S450" s="303"/>
      <c r="T450" s="303"/>
      <c r="U450" s="303"/>
      <c r="V450" s="309"/>
    </row>
    <row r="451" spans="1:22">
      <c r="A451" s="304"/>
      <c r="B451" s="305"/>
      <c r="C451" s="306"/>
      <c r="D451" s="307"/>
      <c r="E451" s="307"/>
      <c r="F451" s="307"/>
      <c r="G451" s="307"/>
      <c r="H451" s="307"/>
      <c r="I451" s="307"/>
      <c r="J451" s="308"/>
      <c r="K451" s="308"/>
      <c r="L451" s="307"/>
      <c r="M451" s="307"/>
      <c r="N451" s="307"/>
      <c r="O451" s="308"/>
      <c r="P451" s="308"/>
      <c r="Q451" s="307"/>
      <c r="R451" s="308"/>
      <c r="S451" s="308"/>
      <c r="T451" s="308"/>
      <c r="U451" s="308"/>
      <c r="V451" s="309"/>
    </row>
    <row r="452" spans="1:22">
      <c r="A452" s="304"/>
      <c r="B452" s="310"/>
      <c r="C452" s="311"/>
      <c r="D452" s="312"/>
      <c r="E452" s="312"/>
      <c r="F452" s="312"/>
      <c r="G452" s="312"/>
      <c r="H452" s="312"/>
      <c r="I452" s="312"/>
      <c r="J452" s="314"/>
      <c r="K452" s="314"/>
      <c r="L452" s="312"/>
      <c r="M452" s="312"/>
      <c r="N452" s="312"/>
      <c r="O452" s="314"/>
      <c r="P452" s="314"/>
      <c r="Q452" s="312"/>
      <c r="R452" s="314"/>
      <c r="S452" s="314"/>
      <c r="T452" s="314"/>
      <c r="U452" s="314"/>
      <c r="V452" s="309"/>
    </row>
    <row r="453" spans="1:22">
      <c r="A453" s="304"/>
      <c r="B453" s="50"/>
      <c r="C453" s="301"/>
      <c r="D453" s="302"/>
      <c r="E453" s="302"/>
      <c r="F453" s="302"/>
      <c r="G453" s="302"/>
      <c r="H453" s="302"/>
      <c r="I453" s="302"/>
      <c r="J453" s="303"/>
      <c r="K453" s="303"/>
      <c r="L453" s="302"/>
      <c r="M453" s="302"/>
      <c r="N453" s="302"/>
      <c r="O453" s="303"/>
      <c r="P453" s="303"/>
      <c r="Q453" s="302"/>
      <c r="R453" s="303"/>
      <c r="S453" s="303"/>
      <c r="T453" s="303"/>
      <c r="U453" s="303"/>
      <c r="V453" s="309"/>
    </row>
    <row r="454" spans="1:22">
      <c r="A454" s="304"/>
      <c r="B454" s="305"/>
      <c r="C454" s="306"/>
      <c r="D454" s="307"/>
      <c r="E454" s="307"/>
      <c r="F454" s="307"/>
      <c r="G454" s="307"/>
      <c r="H454" s="307"/>
      <c r="I454" s="307"/>
      <c r="J454" s="308"/>
      <c r="K454" s="308"/>
      <c r="L454" s="307"/>
      <c r="M454" s="307"/>
      <c r="N454" s="307"/>
      <c r="O454" s="308"/>
      <c r="P454" s="308"/>
      <c r="Q454" s="307"/>
      <c r="R454" s="308"/>
      <c r="S454" s="308"/>
      <c r="T454" s="308"/>
      <c r="U454" s="308"/>
      <c r="V454" s="309"/>
    </row>
    <row r="455" spans="1:22" ht="15.75" thickBot="1">
      <c r="A455" s="304"/>
      <c r="B455" s="316"/>
      <c r="C455" s="317"/>
      <c r="D455" s="318"/>
      <c r="E455" s="318"/>
      <c r="F455" s="318"/>
      <c r="G455" s="318"/>
      <c r="H455" s="318"/>
      <c r="I455" s="318"/>
      <c r="J455" s="319"/>
      <c r="K455" s="319"/>
      <c r="L455" s="318"/>
      <c r="M455" s="318"/>
      <c r="N455" s="318"/>
      <c r="O455" s="319"/>
      <c r="P455" s="319"/>
      <c r="Q455" s="318"/>
      <c r="R455" s="319"/>
      <c r="S455" s="319"/>
      <c r="T455" s="319"/>
      <c r="U455" s="319"/>
      <c r="V455" s="309"/>
    </row>
    <row r="456" spans="1:22" ht="15.75" thickTop="1">
      <c r="A456" s="304"/>
      <c r="B456" s="305"/>
      <c r="C456" s="306"/>
      <c r="D456" s="307"/>
      <c r="E456" s="307"/>
      <c r="F456" s="307"/>
      <c r="G456" s="307"/>
      <c r="H456" s="307"/>
      <c r="I456" s="307"/>
      <c r="J456" s="308"/>
      <c r="K456" s="308"/>
      <c r="L456" s="307"/>
      <c r="M456" s="307"/>
      <c r="N456" s="307"/>
      <c r="O456" s="308"/>
      <c r="P456" s="308"/>
      <c r="Q456" s="307"/>
      <c r="R456" s="308"/>
      <c r="S456" s="308"/>
      <c r="T456" s="308"/>
      <c r="U456" s="308"/>
      <c r="V456" s="309"/>
    </row>
    <row r="457" spans="1:22">
      <c r="A457" s="304"/>
      <c r="B457" s="305"/>
      <c r="C457" s="306"/>
      <c r="D457" s="307"/>
      <c r="E457" s="307"/>
      <c r="F457" s="307"/>
      <c r="G457" s="307"/>
      <c r="H457" s="307"/>
      <c r="I457" s="307"/>
      <c r="J457" s="308"/>
      <c r="K457" s="308"/>
      <c r="L457" s="307"/>
      <c r="M457" s="307"/>
      <c r="N457" s="307"/>
      <c r="O457" s="308"/>
      <c r="P457" s="308"/>
      <c r="Q457" s="307"/>
      <c r="R457" s="308"/>
      <c r="S457" s="308"/>
      <c r="T457" s="308"/>
      <c r="U457" s="308"/>
      <c r="V457" s="309"/>
    </row>
    <row r="458" spans="1:22">
      <c r="A458" s="304"/>
      <c r="B458" s="310"/>
      <c r="C458" s="311"/>
      <c r="D458" s="312"/>
      <c r="E458" s="312"/>
      <c r="F458" s="312"/>
      <c r="G458" s="312"/>
      <c r="H458" s="312"/>
      <c r="I458" s="312"/>
      <c r="J458" s="314"/>
      <c r="K458" s="314"/>
      <c r="L458" s="312"/>
      <c r="M458" s="312"/>
      <c r="N458" s="312"/>
      <c r="O458" s="314"/>
      <c r="P458" s="314"/>
      <c r="Q458" s="312"/>
      <c r="R458" s="314"/>
      <c r="S458" s="314"/>
      <c r="T458" s="314"/>
      <c r="U458" s="314"/>
      <c r="V458" s="309"/>
    </row>
    <row r="459" spans="1:22">
      <c r="A459" s="304"/>
      <c r="B459" s="50"/>
      <c r="C459" s="301"/>
      <c r="D459" s="302"/>
      <c r="E459" s="302"/>
      <c r="F459" s="302"/>
      <c r="G459" s="302"/>
      <c r="H459" s="302"/>
      <c r="I459" s="302"/>
      <c r="J459" s="303"/>
      <c r="K459" s="303"/>
      <c r="L459" s="302"/>
      <c r="M459" s="302"/>
      <c r="N459" s="302"/>
      <c r="O459" s="303"/>
      <c r="P459" s="303"/>
      <c r="Q459" s="302"/>
      <c r="R459" s="303"/>
      <c r="S459" s="303"/>
      <c r="T459" s="303"/>
      <c r="U459" s="303"/>
      <c r="V459" s="309"/>
    </row>
    <row r="460" spans="1:22">
      <c r="A460" s="304"/>
      <c r="B460" s="305"/>
      <c r="C460" s="306"/>
      <c r="D460" s="307"/>
      <c r="E460" s="307"/>
      <c r="F460" s="307"/>
      <c r="G460" s="307"/>
      <c r="H460" s="307"/>
      <c r="I460" s="307"/>
      <c r="J460" s="308"/>
      <c r="K460" s="308"/>
      <c r="L460" s="307"/>
      <c r="M460" s="307"/>
      <c r="N460" s="307"/>
      <c r="O460" s="308"/>
      <c r="P460" s="308"/>
      <c r="Q460" s="307"/>
      <c r="R460" s="308"/>
      <c r="S460" s="308"/>
      <c r="T460" s="308"/>
      <c r="U460" s="308"/>
      <c r="V460" s="309"/>
    </row>
    <row r="461" spans="1:22">
      <c r="A461" s="304"/>
      <c r="B461" s="310"/>
      <c r="C461" s="311"/>
      <c r="D461" s="312"/>
      <c r="E461" s="312"/>
      <c r="F461" s="312"/>
      <c r="G461" s="312"/>
      <c r="H461" s="312"/>
      <c r="I461" s="312"/>
      <c r="J461" s="314"/>
      <c r="K461" s="314"/>
      <c r="L461" s="312"/>
      <c r="M461" s="312"/>
      <c r="N461" s="312"/>
      <c r="O461" s="314"/>
      <c r="P461" s="314"/>
      <c r="Q461" s="312"/>
      <c r="R461" s="314"/>
      <c r="S461" s="314"/>
      <c r="T461" s="314"/>
      <c r="U461" s="314"/>
      <c r="V461" s="309"/>
    </row>
    <row r="462" spans="1:22">
      <c r="A462" s="304"/>
      <c r="B462" s="50"/>
      <c r="C462" s="301"/>
      <c r="D462" s="302"/>
      <c r="E462" s="302"/>
      <c r="F462" s="302"/>
      <c r="G462" s="302"/>
      <c r="H462" s="302"/>
      <c r="I462" s="302"/>
      <c r="J462" s="303"/>
      <c r="K462" s="303"/>
      <c r="L462" s="302"/>
      <c r="M462" s="302"/>
      <c r="N462" s="302"/>
      <c r="O462" s="303"/>
      <c r="P462" s="303"/>
      <c r="Q462" s="302"/>
      <c r="R462" s="303"/>
      <c r="S462" s="303"/>
      <c r="T462" s="303"/>
      <c r="U462" s="303"/>
      <c r="V462" s="309"/>
    </row>
    <row r="463" spans="1:22">
      <c r="A463" s="304"/>
      <c r="B463" s="305"/>
      <c r="C463" s="306"/>
      <c r="D463" s="307"/>
      <c r="E463" s="307"/>
      <c r="F463" s="307"/>
      <c r="G463" s="307"/>
      <c r="H463" s="307"/>
      <c r="I463" s="307"/>
      <c r="J463" s="308"/>
      <c r="K463" s="308"/>
      <c r="L463" s="307"/>
      <c r="M463" s="307"/>
      <c r="N463" s="307"/>
      <c r="O463" s="308"/>
      <c r="P463" s="308"/>
      <c r="Q463" s="307"/>
      <c r="R463" s="308"/>
      <c r="S463" s="308"/>
      <c r="T463" s="308"/>
      <c r="U463" s="308"/>
      <c r="V463" s="309"/>
    </row>
    <row r="464" spans="1:22">
      <c r="A464" s="304"/>
      <c r="B464" s="310"/>
      <c r="C464" s="311"/>
      <c r="D464" s="312"/>
      <c r="E464" s="312"/>
      <c r="F464" s="312"/>
      <c r="G464" s="312"/>
      <c r="H464" s="312"/>
      <c r="I464" s="312"/>
      <c r="J464" s="314"/>
      <c r="K464" s="314"/>
      <c r="L464" s="312"/>
      <c r="M464" s="312"/>
      <c r="N464" s="312"/>
      <c r="O464" s="314"/>
      <c r="P464" s="314"/>
      <c r="Q464" s="312"/>
      <c r="R464" s="314"/>
      <c r="S464" s="314"/>
      <c r="T464" s="314"/>
      <c r="U464" s="314"/>
      <c r="V464" s="309"/>
    </row>
    <row r="465" spans="1:22">
      <c r="A465" s="304"/>
      <c r="B465" s="50"/>
      <c r="C465" s="301"/>
      <c r="D465" s="302"/>
      <c r="E465" s="302"/>
      <c r="F465" s="302"/>
      <c r="G465" s="302"/>
      <c r="H465" s="302"/>
      <c r="I465" s="302"/>
      <c r="J465" s="303"/>
      <c r="K465" s="303"/>
      <c r="L465" s="302"/>
      <c r="M465" s="302"/>
      <c r="N465" s="302"/>
      <c r="O465" s="303"/>
      <c r="P465" s="303"/>
      <c r="Q465" s="302"/>
      <c r="R465" s="303"/>
      <c r="S465" s="303"/>
      <c r="T465" s="303"/>
      <c r="U465" s="303"/>
      <c r="V465" s="309"/>
    </row>
    <row r="466" spans="1:22">
      <c r="A466" s="304"/>
      <c r="B466" s="305"/>
      <c r="C466" s="306"/>
      <c r="D466" s="307"/>
      <c r="E466" s="307"/>
      <c r="F466" s="307"/>
      <c r="G466" s="307"/>
      <c r="H466" s="307"/>
      <c r="I466" s="307"/>
      <c r="J466" s="308"/>
      <c r="K466" s="308"/>
      <c r="L466" s="307"/>
      <c r="M466" s="307"/>
      <c r="N466" s="307"/>
      <c r="O466" s="308"/>
      <c r="P466" s="308"/>
      <c r="Q466" s="307"/>
      <c r="R466" s="308"/>
      <c r="S466" s="308"/>
      <c r="T466" s="308"/>
      <c r="U466" s="308"/>
      <c r="V466" s="309"/>
    </row>
    <row r="467" spans="1:22">
      <c r="A467" s="304"/>
      <c r="B467" s="310"/>
      <c r="C467" s="311"/>
      <c r="D467" s="312"/>
      <c r="E467" s="312"/>
      <c r="F467" s="312"/>
      <c r="G467" s="312"/>
      <c r="H467" s="312"/>
      <c r="I467" s="312"/>
      <c r="J467" s="314"/>
      <c r="K467" s="314"/>
      <c r="L467" s="312"/>
      <c r="M467" s="312"/>
      <c r="N467" s="312"/>
      <c r="O467" s="314"/>
      <c r="P467" s="314"/>
      <c r="Q467" s="312"/>
      <c r="R467" s="314"/>
      <c r="S467" s="314"/>
      <c r="T467" s="314"/>
      <c r="U467" s="314"/>
      <c r="V467" s="309"/>
    </row>
    <row r="468" spans="1:22">
      <c r="A468" s="304"/>
      <c r="B468" s="50"/>
      <c r="C468" s="301"/>
      <c r="D468" s="302"/>
      <c r="E468" s="302"/>
      <c r="F468" s="302"/>
      <c r="G468" s="302"/>
      <c r="H468" s="302"/>
      <c r="I468" s="302"/>
      <c r="J468" s="303"/>
      <c r="K468" s="303"/>
      <c r="L468" s="302"/>
      <c r="M468" s="302"/>
      <c r="N468" s="302"/>
      <c r="O468" s="303"/>
      <c r="P468" s="303"/>
      <c r="Q468" s="302"/>
      <c r="R468" s="303"/>
      <c r="S468" s="303"/>
      <c r="T468" s="303"/>
      <c r="U468" s="303"/>
      <c r="V468" s="309"/>
    </row>
    <row r="469" spans="1:22">
      <c r="A469" s="304"/>
      <c r="B469" s="305"/>
      <c r="C469" s="306"/>
      <c r="D469" s="307"/>
      <c r="E469" s="307"/>
      <c r="F469" s="307"/>
      <c r="G469" s="307"/>
      <c r="H469" s="307"/>
      <c r="I469" s="307"/>
      <c r="J469" s="308"/>
      <c r="K469" s="308"/>
      <c r="L469" s="307"/>
      <c r="M469" s="307"/>
      <c r="N469" s="307"/>
      <c r="O469" s="308"/>
      <c r="P469" s="308"/>
      <c r="Q469" s="307"/>
      <c r="R469" s="308"/>
      <c r="S469" s="308"/>
      <c r="T469" s="308"/>
      <c r="U469" s="308"/>
      <c r="V469" s="309"/>
    </row>
    <row r="470" spans="1:22">
      <c r="A470" s="304"/>
      <c r="B470" s="310"/>
      <c r="C470" s="311"/>
      <c r="D470" s="312"/>
      <c r="E470" s="312"/>
      <c r="F470" s="312"/>
      <c r="G470" s="312"/>
      <c r="H470" s="312"/>
      <c r="I470" s="312"/>
      <c r="J470" s="314"/>
      <c r="K470" s="314"/>
      <c r="L470" s="312"/>
      <c r="M470" s="312"/>
      <c r="N470" s="312"/>
      <c r="O470" s="314"/>
      <c r="P470" s="314"/>
      <c r="Q470" s="312"/>
      <c r="R470" s="314"/>
      <c r="S470" s="314"/>
      <c r="T470" s="314"/>
      <c r="U470" s="314"/>
      <c r="V470" s="309"/>
    </row>
    <row r="471" spans="1:22">
      <c r="A471" s="304"/>
      <c r="B471" s="50"/>
      <c r="C471" s="301"/>
      <c r="D471" s="302"/>
      <c r="E471" s="302"/>
      <c r="F471" s="302"/>
      <c r="G471" s="302"/>
      <c r="H471" s="302"/>
      <c r="I471" s="302"/>
      <c r="J471" s="303"/>
      <c r="K471" s="303"/>
      <c r="L471" s="302"/>
      <c r="M471" s="302"/>
      <c r="N471" s="302"/>
      <c r="O471" s="303"/>
      <c r="P471" s="303"/>
      <c r="Q471" s="302"/>
      <c r="R471" s="303"/>
      <c r="S471" s="303"/>
      <c r="T471" s="303"/>
      <c r="U471" s="303"/>
      <c r="V471" s="309"/>
    </row>
    <row r="472" spans="1:22">
      <c r="A472" s="304"/>
      <c r="B472" s="305"/>
      <c r="C472" s="306"/>
      <c r="D472" s="307"/>
      <c r="E472" s="307"/>
      <c r="F472" s="307"/>
      <c r="G472" s="307"/>
      <c r="H472" s="307"/>
      <c r="I472" s="307"/>
      <c r="J472" s="308"/>
      <c r="K472" s="308"/>
      <c r="L472" s="307"/>
      <c r="M472" s="307"/>
      <c r="N472" s="307"/>
      <c r="O472" s="308"/>
      <c r="P472" s="308"/>
      <c r="Q472" s="307"/>
      <c r="R472" s="308"/>
      <c r="S472" s="308"/>
      <c r="T472" s="308"/>
      <c r="U472" s="308"/>
      <c r="V472" s="309"/>
    </row>
    <row r="473" spans="1:22" ht="15.75" thickBot="1">
      <c r="A473" s="320"/>
      <c r="B473" s="321"/>
      <c r="C473" s="322"/>
      <c r="D473" s="323"/>
      <c r="E473" s="323"/>
      <c r="F473" s="323"/>
      <c r="G473" s="323"/>
      <c r="H473" s="323"/>
      <c r="I473" s="323"/>
      <c r="J473" s="324"/>
      <c r="K473" s="324"/>
      <c r="L473" s="323"/>
      <c r="M473" s="323"/>
      <c r="N473" s="323"/>
      <c r="O473" s="324"/>
      <c r="P473" s="324"/>
      <c r="Q473" s="323"/>
      <c r="R473" s="324"/>
      <c r="S473" s="324"/>
      <c r="T473" s="324"/>
      <c r="U473" s="324"/>
      <c r="V473" s="309"/>
    </row>
    <row r="474" spans="1:22">
      <c r="A474" s="300"/>
      <c r="B474" s="50"/>
      <c r="C474" s="301"/>
      <c r="D474" s="302"/>
      <c r="E474" s="302"/>
      <c r="F474" s="302"/>
      <c r="G474" s="302"/>
      <c r="H474" s="302"/>
      <c r="I474" s="302"/>
      <c r="J474" s="303"/>
      <c r="K474" s="303"/>
      <c r="L474" s="302"/>
      <c r="M474" s="302"/>
      <c r="N474" s="302"/>
      <c r="O474" s="303"/>
      <c r="P474" s="303"/>
      <c r="Q474" s="302"/>
      <c r="R474" s="303"/>
      <c r="S474" s="303"/>
      <c r="T474" s="303"/>
      <c r="U474" s="303"/>
      <c r="V474" s="309"/>
    </row>
    <row r="475" spans="1:22">
      <c r="A475" s="304"/>
      <c r="B475" s="305"/>
      <c r="C475" s="306"/>
      <c r="D475" s="307"/>
      <c r="E475" s="307"/>
      <c r="F475" s="307"/>
      <c r="G475" s="307"/>
      <c r="H475" s="307"/>
      <c r="I475" s="307"/>
      <c r="J475" s="308"/>
      <c r="K475" s="308"/>
      <c r="L475" s="307"/>
      <c r="M475" s="307"/>
      <c r="N475" s="307"/>
      <c r="O475" s="308"/>
      <c r="P475" s="308"/>
      <c r="Q475" s="307"/>
      <c r="R475" s="308"/>
      <c r="S475" s="308"/>
      <c r="T475" s="308"/>
      <c r="U475" s="308"/>
      <c r="V475" s="309"/>
    </row>
    <row r="476" spans="1:22">
      <c r="A476" s="304"/>
      <c r="B476" s="310"/>
      <c r="C476" s="311"/>
      <c r="D476" s="312"/>
      <c r="E476" s="312"/>
      <c r="F476" s="312"/>
      <c r="G476" s="312"/>
      <c r="H476" s="312"/>
      <c r="I476" s="312"/>
      <c r="J476" s="314"/>
      <c r="K476" s="314"/>
      <c r="L476" s="312"/>
      <c r="M476" s="312"/>
      <c r="N476" s="312"/>
      <c r="O476" s="314"/>
      <c r="P476" s="314"/>
      <c r="Q476" s="312"/>
      <c r="R476" s="314"/>
      <c r="S476" s="314"/>
      <c r="T476" s="314"/>
      <c r="U476" s="314"/>
      <c r="V476" s="309"/>
    </row>
    <row r="477" spans="1:22">
      <c r="A477" s="304"/>
      <c r="B477" s="50"/>
      <c r="C477" s="301"/>
      <c r="D477" s="302"/>
      <c r="E477" s="302"/>
      <c r="F477" s="302"/>
      <c r="G477" s="302"/>
      <c r="H477" s="302"/>
      <c r="I477" s="302"/>
      <c r="J477" s="303"/>
      <c r="K477" s="303"/>
      <c r="L477" s="302"/>
      <c r="M477" s="302"/>
      <c r="N477" s="302"/>
      <c r="O477" s="303"/>
      <c r="P477" s="303"/>
      <c r="Q477" s="302"/>
      <c r="R477" s="303"/>
      <c r="S477" s="303"/>
      <c r="T477" s="303"/>
      <c r="U477" s="303"/>
      <c r="V477" s="309"/>
    </row>
    <row r="478" spans="1:22">
      <c r="A478" s="304"/>
      <c r="B478" s="305"/>
      <c r="C478" s="306"/>
      <c r="D478" s="307"/>
      <c r="E478" s="307"/>
      <c r="F478" s="307"/>
      <c r="G478" s="307"/>
      <c r="H478" s="307"/>
      <c r="I478" s="307"/>
      <c r="J478" s="308"/>
      <c r="K478" s="308"/>
      <c r="L478" s="307"/>
      <c r="M478" s="307"/>
      <c r="N478" s="307"/>
      <c r="O478" s="308"/>
      <c r="P478" s="308"/>
      <c r="Q478" s="307"/>
      <c r="R478" s="308"/>
      <c r="S478" s="308"/>
      <c r="T478" s="308"/>
      <c r="U478" s="308"/>
      <c r="V478" s="309"/>
    </row>
    <row r="479" spans="1:22">
      <c r="A479" s="304"/>
      <c r="B479" s="310"/>
      <c r="C479" s="311"/>
      <c r="D479" s="312"/>
      <c r="E479" s="312"/>
      <c r="F479" s="312"/>
      <c r="G479" s="312"/>
      <c r="H479" s="312"/>
      <c r="I479" s="312"/>
      <c r="J479" s="314"/>
      <c r="K479" s="314"/>
      <c r="L479" s="312"/>
      <c r="M479" s="312"/>
      <c r="N479" s="312"/>
      <c r="O479" s="314"/>
      <c r="P479" s="314"/>
      <c r="Q479" s="312"/>
      <c r="R479" s="314"/>
      <c r="S479" s="314"/>
      <c r="T479" s="314"/>
      <c r="U479" s="314"/>
      <c r="V479" s="309"/>
    </row>
    <row r="480" spans="1:22">
      <c r="A480" s="304"/>
      <c r="B480" s="50"/>
      <c r="C480" s="301"/>
      <c r="D480" s="302"/>
      <c r="E480" s="302"/>
      <c r="F480" s="302"/>
      <c r="G480" s="302"/>
      <c r="H480" s="302"/>
      <c r="I480" s="302"/>
      <c r="J480" s="303"/>
      <c r="K480" s="303"/>
      <c r="L480" s="302"/>
      <c r="M480" s="302"/>
      <c r="N480" s="302"/>
      <c r="O480" s="303"/>
      <c r="P480" s="303"/>
      <c r="Q480" s="302"/>
      <c r="R480" s="303"/>
      <c r="S480" s="303"/>
      <c r="T480" s="303"/>
      <c r="U480" s="303"/>
      <c r="V480" s="309"/>
    </row>
    <row r="481" spans="1:22">
      <c r="A481" s="304"/>
      <c r="B481" s="305"/>
      <c r="C481" s="306"/>
      <c r="D481" s="307"/>
      <c r="E481" s="307"/>
      <c r="F481" s="307"/>
      <c r="G481" s="307"/>
      <c r="H481" s="307"/>
      <c r="I481" s="307"/>
      <c r="J481" s="308"/>
      <c r="K481" s="308"/>
      <c r="L481" s="307"/>
      <c r="M481" s="307"/>
      <c r="N481" s="307"/>
      <c r="O481" s="308"/>
      <c r="P481" s="308"/>
      <c r="Q481" s="307"/>
      <c r="R481" s="308"/>
      <c r="S481" s="308"/>
      <c r="T481" s="308"/>
      <c r="U481" s="308"/>
      <c r="V481" s="309"/>
    </row>
    <row r="482" spans="1:22">
      <c r="A482" s="304"/>
      <c r="B482" s="310"/>
      <c r="C482" s="311"/>
      <c r="D482" s="312"/>
      <c r="E482" s="312"/>
      <c r="F482" s="312"/>
      <c r="G482" s="312"/>
      <c r="H482" s="312"/>
      <c r="I482" s="312"/>
      <c r="J482" s="314"/>
      <c r="K482" s="314"/>
      <c r="L482" s="312"/>
      <c r="M482" s="312"/>
      <c r="N482" s="312"/>
      <c r="O482" s="314"/>
      <c r="P482" s="314"/>
      <c r="Q482" s="312"/>
      <c r="R482" s="314"/>
      <c r="S482" s="314"/>
      <c r="T482" s="314"/>
      <c r="U482" s="314"/>
      <c r="V482" s="309"/>
    </row>
    <row r="483" spans="1:22">
      <c r="A483" s="304"/>
      <c r="B483" s="50"/>
      <c r="C483" s="301"/>
      <c r="D483" s="302"/>
      <c r="E483" s="302"/>
      <c r="F483" s="302"/>
      <c r="G483" s="302"/>
      <c r="H483" s="302"/>
      <c r="I483" s="302"/>
      <c r="J483" s="303"/>
      <c r="K483" s="303"/>
      <c r="L483" s="302"/>
      <c r="M483" s="302"/>
      <c r="N483" s="302"/>
      <c r="O483" s="303"/>
      <c r="P483" s="303"/>
      <c r="Q483" s="302"/>
      <c r="R483" s="303"/>
      <c r="S483" s="303"/>
      <c r="T483" s="303"/>
      <c r="U483" s="303"/>
      <c r="V483" s="309"/>
    </row>
    <row r="484" spans="1:22">
      <c r="A484" s="304"/>
      <c r="B484" s="305"/>
      <c r="C484" s="306"/>
      <c r="D484" s="307"/>
      <c r="E484" s="307"/>
      <c r="F484" s="307"/>
      <c r="G484" s="307"/>
      <c r="H484" s="307"/>
      <c r="I484" s="307"/>
      <c r="J484" s="308"/>
      <c r="K484" s="308"/>
      <c r="L484" s="307"/>
      <c r="M484" s="307"/>
      <c r="N484" s="307"/>
      <c r="O484" s="308"/>
      <c r="P484" s="308"/>
      <c r="Q484" s="307"/>
      <c r="R484" s="308"/>
      <c r="S484" s="308"/>
      <c r="T484" s="308"/>
      <c r="U484" s="308"/>
      <c r="V484" s="309"/>
    </row>
    <row r="485" spans="1:22">
      <c r="A485" s="304"/>
      <c r="B485" s="310"/>
      <c r="C485" s="311"/>
      <c r="D485" s="312"/>
      <c r="E485" s="312"/>
      <c r="F485" s="312"/>
      <c r="G485" s="312"/>
      <c r="H485" s="312"/>
      <c r="I485" s="312"/>
      <c r="J485" s="314"/>
      <c r="K485" s="314"/>
      <c r="L485" s="312"/>
      <c r="M485" s="312"/>
      <c r="N485" s="312"/>
      <c r="O485" s="314"/>
      <c r="P485" s="314"/>
      <c r="Q485" s="312"/>
      <c r="R485" s="314"/>
      <c r="S485" s="314"/>
      <c r="T485" s="314"/>
      <c r="U485" s="314"/>
      <c r="V485" s="309"/>
    </row>
    <row r="486" spans="1:22">
      <c r="A486" s="304"/>
      <c r="B486" s="50"/>
      <c r="C486" s="301"/>
      <c r="D486" s="302"/>
      <c r="E486" s="302"/>
      <c r="F486" s="302"/>
      <c r="G486" s="302"/>
      <c r="H486" s="302"/>
      <c r="I486" s="302"/>
      <c r="J486" s="303"/>
      <c r="K486" s="303"/>
      <c r="L486" s="302"/>
      <c r="M486" s="302"/>
      <c r="N486" s="302"/>
      <c r="O486" s="303"/>
      <c r="P486" s="303"/>
      <c r="Q486" s="302"/>
      <c r="R486" s="303"/>
      <c r="S486" s="303"/>
      <c r="T486" s="303"/>
      <c r="U486" s="303"/>
      <c r="V486" s="309"/>
    </row>
    <row r="487" spans="1:22">
      <c r="A487" s="304"/>
      <c r="B487" s="305"/>
      <c r="C487" s="306"/>
      <c r="D487" s="307"/>
      <c r="E487" s="307"/>
      <c r="F487" s="307"/>
      <c r="G487" s="307"/>
      <c r="H487" s="307"/>
      <c r="I487" s="307"/>
      <c r="J487" s="308"/>
      <c r="K487" s="308"/>
      <c r="L487" s="307"/>
      <c r="M487" s="307"/>
      <c r="N487" s="307"/>
      <c r="O487" s="308"/>
      <c r="P487" s="308"/>
      <c r="Q487" s="307"/>
      <c r="R487" s="308"/>
      <c r="S487" s="308"/>
      <c r="T487" s="308"/>
      <c r="U487" s="308"/>
      <c r="V487" s="309"/>
    </row>
    <row r="488" spans="1:22">
      <c r="A488" s="304"/>
      <c r="B488" s="310"/>
      <c r="C488" s="311"/>
      <c r="D488" s="312"/>
      <c r="E488" s="312"/>
      <c r="F488" s="312"/>
      <c r="G488" s="312"/>
      <c r="H488" s="312"/>
      <c r="I488" s="312"/>
      <c r="J488" s="314"/>
      <c r="K488" s="314"/>
      <c r="L488" s="312"/>
      <c r="M488" s="312"/>
      <c r="N488" s="312"/>
      <c r="O488" s="314"/>
      <c r="P488" s="314"/>
      <c r="Q488" s="312"/>
      <c r="R488" s="314"/>
      <c r="S488" s="314"/>
      <c r="T488" s="314"/>
      <c r="U488" s="314"/>
      <c r="V488" s="309"/>
    </row>
    <row r="489" spans="1:22">
      <c r="A489" s="304"/>
      <c r="B489" s="50"/>
      <c r="C489" s="301"/>
      <c r="D489" s="302"/>
      <c r="E489" s="302"/>
      <c r="F489" s="302"/>
      <c r="G489" s="302"/>
      <c r="H489" s="302"/>
      <c r="I489" s="302"/>
      <c r="J489" s="303"/>
      <c r="K489" s="303"/>
      <c r="L489" s="302"/>
      <c r="M489" s="302"/>
      <c r="N489" s="302"/>
      <c r="O489" s="303"/>
      <c r="P489" s="303"/>
      <c r="Q489" s="302"/>
      <c r="R489" s="303"/>
      <c r="S489" s="303"/>
      <c r="T489" s="303"/>
      <c r="U489" s="303"/>
      <c r="V489" s="309"/>
    </row>
    <row r="490" spans="1:22">
      <c r="A490" s="304"/>
      <c r="B490" s="305"/>
      <c r="C490" s="306"/>
      <c r="D490" s="307"/>
      <c r="E490" s="307"/>
      <c r="F490" s="307"/>
      <c r="G490" s="307"/>
      <c r="H490" s="307"/>
      <c r="I490" s="307"/>
      <c r="J490" s="308"/>
      <c r="K490" s="308"/>
      <c r="L490" s="307"/>
      <c r="M490" s="307"/>
      <c r="N490" s="307"/>
      <c r="O490" s="308"/>
      <c r="P490" s="308"/>
      <c r="Q490" s="307"/>
      <c r="R490" s="308"/>
      <c r="S490" s="308"/>
      <c r="T490" s="308"/>
      <c r="U490" s="308"/>
      <c r="V490" s="309"/>
    </row>
    <row r="491" spans="1:22" ht="15.75" thickBot="1">
      <c r="A491" s="304"/>
      <c r="B491" s="316"/>
      <c r="C491" s="317"/>
      <c r="D491" s="318"/>
      <c r="E491" s="318"/>
      <c r="F491" s="318"/>
      <c r="G491" s="318"/>
      <c r="H491" s="318"/>
      <c r="I491" s="318"/>
      <c r="J491" s="319"/>
      <c r="K491" s="319"/>
      <c r="L491" s="318"/>
      <c r="M491" s="318"/>
      <c r="N491" s="318"/>
      <c r="O491" s="319"/>
      <c r="P491" s="319"/>
      <c r="Q491" s="318"/>
      <c r="R491" s="319"/>
      <c r="S491" s="319"/>
      <c r="T491" s="319"/>
      <c r="U491" s="319"/>
      <c r="V491" s="309"/>
    </row>
    <row r="492" spans="1:22" ht="15.75" thickTop="1">
      <c r="A492" s="304"/>
      <c r="B492" s="305"/>
      <c r="C492" s="306"/>
      <c r="D492" s="307"/>
      <c r="E492" s="307"/>
      <c r="F492" s="307"/>
      <c r="G492" s="307"/>
      <c r="H492" s="307"/>
      <c r="I492" s="307"/>
      <c r="J492" s="308"/>
      <c r="K492" s="308"/>
      <c r="L492" s="307"/>
      <c r="M492" s="307"/>
      <c r="N492" s="307"/>
      <c r="O492" s="308"/>
      <c r="P492" s="308"/>
      <c r="Q492" s="307"/>
      <c r="R492" s="308"/>
      <c r="S492" s="308"/>
      <c r="T492" s="308"/>
      <c r="U492" s="308"/>
      <c r="V492" s="309"/>
    </row>
    <row r="493" spans="1:22">
      <c r="A493" s="304"/>
      <c r="B493" s="305"/>
      <c r="C493" s="306"/>
      <c r="D493" s="307"/>
      <c r="E493" s="307"/>
      <c r="F493" s="307"/>
      <c r="G493" s="307"/>
      <c r="H493" s="307"/>
      <c r="I493" s="307"/>
      <c r="J493" s="308"/>
      <c r="K493" s="308"/>
      <c r="L493" s="307"/>
      <c r="M493" s="307"/>
      <c r="N493" s="307"/>
      <c r="O493" s="308"/>
      <c r="P493" s="308"/>
      <c r="Q493" s="307"/>
      <c r="R493" s="308"/>
      <c r="S493" s="308"/>
      <c r="T493" s="308"/>
      <c r="U493" s="308"/>
      <c r="V493" s="309"/>
    </row>
    <row r="494" spans="1:22">
      <c r="A494" s="304"/>
      <c r="B494" s="310"/>
      <c r="C494" s="311"/>
      <c r="D494" s="312"/>
      <c r="E494" s="312"/>
      <c r="F494" s="312"/>
      <c r="G494" s="312"/>
      <c r="H494" s="312"/>
      <c r="I494" s="312"/>
      <c r="J494" s="314"/>
      <c r="K494" s="314"/>
      <c r="L494" s="312"/>
      <c r="M494" s="312"/>
      <c r="N494" s="312"/>
      <c r="O494" s="314"/>
      <c r="P494" s="314"/>
      <c r="Q494" s="312"/>
      <c r="R494" s="314"/>
      <c r="S494" s="314"/>
      <c r="T494" s="314"/>
      <c r="U494" s="314"/>
      <c r="V494" s="309"/>
    </row>
    <row r="495" spans="1:22">
      <c r="A495" s="304"/>
      <c r="B495" s="50"/>
      <c r="C495" s="301"/>
      <c r="D495" s="302"/>
      <c r="E495" s="302"/>
      <c r="F495" s="302"/>
      <c r="G495" s="302"/>
      <c r="H495" s="302"/>
      <c r="I495" s="302"/>
      <c r="J495" s="303"/>
      <c r="K495" s="303"/>
      <c r="L495" s="302"/>
      <c r="M495" s="302"/>
      <c r="N495" s="302"/>
      <c r="O495" s="303"/>
      <c r="P495" s="303"/>
      <c r="Q495" s="302"/>
      <c r="R495" s="303"/>
      <c r="S495" s="303"/>
      <c r="T495" s="303"/>
      <c r="U495" s="303"/>
      <c r="V495" s="309"/>
    </row>
    <row r="496" spans="1:22">
      <c r="A496" s="304"/>
      <c r="B496" s="305"/>
      <c r="C496" s="306"/>
      <c r="D496" s="307"/>
      <c r="E496" s="307"/>
      <c r="F496" s="307"/>
      <c r="G496" s="307"/>
      <c r="H496" s="307"/>
      <c r="I496" s="307"/>
      <c r="J496" s="308"/>
      <c r="K496" s="308"/>
      <c r="L496" s="307"/>
      <c r="M496" s="307"/>
      <c r="N496" s="307"/>
      <c r="O496" s="308"/>
      <c r="P496" s="308"/>
      <c r="Q496" s="307"/>
      <c r="R496" s="308"/>
      <c r="S496" s="308"/>
      <c r="T496" s="308"/>
      <c r="U496" s="308"/>
      <c r="V496" s="309"/>
    </row>
    <row r="497" spans="1:22">
      <c r="A497" s="304"/>
      <c r="B497" s="310"/>
      <c r="C497" s="311"/>
      <c r="D497" s="312"/>
      <c r="E497" s="312"/>
      <c r="F497" s="312"/>
      <c r="G497" s="312"/>
      <c r="H497" s="312"/>
      <c r="I497" s="312"/>
      <c r="J497" s="314"/>
      <c r="K497" s="314"/>
      <c r="L497" s="312"/>
      <c r="M497" s="312"/>
      <c r="N497" s="312"/>
      <c r="O497" s="314"/>
      <c r="P497" s="314"/>
      <c r="Q497" s="312"/>
      <c r="R497" s="314"/>
      <c r="S497" s="314"/>
      <c r="T497" s="314"/>
      <c r="U497" s="314"/>
      <c r="V497" s="309"/>
    </row>
    <row r="498" spans="1:22">
      <c r="A498" s="304"/>
      <c r="B498" s="50"/>
      <c r="C498" s="301"/>
      <c r="D498" s="302"/>
      <c r="E498" s="302"/>
      <c r="F498" s="302"/>
      <c r="G498" s="302"/>
      <c r="H498" s="302"/>
      <c r="I498" s="302"/>
      <c r="J498" s="303"/>
      <c r="K498" s="303"/>
      <c r="L498" s="302"/>
      <c r="M498" s="302"/>
      <c r="N498" s="302"/>
      <c r="O498" s="303"/>
      <c r="P498" s="303"/>
      <c r="Q498" s="302"/>
      <c r="R498" s="303"/>
      <c r="S498" s="303"/>
      <c r="T498" s="303"/>
      <c r="U498" s="303"/>
      <c r="V498" s="309"/>
    </row>
    <row r="499" spans="1:22">
      <c r="A499" s="304"/>
      <c r="B499" s="305"/>
      <c r="C499" s="306"/>
      <c r="D499" s="307"/>
      <c r="E499" s="307"/>
      <c r="F499" s="307"/>
      <c r="G499" s="307"/>
      <c r="H499" s="307"/>
      <c r="I499" s="307"/>
      <c r="J499" s="308"/>
      <c r="K499" s="308"/>
      <c r="L499" s="307"/>
      <c r="M499" s="307"/>
      <c r="N499" s="307"/>
      <c r="O499" s="308"/>
      <c r="P499" s="308"/>
      <c r="Q499" s="307"/>
      <c r="R499" s="308"/>
      <c r="S499" s="308"/>
      <c r="T499" s="308"/>
      <c r="U499" s="308"/>
      <c r="V499" s="309"/>
    </row>
    <row r="500" spans="1:22">
      <c r="A500" s="304"/>
      <c r="B500" s="310"/>
      <c r="C500" s="311"/>
      <c r="D500" s="312"/>
      <c r="E500" s="312"/>
      <c r="F500" s="312"/>
      <c r="G500" s="312"/>
      <c r="H500" s="312"/>
      <c r="I500" s="312"/>
      <c r="J500" s="314"/>
      <c r="K500" s="314"/>
      <c r="L500" s="312"/>
      <c r="M500" s="312"/>
      <c r="N500" s="312"/>
      <c r="O500" s="314"/>
      <c r="P500" s="314"/>
      <c r="Q500" s="312"/>
      <c r="R500" s="314"/>
      <c r="S500" s="314"/>
      <c r="T500" s="314"/>
      <c r="U500" s="314"/>
      <c r="V500" s="309"/>
    </row>
    <row r="501" spans="1:22">
      <c r="A501" s="304"/>
      <c r="B501" s="50"/>
      <c r="C501" s="301"/>
      <c r="D501" s="302"/>
      <c r="E501" s="302"/>
      <c r="F501" s="302"/>
      <c r="G501" s="302"/>
      <c r="H501" s="302"/>
      <c r="I501" s="302"/>
      <c r="J501" s="303"/>
      <c r="K501" s="303"/>
      <c r="L501" s="302"/>
      <c r="M501" s="302"/>
      <c r="N501" s="302"/>
      <c r="O501" s="303"/>
      <c r="P501" s="303"/>
      <c r="Q501" s="302"/>
      <c r="R501" s="303"/>
      <c r="S501" s="303"/>
      <c r="T501" s="303"/>
      <c r="U501" s="303"/>
      <c r="V501" s="309"/>
    </row>
    <row r="502" spans="1:22">
      <c r="A502" s="304"/>
      <c r="B502" s="305"/>
      <c r="C502" s="306"/>
      <c r="D502" s="307"/>
      <c r="E502" s="307"/>
      <c r="F502" s="307"/>
      <c r="G502" s="307"/>
      <c r="H502" s="307"/>
      <c r="I502" s="307"/>
      <c r="J502" s="308"/>
      <c r="K502" s="308"/>
      <c r="L502" s="307"/>
      <c r="M502" s="307"/>
      <c r="N502" s="307"/>
      <c r="O502" s="308"/>
      <c r="P502" s="308"/>
      <c r="Q502" s="307"/>
      <c r="R502" s="308"/>
      <c r="S502" s="308"/>
      <c r="T502" s="308"/>
      <c r="U502" s="308"/>
      <c r="V502" s="309"/>
    </row>
    <row r="503" spans="1:22">
      <c r="A503" s="304"/>
      <c r="B503" s="310"/>
      <c r="C503" s="311"/>
      <c r="D503" s="312"/>
      <c r="E503" s="312"/>
      <c r="F503" s="312"/>
      <c r="G503" s="312"/>
      <c r="H503" s="312"/>
      <c r="I503" s="312"/>
      <c r="J503" s="314"/>
      <c r="K503" s="314"/>
      <c r="L503" s="312"/>
      <c r="M503" s="312"/>
      <c r="N503" s="312"/>
      <c r="O503" s="314"/>
      <c r="P503" s="314"/>
      <c r="Q503" s="312"/>
      <c r="R503" s="314"/>
      <c r="S503" s="314"/>
      <c r="T503" s="314"/>
      <c r="U503" s="314"/>
      <c r="V503" s="309"/>
    </row>
    <row r="504" spans="1:22">
      <c r="A504" s="304"/>
      <c r="B504" s="50"/>
      <c r="C504" s="301"/>
      <c r="D504" s="302"/>
      <c r="E504" s="302"/>
      <c r="F504" s="302"/>
      <c r="G504" s="302"/>
      <c r="H504" s="302"/>
      <c r="I504" s="302"/>
      <c r="J504" s="303"/>
      <c r="K504" s="303"/>
      <c r="L504" s="302"/>
      <c r="M504" s="302"/>
      <c r="N504" s="302"/>
      <c r="O504" s="303"/>
      <c r="P504" s="303"/>
      <c r="Q504" s="302"/>
      <c r="R504" s="303"/>
      <c r="S504" s="303"/>
      <c r="T504" s="303"/>
      <c r="U504" s="303"/>
      <c r="V504" s="309"/>
    </row>
    <row r="505" spans="1:22">
      <c r="A505" s="304"/>
      <c r="B505" s="305"/>
      <c r="C505" s="306"/>
      <c r="D505" s="307"/>
      <c r="E505" s="307"/>
      <c r="F505" s="307"/>
      <c r="G505" s="307"/>
      <c r="H505" s="307"/>
      <c r="I505" s="307"/>
      <c r="J505" s="308"/>
      <c r="K505" s="308"/>
      <c r="L505" s="307"/>
      <c r="M505" s="307"/>
      <c r="N505" s="307"/>
      <c r="O505" s="308"/>
      <c r="P505" s="308"/>
      <c r="Q505" s="307"/>
      <c r="R505" s="308"/>
      <c r="S505" s="308"/>
      <c r="T505" s="308"/>
      <c r="U505" s="308"/>
      <c r="V505" s="309"/>
    </row>
    <row r="506" spans="1:22">
      <c r="A506" s="304"/>
      <c r="B506" s="310"/>
      <c r="C506" s="311"/>
      <c r="D506" s="312"/>
      <c r="E506" s="312"/>
      <c r="F506" s="312"/>
      <c r="G506" s="312"/>
      <c r="H506" s="312"/>
      <c r="I506" s="312"/>
      <c r="J506" s="314"/>
      <c r="K506" s="314"/>
      <c r="L506" s="312"/>
      <c r="M506" s="312"/>
      <c r="N506" s="312"/>
      <c r="O506" s="314"/>
      <c r="P506" s="314"/>
      <c r="Q506" s="312"/>
      <c r="R506" s="314"/>
      <c r="S506" s="314"/>
      <c r="T506" s="314"/>
      <c r="U506" s="314"/>
      <c r="V506" s="309"/>
    </row>
    <row r="507" spans="1:22">
      <c r="A507" s="304"/>
      <c r="B507" s="50"/>
      <c r="C507" s="301"/>
      <c r="D507" s="302"/>
      <c r="E507" s="302"/>
      <c r="F507" s="302"/>
      <c r="G507" s="302"/>
      <c r="H507" s="302"/>
      <c r="I507" s="302"/>
      <c r="J507" s="303"/>
      <c r="K507" s="303"/>
      <c r="L507" s="302"/>
      <c r="M507" s="302"/>
      <c r="N507" s="302"/>
      <c r="O507" s="303"/>
      <c r="P507" s="303"/>
      <c r="Q507" s="302"/>
      <c r="R507" s="303"/>
      <c r="S507" s="303"/>
      <c r="T507" s="303"/>
      <c r="U507" s="303"/>
      <c r="V507" s="309"/>
    </row>
    <row r="508" spans="1:22">
      <c r="A508" s="304"/>
      <c r="B508" s="305"/>
      <c r="C508" s="306"/>
      <c r="D508" s="307"/>
      <c r="E508" s="307"/>
      <c r="F508" s="307"/>
      <c r="G508" s="307"/>
      <c r="H508" s="307"/>
      <c r="I508" s="307"/>
      <c r="J508" s="308"/>
      <c r="K508" s="308"/>
      <c r="L508" s="307"/>
      <c r="M508" s="307"/>
      <c r="N508" s="307"/>
      <c r="O508" s="308"/>
      <c r="P508" s="308"/>
      <c r="Q508" s="307"/>
      <c r="R508" s="308"/>
      <c r="S508" s="308"/>
      <c r="T508" s="308"/>
      <c r="U508" s="308"/>
      <c r="V508" s="309"/>
    </row>
    <row r="509" spans="1:22" ht="15.75" thickBot="1">
      <c r="A509" s="320"/>
      <c r="B509" s="321"/>
      <c r="C509" s="322"/>
      <c r="D509" s="323"/>
      <c r="E509" s="323"/>
      <c r="F509" s="323"/>
      <c r="G509" s="323"/>
      <c r="H509" s="323"/>
      <c r="I509" s="323"/>
      <c r="J509" s="324"/>
      <c r="K509" s="324"/>
      <c r="L509" s="323"/>
      <c r="M509" s="323"/>
      <c r="N509" s="323"/>
      <c r="O509" s="324"/>
      <c r="P509" s="324"/>
      <c r="Q509" s="323"/>
      <c r="R509" s="324"/>
      <c r="S509" s="324"/>
      <c r="T509" s="324"/>
      <c r="U509" s="324"/>
      <c r="V509" s="309"/>
    </row>
    <row r="510" spans="1:22">
      <c r="A510" s="300"/>
      <c r="B510" s="50"/>
      <c r="C510" s="301"/>
      <c r="D510" s="302"/>
      <c r="E510" s="302"/>
      <c r="F510" s="302"/>
      <c r="G510" s="302"/>
      <c r="H510" s="302"/>
      <c r="I510" s="302"/>
      <c r="J510" s="303"/>
      <c r="K510" s="303"/>
      <c r="L510" s="302"/>
      <c r="M510" s="302"/>
      <c r="N510" s="302"/>
      <c r="O510" s="303"/>
      <c r="P510" s="303"/>
      <c r="Q510" s="302"/>
      <c r="R510" s="303"/>
      <c r="S510" s="303"/>
      <c r="T510" s="303"/>
      <c r="U510" s="303"/>
      <c r="V510" s="309"/>
    </row>
    <row r="511" spans="1:22">
      <c r="A511" s="304"/>
      <c r="B511" s="305"/>
      <c r="C511" s="306"/>
      <c r="D511" s="307"/>
      <c r="E511" s="307"/>
      <c r="F511" s="307"/>
      <c r="G511" s="307"/>
      <c r="H511" s="307"/>
      <c r="I511" s="307"/>
      <c r="J511" s="308"/>
      <c r="K511" s="308"/>
      <c r="L511" s="307"/>
      <c r="M511" s="307"/>
      <c r="N511" s="307"/>
      <c r="O511" s="308"/>
      <c r="P511" s="308"/>
      <c r="Q511" s="307"/>
      <c r="R511" s="308"/>
      <c r="S511" s="308"/>
      <c r="T511" s="308"/>
      <c r="U511" s="308"/>
      <c r="V511" s="309"/>
    </row>
    <row r="512" spans="1:22">
      <c r="A512" s="304"/>
      <c r="B512" s="310"/>
      <c r="C512" s="311"/>
      <c r="D512" s="312"/>
      <c r="E512" s="312"/>
      <c r="F512" s="312"/>
      <c r="G512" s="312"/>
      <c r="H512" s="312"/>
      <c r="I512" s="312"/>
      <c r="J512" s="314"/>
      <c r="K512" s="314"/>
      <c r="L512" s="312"/>
      <c r="M512" s="312"/>
      <c r="N512" s="312"/>
      <c r="O512" s="314"/>
      <c r="P512" s="314"/>
      <c r="Q512" s="312"/>
      <c r="R512" s="314"/>
      <c r="S512" s="314"/>
      <c r="T512" s="314"/>
      <c r="U512" s="314"/>
      <c r="V512" s="309"/>
    </row>
    <row r="513" spans="1:22">
      <c r="A513" s="304"/>
      <c r="B513" s="50"/>
      <c r="C513" s="301"/>
      <c r="D513" s="302"/>
      <c r="E513" s="302"/>
      <c r="F513" s="302"/>
      <c r="G513" s="302"/>
      <c r="H513" s="302"/>
      <c r="I513" s="302"/>
      <c r="J513" s="303"/>
      <c r="K513" s="303"/>
      <c r="L513" s="302"/>
      <c r="M513" s="302"/>
      <c r="N513" s="302"/>
      <c r="O513" s="303"/>
      <c r="P513" s="303"/>
      <c r="Q513" s="302"/>
      <c r="R513" s="303"/>
      <c r="S513" s="303"/>
      <c r="T513" s="303"/>
      <c r="U513" s="303"/>
      <c r="V513" s="309"/>
    </row>
    <row r="514" spans="1:22">
      <c r="A514" s="304"/>
      <c r="B514" s="305"/>
      <c r="C514" s="306"/>
      <c r="D514" s="307"/>
      <c r="E514" s="307"/>
      <c r="F514" s="307"/>
      <c r="G514" s="307"/>
      <c r="H514" s="307"/>
      <c r="I514" s="307"/>
      <c r="J514" s="308"/>
      <c r="K514" s="308"/>
      <c r="L514" s="307"/>
      <c r="M514" s="307"/>
      <c r="N514" s="307"/>
      <c r="O514" s="308"/>
      <c r="P514" s="308"/>
      <c r="Q514" s="307"/>
      <c r="R514" s="308"/>
      <c r="S514" s="308"/>
      <c r="T514" s="308"/>
      <c r="U514" s="308"/>
      <c r="V514" s="309"/>
    </row>
    <row r="515" spans="1:22">
      <c r="A515" s="304"/>
      <c r="B515" s="310"/>
      <c r="C515" s="311"/>
      <c r="D515" s="312"/>
      <c r="E515" s="312"/>
      <c r="F515" s="312"/>
      <c r="G515" s="312"/>
      <c r="H515" s="312"/>
      <c r="I515" s="312"/>
      <c r="J515" s="314"/>
      <c r="K515" s="314"/>
      <c r="L515" s="312"/>
      <c r="M515" s="312"/>
      <c r="N515" s="312"/>
      <c r="O515" s="314"/>
      <c r="P515" s="314"/>
      <c r="Q515" s="312"/>
      <c r="R515" s="314"/>
      <c r="S515" s="314"/>
      <c r="T515" s="314"/>
      <c r="U515" s="314"/>
      <c r="V515" s="309"/>
    </row>
    <row r="516" spans="1:22">
      <c r="A516" s="304"/>
      <c r="B516" s="50"/>
      <c r="C516" s="301"/>
      <c r="D516" s="302"/>
      <c r="E516" s="302"/>
      <c r="F516" s="302"/>
      <c r="G516" s="302"/>
      <c r="H516" s="302"/>
      <c r="I516" s="302"/>
      <c r="J516" s="303"/>
      <c r="K516" s="303"/>
      <c r="L516" s="302"/>
      <c r="M516" s="302"/>
      <c r="N516" s="302"/>
      <c r="O516" s="303"/>
      <c r="P516" s="303"/>
      <c r="Q516" s="302"/>
      <c r="R516" s="303"/>
      <c r="S516" s="303"/>
      <c r="T516" s="303"/>
      <c r="U516" s="303"/>
      <c r="V516" s="309"/>
    </row>
    <row r="517" spans="1:22">
      <c r="A517" s="304"/>
      <c r="B517" s="305"/>
      <c r="C517" s="306"/>
      <c r="D517" s="307"/>
      <c r="E517" s="307"/>
      <c r="F517" s="307"/>
      <c r="G517" s="307"/>
      <c r="H517" s="307"/>
      <c r="I517" s="307"/>
      <c r="J517" s="308"/>
      <c r="K517" s="308"/>
      <c r="L517" s="307"/>
      <c r="M517" s="307"/>
      <c r="N517" s="307"/>
      <c r="O517" s="308"/>
      <c r="P517" s="308"/>
      <c r="Q517" s="307"/>
      <c r="R517" s="308"/>
      <c r="S517" s="308"/>
      <c r="T517" s="308"/>
      <c r="U517" s="308"/>
      <c r="V517" s="309"/>
    </row>
    <row r="518" spans="1:22">
      <c r="A518" s="304"/>
      <c r="B518" s="310"/>
      <c r="C518" s="311"/>
      <c r="D518" s="312"/>
      <c r="E518" s="312"/>
      <c r="F518" s="312"/>
      <c r="G518" s="312"/>
      <c r="H518" s="312"/>
      <c r="I518" s="312"/>
      <c r="J518" s="314"/>
      <c r="K518" s="314"/>
      <c r="L518" s="312"/>
      <c r="M518" s="312"/>
      <c r="N518" s="312"/>
      <c r="O518" s="314"/>
      <c r="P518" s="314"/>
      <c r="Q518" s="312"/>
      <c r="R518" s="314"/>
      <c r="S518" s="314"/>
      <c r="T518" s="314"/>
      <c r="U518" s="314"/>
      <c r="V518" s="309"/>
    </row>
    <row r="519" spans="1:22">
      <c r="A519" s="304"/>
      <c r="B519" s="50"/>
      <c r="C519" s="301"/>
      <c r="D519" s="302"/>
      <c r="E519" s="302"/>
      <c r="F519" s="302"/>
      <c r="G519" s="302"/>
      <c r="H519" s="302"/>
      <c r="I519" s="302"/>
      <c r="J519" s="303"/>
      <c r="K519" s="303"/>
      <c r="L519" s="302"/>
      <c r="M519" s="302"/>
      <c r="N519" s="302"/>
      <c r="O519" s="303"/>
      <c r="P519" s="303"/>
      <c r="Q519" s="302"/>
      <c r="R519" s="303"/>
      <c r="S519" s="303"/>
      <c r="T519" s="303"/>
      <c r="U519" s="303"/>
      <c r="V519" s="309"/>
    </row>
    <row r="520" spans="1:22">
      <c r="A520" s="304"/>
      <c r="B520" s="305"/>
      <c r="C520" s="306"/>
      <c r="D520" s="307"/>
      <c r="E520" s="307"/>
      <c r="F520" s="307"/>
      <c r="G520" s="307"/>
      <c r="H520" s="307"/>
      <c r="I520" s="307"/>
      <c r="J520" s="308"/>
      <c r="K520" s="308"/>
      <c r="L520" s="307"/>
      <c r="M520" s="307"/>
      <c r="N520" s="307"/>
      <c r="O520" s="308"/>
      <c r="P520" s="308"/>
      <c r="Q520" s="307"/>
      <c r="R520" s="308"/>
      <c r="S520" s="308"/>
      <c r="T520" s="308"/>
      <c r="U520" s="308"/>
      <c r="V520" s="309"/>
    </row>
    <row r="521" spans="1:22">
      <c r="A521" s="304"/>
      <c r="B521" s="310"/>
      <c r="C521" s="311"/>
      <c r="D521" s="312"/>
      <c r="E521" s="312"/>
      <c r="F521" s="312"/>
      <c r="G521" s="312"/>
      <c r="H521" s="312"/>
      <c r="I521" s="312"/>
      <c r="J521" s="314"/>
      <c r="K521" s="314"/>
      <c r="L521" s="312"/>
      <c r="M521" s="312"/>
      <c r="N521" s="312"/>
      <c r="O521" s="314"/>
      <c r="P521" s="314"/>
      <c r="Q521" s="312"/>
      <c r="R521" s="314"/>
      <c r="S521" s="314"/>
      <c r="T521" s="314"/>
      <c r="U521" s="314"/>
      <c r="V521" s="309"/>
    </row>
    <row r="522" spans="1:22">
      <c r="A522" s="304"/>
      <c r="B522" s="50"/>
      <c r="C522" s="301"/>
      <c r="D522" s="302"/>
      <c r="E522" s="302"/>
      <c r="F522" s="302"/>
      <c r="G522" s="302"/>
      <c r="H522" s="302"/>
      <c r="I522" s="302"/>
      <c r="J522" s="303"/>
      <c r="K522" s="303"/>
      <c r="L522" s="302"/>
      <c r="M522" s="302"/>
      <c r="N522" s="302"/>
      <c r="O522" s="303"/>
      <c r="P522" s="303"/>
      <c r="Q522" s="302"/>
      <c r="R522" s="303"/>
      <c r="S522" s="303"/>
      <c r="T522" s="303"/>
      <c r="U522" s="303"/>
      <c r="V522" s="309"/>
    </row>
    <row r="523" spans="1:22">
      <c r="A523" s="304"/>
      <c r="B523" s="305"/>
      <c r="C523" s="306"/>
      <c r="D523" s="307"/>
      <c r="E523" s="307"/>
      <c r="F523" s="307"/>
      <c r="G523" s="307"/>
      <c r="H523" s="307"/>
      <c r="I523" s="307"/>
      <c r="J523" s="308"/>
      <c r="K523" s="308"/>
      <c r="L523" s="307"/>
      <c r="M523" s="307"/>
      <c r="N523" s="307"/>
      <c r="O523" s="308"/>
      <c r="P523" s="308"/>
      <c r="Q523" s="307"/>
      <c r="R523" s="308"/>
      <c r="S523" s="308"/>
      <c r="T523" s="308"/>
      <c r="U523" s="308"/>
      <c r="V523" s="309"/>
    </row>
    <row r="524" spans="1:22">
      <c r="A524" s="304"/>
      <c r="B524" s="310"/>
      <c r="C524" s="311"/>
      <c r="D524" s="312"/>
      <c r="E524" s="312"/>
      <c r="F524" s="312"/>
      <c r="G524" s="312"/>
      <c r="H524" s="312"/>
      <c r="I524" s="312"/>
      <c r="J524" s="314"/>
      <c r="K524" s="314"/>
      <c r="L524" s="312"/>
      <c r="M524" s="312"/>
      <c r="N524" s="312"/>
      <c r="O524" s="314"/>
      <c r="P524" s="314"/>
      <c r="Q524" s="312"/>
      <c r="R524" s="314"/>
      <c r="S524" s="314"/>
      <c r="T524" s="314"/>
      <c r="U524" s="314"/>
      <c r="V524" s="309"/>
    </row>
    <row r="525" spans="1:22">
      <c r="A525" s="304"/>
      <c r="B525" s="50"/>
      <c r="C525" s="301"/>
      <c r="D525" s="302"/>
      <c r="E525" s="302"/>
      <c r="F525" s="302"/>
      <c r="G525" s="302"/>
      <c r="H525" s="302"/>
      <c r="I525" s="302"/>
      <c r="J525" s="303"/>
      <c r="K525" s="303"/>
      <c r="L525" s="302"/>
      <c r="M525" s="302"/>
      <c r="N525" s="302"/>
      <c r="O525" s="303"/>
      <c r="P525" s="303"/>
      <c r="Q525" s="302"/>
      <c r="R525" s="303"/>
      <c r="S525" s="303"/>
      <c r="T525" s="303"/>
      <c r="U525" s="303"/>
      <c r="V525" s="309"/>
    </row>
    <row r="526" spans="1:22">
      <c r="A526" s="304"/>
      <c r="B526" s="305"/>
      <c r="C526" s="306"/>
      <c r="D526" s="307"/>
      <c r="E526" s="307"/>
      <c r="F526" s="307"/>
      <c r="G526" s="307"/>
      <c r="H526" s="307"/>
      <c r="I526" s="307"/>
      <c r="J526" s="308"/>
      <c r="K526" s="308"/>
      <c r="L526" s="307"/>
      <c r="M526" s="307"/>
      <c r="N526" s="307"/>
      <c r="O526" s="308"/>
      <c r="P526" s="308"/>
      <c r="Q526" s="307"/>
      <c r="R526" s="308"/>
      <c r="S526" s="308"/>
      <c r="T526" s="308"/>
      <c r="U526" s="308"/>
      <c r="V526" s="309"/>
    </row>
    <row r="527" spans="1:22" ht="15.75" thickBot="1">
      <c r="A527" s="304"/>
      <c r="B527" s="316"/>
      <c r="C527" s="317"/>
      <c r="D527" s="318"/>
      <c r="E527" s="318"/>
      <c r="F527" s="318"/>
      <c r="G527" s="318"/>
      <c r="H527" s="318"/>
      <c r="I527" s="318"/>
      <c r="J527" s="319"/>
      <c r="K527" s="319"/>
      <c r="L527" s="318"/>
      <c r="M527" s="318"/>
      <c r="N527" s="318"/>
      <c r="O527" s="319"/>
      <c r="P527" s="319"/>
      <c r="Q527" s="318"/>
      <c r="R527" s="319"/>
      <c r="S527" s="319"/>
      <c r="T527" s="319"/>
      <c r="U527" s="319"/>
      <c r="V527" s="309"/>
    </row>
    <row r="528" spans="1:22" ht="15.75" thickTop="1">
      <c r="A528" s="304"/>
      <c r="B528" s="305"/>
      <c r="C528" s="306"/>
      <c r="D528" s="307"/>
      <c r="E528" s="307"/>
      <c r="F528" s="307"/>
      <c r="G528" s="307"/>
      <c r="H528" s="307"/>
      <c r="I528" s="307"/>
      <c r="J528" s="308"/>
      <c r="K528" s="308"/>
      <c r="L528" s="307"/>
      <c r="M528" s="307"/>
      <c r="N528" s="307"/>
      <c r="O528" s="308"/>
      <c r="P528" s="308"/>
      <c r="Q528" s="307"/>
      <c r="R528" s="308"/>
      <c r="S528" s="308"/>
      <c r="T528" s="308"/>
      <c r="U528" s="308"/>
      <c r="V528" s="309"/>
    </row>
    <row r="529" spans="1:22">
      <c r="A529" s="304"/>
      <c r="B529" s="305"/>
      <c r="C529" s="306"/>
      <c r="D529" s="307"/>
      <c r="E529" s="307"/>
      <c r="F529" s="307"/>
      <c r="G529" s="307"/>
      <c r="H529" s="307"/>
      <c r="I529" s="307"/>
      <c r="J529" s="308"/>
      <c r="K529" s="308"/>
      <c r="L529" s="307"/>
      <c r="M529" s="307"/>
      <c r="N529" s="307"/>
      <c r="O529" s="308"/>
      <c r="P529" s="308"/>
      <c r="Q529" s="307"/>
      <c r="R529" s="308"/>
      <c r="S529" s="308"/>
      <c r="T529" s="308"/>
      <c r="U529" s="308"/>
      <c r="V529" s="309"/>
    </row>
    <row r="530" spans="1:22">
      <c r="A530" s="304"/>
      <c r="B530" s="310"/>
      <c r="C530" s="311"/>
      <c r="D530" s="312"/>
      <c r="E530" s="312"/>
      <c r="F530" s="312"/>
      <c r="G530" s="312"/>
      <c r="H530" s="312"/>
      <c r="I530" s="312"/>
      <c r="J530" s="314"/>
      <c r="K530" s="314"/>
      <c r="L530" s="312"/>
      <c r="M530" s="312"/>
      <c r="N530" s="312"/>
      <c r="O530" s="314"/>
      <c r="P530" s="314"/>
      <c r="Q530" s="312"/>
      <c r="R530" s="314"/>
      <c r="S530" s="314"/>
      <c r="T530" s="314"/>
      <c r="U530" s="314"/>
      <c r="V530" s="309"/>
    </row>
    <row r="531" spans="1:22">
      <c r="A531" s="304"/>
      <c r="B531" s="50"/>
      <c r="C531" s="301"/>
      <c r="D531" s="302"/>
      <c r="E531" s="302"/>
      <c r="F531" s="302"/>
      <c r="G531" s="302"/>
      <c r="H531" s="302"/>
      <c r="I531" s="302"/>
      <c r="J531" s="303"/>
      <c r="K531" s="303"/>
      <c r="L531" s="302"/>
      <c r="M531" s="302"/>
      <c r="N531" s="302"/>
      <c r="O531" s="303"/>
      <c r="P531" s="303"/>
      <c r="Q531" s="302"/>
      <c r="R531" s="303"/>
      <c r="S531" s="303"/>
      <c r="T531" s="303"/>
      <c r="U531" s="303"/>
      <c r="V531" s="309"/>
    </row>
    <row r="532" spans="1:22">
      <c r="A532" s="304"/>
      <c r="B532" s="305"/>
      <c r="C532" s="306"/>
      <c r="D532" s="307"/>
      <c r="E532" s="307"/>
      <c r="F532" s="307"/>
      <c r="G532" s="307"/>
      <c r="H532" s="307"/>
      <c r="I532" s="307"/>
      <c r="J532" s="308"/>
      <c r="K532" s="308"/>
      <c r="L532" s="307"/>
      <c r="M532" s="307"/>
      <c r="N532" s="307"/>
      <c r="O532" s="308"/>
      <c r="P532" s="308"/>
      <c r="Q532" s="307"/>
      <c r="R532" s="308"/>
      <c r="S532" s="308"/>
      <c r="T532" s="308"/>
      <c r="U532" s="308"/>
      <c r="V532" s="309"/>
    </row>
    <row r="533" spans="1:22">
      <c r="A533" s="304"/>
      <c r="B533" s="310"/>
      <c r="C533" s="311"/>
      <c r="D533" s="312"/>
      <c r="E533" s="312"/>
      <c r="F533" s="312"/>
      <c r="G533" s="312"/>
      <c r="H533" s="312"/>
      <c r="I533" s="312"/>
      <c r="J533" s="314"/>
      <c r="K533" s="314"/>
      <c r="L533" s="312"/>
      <c r="M533" s="312"/>
      <c r="N533" s="312"/>
      <c r="O533" s="314"/>
      <c r="P533" s="314"/>
      <c r="Q533" s="312"/>
      <c r="R533" s="314"/>
      <c r="S533" s="314"/>
      <c r="T533" s="314"/>
      <c r="U533" s="314"/>
      <c r="V533" s="309"/>
    </row>
    <row r="534" spans="1:22">
      <c r="A534" s="304"/>
      <c r="B534" s="50"/>
      <c r="C534" s="301"/>
      <c r="D534" s="302"/>
      <c r="E534" s="302"/>
      <c r="F534" s="302"/>
      <c r="G534" s="302"/>
      <c r="H534" s="302"/>
      <c r="I534" s="302"/>
      <c r="J534" s="303"/>
      <c r="K534" s="303"/>
      <c r="L534" s="302"/>
      <c r="M534" s="302"/>
      <c r="N534" s="302"/>
      <c r="O534" s="303"/>
      <c r="P534" s="303"/>
      <c r="Q534" s="302"/>
      <c r="R534" s="303"/>
      <c r="S534" s="303"/>
      <c r="T534" s="303"/>
      <c r="U534" s="303"/>
      <c r="V534" s="309"/>
    </row>
    <row r="535" spans="1:22">
      <c r="A535" s="304"/>
      <c r="B535" s="305"/>
      <c r="C535" s="306"/>
      <c r="D535" s="307"/>
      <c r="E535" s="307"/>
      <c r="F535" s="307"/>
      <c r="G535" s="307"/>
      <c r="H535" s="307"/>
      <c r="I535" s="307"/>
      <c r="J535" s="308"/>
      <c r="K535" s="308"/>
      <c r="L535" s="307"/>
      <c r="M535" s="307"/>
      <c r="N535" s="307"/>
      <c r="O535" s="308"/>
      <c r="P535" s="308"/>
      <c r="Q535" s="307"/>
      <c r="R535" s="308"/>
      <c r="S535" s="308"/>
      <c r="T535" s="308"/>
      <c r="U535" s="308"/>
      <c r="V535" s="309"/>
    </row>
    <row r="536" spans="1:22">
      <c r="A536" s="304"/>
      <c r="B536" s="310"/>
      <c r="C536" s="311"/>
      <c r="D536" s="312"/>
      <c r="E536" s="312"/>
      <c r="F536" s="312"/>
      <c r="G536" s="312"/>
      <c r="H536" s="312"/>
      <c r="I536" s="312"/>
      <c r="J536" s="314"/>
      <c r="K536" s="314"/>
      <c r="L536" s="312"/>
      <c r="M536" s="312"/>
      <c r="N536" s="312"/>
      <c r="O536" s="314"/>
      <c r="P536" s="314"/>
      <c r="Q536" s="312"/>
      <c r="R536" s="314"/>
      <c r="S536" s="314"/>
      <c r="T536" s="314"/>
      <c r="U536" s="314"/>
      <c r="V536" s="309"/>
    </row>
    <row r="537" spans="1:22">
      <c r="A537" s="304"/>
      <c r="B537" s="50"/>
      <c r="C537" s="301"/>
      <c r="D537" s="302"/>
      <c r="E537" s="302"/>
      <c r="F537" s="302"/>
      <c r="G537" s="302"/>
      <c r="H537" s="302"/>
      <c r="I537" s="302"/>
      <c r="J537" s="303"/>
      <c r="K537" s="303"/>
      <c r="L537" s="302"/>
      <c r="M537" s="302"/>
      <c r="N537" s="302"/>
      <c r="O537" s="303"/>
      <c r="P537" s="303"/>
      <c r="Q537" s="302"/>
      <c r="R537" s="303"/>
      <c r="S537" s="303"/>
      <c r="T537" s="303"/>
      <c r="U537" s="303"/>
      <c r="V537" s="309"/>
    </row>
    <row r="538" spans="1:22">
      <c r="A538" s="304"/>
      <c r="B538" s="305"/>
      <c r="C538" s="306"/>
      <c r="D538" s="307"/>
      <c r="E538" s="307"/>
      <c r="F538" s="307"/>
      <c r="G538" s="307"/>
      <c r="H538" s="307"/>
      <c r="I538" s="307"/>
      <c r="J538" s="308"/>
      <c r="K538" s="308"/>
      <c r="L538" s="307"/>
      <c r="M538" s="307"/>
      <c r="N538" s="307"/>
      <c r="O538" s="308"/>
      <c r="P538" s="308"/>
      <c r="Q538" s="307"/>
      <c r="R538" s="308"/>
      <c r="S538" s="308"/>
      <c r="T538" s="308"/>
      <c r="U538" s="308"/>
      <c r="V538" s="309"/>
    </row>
    <row r="539" spans="1:22">
      <c r="A539" s="304"/>
      <c r="B539" s="310"/>
      <c r="C539" s="311"/>
      <c r="D539" s="312"/>
      <c r="E539" s="312"/>
      <c r="F539" s="312"/>
      <c r="G539" s="312"/>
      <c r="H539" s="312"/>
      <c r="I539" s="312"/>
      <c r="J539" s="314"/>
      <c r="K539" s="314"/>
      <c r="L539" s="312"/>
      <c r="M539" s="312"/>
      <c r="N539" s="312"/>
      <c r="O539" s="314"/>
      <c r="P539" s="314"/>
      <c r="Q539" s="312"/>
      <c r="R539" s="314"/>
      <c r="S539" s="314"/>
      <c r="T539" s="314"/>
      <c r="U539" s="314"/>
      <c r="V539" s="309"/>
    </row>
    <row r="540" spans="1:22">
      <c r="A540" s="304"/>
      <c r="B540" s="50"/>
      <c r="C540" s="301"/>
      <c r="D540" s="302"/>
      <c r="E540" s="302"/>
      <c r="F540" s="302"/>
      <c r="G540" s="302"/>
      <c r="H540" s="302"/>
      <c r="I540" s="302"/>
      <c r="J540" s="303"/>
      <c r="K540" s="303"/>
      <c r="L540" s="302"/>
      <c r="M540" s="302"/>
      <c r="N540" s="302"/>
      <c r="O540" s="303"/>
      <c r="P540" s="303"/>
      <c r="Q540" s="302"/>
      <c r="R540" s="303"/>
      <c r="S540" s="303"/>
      <c r="T540" s="303"/>
      <c r="U540" s="303"/>
      <c r="V540" s="309"/>
    </row>
    <row r="541" spans="1:22">
      <c r="A541" s="304"/>
      <c r="B541" s="305"/>
      <c r="C541" s="306"/>
      <c r="D541" s="307"/>
      <c r="E541" s="307"/>
      <c r="F541" s="307"/>
      <c r="G541" s="307"/>
      <c r="H541" s="307"/>
      <c r="I541" s="307"/>
      <c r="J541" s="308"/>
      <c r="K541" s="308"/>
      <c r="L541" s="307"/>
      <c r="M541" s="307"/>
      <c r="N541" s="307"/>
      <c r="O541" s="308"/>
      <c r="P541" s="308"/>
      <c r="Q541" s="307"/>
      <c r="R541" s="308"/>
      <c r="S541" s="308"/>
      <c r="T541" s="308"/>
      <c r="U541" s="308"/>
      <c r="V541" s="309"/>
    </row>
    <row r="542" spans="1:22">
      <c r="A542" s="304"/>
      <c r="B542" s="310"/>
      <c r="C542" s="311"/>
      <c r="D542" s="312"/>
      <c r="E542" s="312"/>
      <c r="F542" s="312"/>
      <c r="G542" s="312"/>
      <c r="H542" s="312"/>
      <c r="I542" s="312"/>
      <c r="J542" s="314"/>
      <c r="K542" s="314"/>
      <c r="L542" s="312"/>
      <c r="M542" s="312"/>
      <c r="N542" s="312"/>
      <c r="O542" s="314"/>
      <c r="P542" s="314"/>
      <c r="Q542" s="312"/>
      <c r="R542" s="314"/>
      <c r="S542" s="314"/>
      <c r="T542" s="314"/>
      <c r="U542" s="314"/>
      <c r="V542" s="309"/>
    </row>
    <row r="543" spans="1:22">
      <c r="A543" s="304"/>
      <c r="B543" s="50"/>
      <c r="C543" s="301"/>
      <c r="D543" s="302"/>
      <c r="E543" s="302"/>
      <c r="F543" s="302"/>
      <c r="G543" s="302"/>
      <c r="H543" s="302"/>
      <c r="I543" s="302"/>
      <c r="J543" s="303"/>
      <c r="K543" s="303"/>
      <c r="L543" s="302"/>
      <c r="M543" s="302"/>
      <c r="N543" s="302"/>
      <c r="O543" s="303"/>
      <c r="P543" s="303"/>
      <c r="Q543" s="302"/>
      <c r="R543" s="303"/>
      <c r="S543" s="303"/>
      <c r="T543" s="303"/>
      <c r="U543" s="303"/>
      <c r="V543" s="309"/>
    </row>
    <row r="544" spans="1:22">
      <c r="A544" s="304"/>
      <c r="B544" s="305"/>
      <c r="C544" s="306"/>
      <c r="D544" s="307"/>
      <c r="E544" s="307"/>
      <c r="F544" s="307"/>
      <c r="G544" s="307"/>
      <c r="H544" s="307"/>
      <c r="I544" s="307"/>
      <c r="J544" s="308"/>
      <c r="K544" s="308"/>
      <c r="L544" s="307"/>
      <c r="M544" s="307"/>
      <c r="N544" s="307"/>
      <c r="O544" s="308"/>
      <c r="P544" s="308"/>
      <c r="Q544" s="307"/>
      <c r="R544" s="308"/>
      <c r="S544" s="308"/>
      <c r="T544" s="308"/>
      <c r="U544" s="308"/>
      <c r="V544" s="309"/>
    </row>
    <row r="545" spans="1:22" ht="15.75" thickBot="1">
      <c r="A545" s="320"/>
      <c r="B545" s="321"/>
      <c r="C545" s="322"/>
      <c r="D545" s="323"/>
      <c r="E545" s="323"/>
      <c r="F545" s="323"/>
      <c r="G545" s="323"/>
      <c r="H545" s="323"/>
      <c r="I545" s="323"/>
      <c r="J545" s="324"/>
      <c r="K545" s="324"/>
      <c r="L545" s="323"/>
      <c r="M545" s="323"/>
      <c r="N545" s="323"/>
      <c r="O545" s="324"/>
      <c r="P545" s="324"/>
      <c r="Q545" s="323"/>
      <c r="R545" s="324"/>
      <c r="S545" s="324"/>
      <c r="T545" s="324"/>
      <c r="U545" s="324"/>
      <c r="V545" s="309"/>
    </row>
    <row r="546" spans="1:22">
      <c r="A546" s="300"/>
      <c r="B546" s="50"/>
      <c r="C546" s="301"/>
      <c r="D546" s="302"/>
      <c r="E546" s="302"/>
      <c r="F546" s="302"/>
      <c r="G546" s="302"/>
      <c r="H546" s="302"/>
      <c r="I546" s="302"/>
      <c r="J546" s="303"/>
      <c r="K546" s="303"/>
      <c r="L546" s="302"/>
      <c r="M546" s="302"/>
      <c r="N546" s="302"/>
      <c r="O546" s="303"/>
      <c r="P546" s="303"/>
      <c r="Q546" s="302"/>
      <c r="R546" s="303"/>
      <c r="S546" s="303"/>
      <c r="T546" s="303"/>
      <c r="U546" s="303"/>
      <c r="V546" s="309"/>
    </row>
    <row r="547" spans="1:22">
      <c r="A547" s="304"/>
      <c r="B547" s="305"/>
      <c r="C547" s="306"/>
      <c r="D547" s="307"/>
      <c r="E547" s="307"/>
      <c r="F547" s="307"/>
      <c r="G547" s="307"/>
      <c r="H547" s="307"/>
      <c r="I547" s="307"/>
      <c r="J547" s="308"/>
      <c r="K547" s="308"/>
      <c r="L547" s="307"/>
      <c r="M547" s="307"/>
      <c r="N547" s="307"/>
      <c r="O547" s="308"/>
      <c r="P547" s="308"/>
      <c r="Q547" s="307"/>
      <c r="R547" s="308"/>
      <c r="S547" s="308"/>
      <c r="T547" s="308"/>
      <c r="U547" s="308"/>
      <c r="V547" s="309"/>
    </row>
    <row r="548" spans="1:22">
      <c r="A548" s="304"/>
      <c r="B548" s="310"/>
      <c r="C548" s="311"/>
      <c r="D548" s="312"/>
      <c r="E548" s="312"/>
      <c r="F548" s="312"/>
      <c r="G548" s="312"/>
      <c r="H548" s="312"/>
      <c r="I548" s="312"/>
      <c r="J548" s="314"/>
      <c r="K548" s="314"/>
      <c r="L548" s="312"/>
      <c r="M548" s="312"/>
      <c r="N548" s="312"/>
      <c r="O548" s="314"/>
      <c r="P548" s="314"/>
      <c r="Q548" s="312"/>
      <c r="R548" s="314"/>
      <c r="S548" s="314"/>
      <c r="T548" s="314"/>
      <c r="U548" s="314"/>
      <c r="V548" s="309"/>
    </row>
    <row r="549" spans="1:22">
      <c r="A549" s="304"/>
      <c r="B549" s="50"/>
      <c r="C549" s="301"/>
      <c r="D549" s="302"/>
      <c r="E549" s="302"/>
      <c r="F549" s="302"/>
      <c r="G549" s="302"/>
      <c r="H549" s="302"/>
      <c r="I549" s="302"/>
      <c r="J549" s="303"/>
      <c r="K549" s="303"/>
      <c r="L549" s="302"/>
      <c r="M549" s="302"/>
      <c r="N549" s="302"/>
      <c r="O549" s="303"/>
      <c r="P549" s="303"/>
      <c r="Q549" s="302"/>
      <c r="R549" s="303"/>
      <c r="S549" s="303"/>
      <c r="T549" s="303"/>
      <c r="U549" s="303"/>
      <c r="V549" s="309"/>
    </row>
    <row r="550" spans="1:22">
      <c r="A550" s="304"/>
      <c r="B550" s="305"/>
      <c r="C550" s="306"/>
      <c r="D550" s="307"/>
      <c r="E550" s="307"/>
      <c r="F550" s="307"/>
      <c r="G550" s="307"/>
      <c r="H550" s="307"/>
      <c r="I550" s="307"/>
      <c r="J550" s="308"/>
      <c r="K550" s="308"/>
      <c r="L550" s="307"/>
      <c r="M550" s="307"/>
      <c r="N550" s="307"/>
      <c r="O550" s="308"/>
      <c r="P550" s="308"/>
      <c r="Q550" s="307"/>
      <c r="R550" s="308"/>
      <c r="S550" s="308"/>
      <c r="T550" s="308"/>
      <c r="U550" s="308"/>
      <c r="V550" s="309"/>
    </row>
    <row r="551" spans="1:22">
      <c r="A551" s="304"/>
      <c r="B551" s="310"/>
      <c r="C551" s="311"/>
      <c r="D551" s="312"/>
      <c r="E551" s="312"/>
      <c r="F551" s="312"/>
      <c r="G551" s="312"/>
      <c r="H551" s="312"/>
      <c r="I551" s="312"/>
      <c r="J551" s="314"/>
      <c r="K551" s="314"/>
      <c r="L551" s="312"/>
      <c r="M551" s="312"/>
      <c r="N551" s="312"/>
      <c r="O551" s="314"/>
      <c r="P551" s="314"/>
      <c r="Q551" s="312"/>
      <c r="R551" s="314"/>
      <c r="S551" s="314"/>
      <c r="T551" s="314"/>
      <c r="U551" s="314"/>
      <c r="V551" s="309"/>
    </row>
    <row r="552" spans="1:22">
      <c r="A552" s="304"/>
      <c r="B552" s="50"/>
      <c r="C552" s="301"/>
      <c r="D552" s="302"/>
      <c r="E552" s="302"/>
      <c r="F552" s="302"/>
      <c r="G552" s="302"/>
      <c r="H552" s="302"/>
      <c r="I552" s="302"/>
      <c r="J552" s="303"/>
      <c r="K552" s="303"/>
      <c r="L552" s="302"/>
      <c r="M552" s="302"/>
      <c r="N552" s="302"/>
      <c r="O552" s="303"/>
      <c r="P552" s="303"/>
      <c r="Q552" s="302"/>
      <c r="R552" s="303"/>
      <c r="S552" s="303"/>
      <c r="T552" s="303"/>
      <c r="U552" s="303"/>
      <c r="V552" s="309"/>
    </row>
    <row r="553" spans="1:22">
      <c r="A553" s="304"/>
      <c r="B553" s="305"/>
      <c r="C553" s="306"/>
      <c r="D553" s="307"/>
      <c r="E553" s="307"/>
      <c r="F553" s="307"/>
      <c r="G553" s="307"/>
      <c r="H553" s="307"/>
      <c r="I553" s="307"/>
      <c r="J553" s="308"/>
      <c r="K553" s="308"/>
      <c r="L553" s="307"/>
      <c r="M553" s="307"/>
      <c r="N553" s="307"/>
      <c r="O553" s="308"/>
      <c r="P553" s="308"/>
      <c r="Q553" s="307"/>
      <c r="R553" s="308"/>
      <c r="S553" s="308"/>
      <c r="T553" s="308"/>
      <c r="U553" s="308"/>
      <c r="V553" s="309"/>
    </row>
    <row r="554" spans="1:22">
      <c r="A554" s="304"/>
      <c r="B554" s="310"/>
      <c r="C554" s="311"/>
      <c r="D554" s="312"/>
      <c r="E554" s="312"/>
      <c r="F554" s="312"/>
      <c r="G554" s="312"/>
      <c r="H554" s="312"/>
      <c r="I554" s="312"/>
      <c r="J554" s="314"/>
      <c r="K554" s="314"/>
      <c r="L554" s="312"/>
      <c r="M554" s="312"/>
      <c r="N554" s="312"/>
      <c r="O554" s="314"/>
      <c r="P554" s="314"/>
      <c r="Q554" s="312"/>
      <c r="R554" s="314"/>
      <c r="S554" s="314"/>
      <c r="T554" s="314"/>
      <c r="U554" s="314"/>
      <c r="V554" s="309"/>
    </row>
    <row r="555" spans="1:22">
      <c r="A555" s="304"/>
      <c r="B555" s="50"/>
      <c r="C555" s="301"/>
      <c r="D555" s="302"/>
      <c r="E555" s="302"/>
      <c r="F555" s="302"/>
      <c r="G555" s="302"/>
      <c r="H555" s="302"/>
      <c r="I555" s="302"/>
      <c r="J555" s="303"/>
      <c r="K555" s="303"/>
      <c r="L555" s="302"/>
      <c r="M555" s="302"/>
      <c r="N555" s="302"/>
      <c r="O555" s="303"/>
      <c r="P555" s="303"/>
      <c r="Q555" s="302"/>
      <c r="R555" s="303"/>
      <c r="S555" s="303"/>
      <c r="T555" s="303"/>
      <c r="U555" s="303"/>
      <c r="V555" s="309"/>
    </row>
    <row r="556" spans="1:22">
      <c r="A556" s="304"/>
      <c r="B556" s="305"/>
      <c r="C556" s="306"/>
      <c r="D556" s="307"/>
      <c r="E556" s="307"/>
      <c r="F556" s="307"/>
      <c r="G556" s="307"/>
      <c r="H556" s="307"/>
      <c r="I556" s="307"/>
      <c r="J556" s="308"/>
      <c r="K556" s="308"/>
      <c r="L556" s="307"/>
      <c r="M556" s="307"/>
      <c r="N556" s="307"/>
      <c r="O556" s="308"/>
      <c r="P556" s="308"/>
      <c r="Q556" s="307"/>
      <c r="R556" s="308"/>
      <c r="S556" s="308"/>
      <c r="T556" s="308"/>
      <c r="U556" s="308"/>
      <c r="V556" s="309"/>
    </row>
    <row r="557" spans="1:22">
      <c r="A557" s="304"/>
      <c r="B557" s="310"/>
      <c r="C557" s="311"/>
      <c r="D557" s="312"/>
      <c r="E557" s="312"/>
      <c r="F557" s="312"/>
      <c r="G557" s="312"/>
      <c r="H557" s="312"/>
      <c r="I557" s="312"/>
      <c r="J557" s="314"/>
      <c r="K557" s="314"/>
      <c r="L557" s="312"/>
      <c r="M557" s="312"/>
      <c r="N557" s="312"/>
      <c r="O557" s="314"/>
      <c r="P557" s="314"/>
      <c r="Q557" s="312"/>
      <c r="R557" s="314"/>
      <c r="S557" s="314"/>
      <c r="T557" s="314"/>
      <c r="U557" s="314"/>
      <c r="V557" s="309"/>
    </row>
    <row r="558" spans="1:22">
      <c r="A558" s="304"/>
      <c r="B558" s="50"/>
      <c r="C558" s="301"/>
      <c r="D558" s="302"/>
      <c r="E558" s="302"/>
      <c r="F558" s="302"/>
      <c r="G558" s="302"/>
      <c r="H558" s="302"/>
      <c r="I558" s="302"/>
      <c r="J558" s="303"/>
      <c r="K558" s="303"/>
      <c r="L558" s="302"/>
      <c r="M558" s="302"/>
      <c r="N558" s="302"/>
      <c r="O558" s="303"/>
      <c r="P558" s="303"/>
      <c r="Q558" s="302"/>
      <c r="R558" s="303"/>
      <c r="S558" s="303"/>
      <c r="T558" s="303"/>
      <c r="U558" s="303"/>
      <c r="V558" s="309"/>
    </row>
    <row r="559" spans="1:22">
      <c r="A559" s="304"/>
      <c r="B559" s="305"/>
      <c r="C559" s="306"/>
      <c r="D559" s="307"/>
      <c r="E559" s="307"/>
      <c r="F559" s="307"/>
      <c r="G559" s="307"/>
      <c r="H559" s="307"/>
      <c r="I559" s="307"/>
      <c r="J559" s="308"/>
      <c r="K559" s="308"/>
      <c r="L559" s="307"/>
      <c r="M559" s="307"/>
      <c r="N559" s="307"/>
      <c r="O559" s="308"/>
      <c r="P559" s="308"/>
      <c r="Q559" s="307"/>
      <c r="R559" s="308"/>
      <c r="S559" s="308"/>
      <c r="T559" s="308"/>
      <c r="U559" s="308"/>
      <c r="V559" s="309"/>
    </row>
    <row r="560" spans="1:22">
      <c r="A560" s="304"/>
      <c r="B560" s="310"/>
      <c r="C560" s="311"/>
      <c r="D560" s="312"/>
      <c r="E560" s="312"/>
      <c r="F560" s="312"/>
      <c r="G560" s="312"/>
      <c r="H560" s="312"/>
      <c r="I560" s="312"/>
      <c r="J560" s="314"/>
      <c r="K560" s="314"/>
      <c r="L560" s="312"/>
      <c r="M560" s="312"/>
      <c r="N560" s="312"/>
      <c r="O560" s="314"/>
      <c r="P560" s="314"/>
      <c r="Q560" s="312"/>
      <c r="R560" s="314"/>
      <c r="S560" s="314"/>
      <c r="T560" s="314"/>
      <c r="U560" s="314"/>
      <c r="V560" s="309"/>
    </row>
    <row r="561" spans="1:22">
      <c r="A561" s="304"/>
      <c r="B561" s="50"/>
      <c r="C561" s="301"/>
      <c r="D561" s="302"/>
      <c r="E561" s="302"/>
      <c r="F561" s="302"/>
      <c r="G561" s="302"/>
      <c r="H561" s="302"/>
      <c r="I561" s="302"/>
      <c r="J561" s="303"/>
      <c r="K561" s="303"/>
      <c r="L561" s="302"/>
      <c r="M561" s="302"/>
      <c r="N561" s="302"/>
      <c r="O561" s="303"/>
      <c r="P561" s="303"/>
      <c r="Q561" s="302"/>
      <c r="R561" s="303"/>
      <c r="S561" s="303"/>
      <c r="T561" s="303"/>
      <c r="U561" s="303"/>
      <c r="V561" s="309"/>
    </row>
    <row r="562" spans="1:22">
      <c r="A562" s="304"/>
      <c r="B562" s="305"/>
      <c r="C562" s="306"/>
      <c r="D562" s="307"/>
      <c r="E562" s="307"/>
      <c r="F562" s="307"/>
      <c r="G562" s="307"/>
      <c r="H562" s="307"/>
      <c r="I562" s="307"/>
      <c r="J562" s="308"/>
      <c r="K562" s="308"/>
      <c r="L562" s="307"/>
      <c r="M562" s="307"/>
      <c r="N562" s="307"/>
      <c r="O562" s="308"/>
      <c r="P562" s="308"/>
      <c r="Q562" s="307"/>
      <c r="R562" s="308"/>
      <c r="S562" s="308"/>
      <c r="T562" s="308"/>
      <c r="U562" s="308"/>
      <c r="V562" s="309"/>
    </row>
    <row r="563" spans="1:22" ht="15.75" thickBot="1">
      <c r="A563" s="304"/>
      <c r="B563" s="316"/>
      <c r="C563" s="317"/>
      <c r="D563" s="318"/>
      <c r="E563" s="318"/>
      <c r="F563" s="318"/>
      <c r="G563" s="318"/>
      <c r="H563" s="318"/>
      <c r="I563" s="318"/>
      <c r="J563" s="319"/>
      <c r="K563" s="319"/>
      <c r="L563" s="318"/>
      <c r="M563" s="318"/>
      <c r="N563" s="318"/>
      <c r="O563" s="319"/>
      <c r="P563" s="319"/>
      <c r="Q563" s="318"/>
      <c r="R563" s="319"/>
      <c r="S563" s="319"/>
      <c r="T563" s="319"/>
      <c r="U563" s="319"/>
      <c r="V563" s="309"/>
    </row>
    <row r="564" spans="1:22" ht="15.75" thickTop="1">
      <c r="A564" s="304"/>
      <c r="B564" s="305"/>
      <c r="C564" s="306"/>
      <c r="D564" s="307"/>
      <c r="E564" s="307"/>
      <c r="F564" s="307"/>
      <c r="G564" s="307"/>
      <c r="H564" s="307"/>
      <c r="I564" s="307"/>
      <c r="J564" s="308"/>
      <c r="K564" s="308"/>
      <c r="L564" s="307"/>
      <c r="M564" s="307"/>
      <c r="N564" s="307"/>
      <c r="O564" s="308"/>
      <c r="P564" s="308"/>
      <c r="Q564" s="307"/>
      <c r="R564" s="308"/>
      <c r="S564" s="308"/>
      <c r="T564" s="308"/>
      <c r="U564" s="308"/>
      <c r="V564" s="309"/>
    </row>
    <row r="565" spans="1:22">
      <c r="A565" s="304"/>
      <c r="B565" s="305"/>
      <c r="C565" s="306"/>
      <c r="D565" s="307"/>
      <c r="E565" s="307"/>
      <c r="F565" s="307"/>
      <c r="G565" s="307"/>
      <c r="H565" s="307"/>
      <c r="I565" s="307"/>
      <c r="J565" s="308"/>
      <c r="K565" s="308"/>
      <c r="L565" s="307"/>
      <c r="M565" s="307"/>
      <c r="N565" s="307"/>
      <c r="O565" s="308"/>
      <c r="P565" s="308"/>
      <c r="Q565" s="307"/>
      <c r="R565" s="308"/>
      <c r="S565" s="308"/>
      <c r="T565" s="308"/>
      <c r="U565" s="308"/>
      <c r="V565" s="309"/>
    </row>
    <row r="566" spans="1:22">
      <c r="A566" s="304"/>
      <c r="B566" s="310"/>
      <c r="C566" s="311"/>
      <c r="D566" s="312"/>
      <c r="E566" s="312"/>
      <c r="F566" s="312"/>
      <c r="G566" s="312"/>
      <c r="H566" s="312"/>
      <c r="I566" s="312"/>
      <c r="J566" s="314"/>
      <c r="K566" s="314"/>
      <c r="L566" s="312"/>
      <c r="M566" s="312"/>
      <c r="N566" s="312"/>
      <c r="O566" s="314"/>
      <c r="P566" s="314"/>
      <c r="Q566" s="312"/>
      <c r="R566" s="314"/>
      <c r="S566" s="314"/>
      <c r="T566" s="314"/>
      <c r="U566" s="314"/>
      <c r="V566" s="309"/>
    </row>
    <row r="567" spans="1:22">
      <c r="A567" s="304"/>
      <c r="B567" s="50"/>
      <c r="C567" s="301"/>
      <c r="D567" s="302"/>
      <c r="E567" s="302"/>
      <c r="F567" s="302"/>
      <c r="G567" s="302"/>
      <c r="H567" s="302"/>
      <c r="I567" s="302"/>
      <c r="J567" s="303"/>
      <c r="K567" s="303"/>
      <c r="L567" s="302"/>
      <c r="M567" s="302"/>
      <c r="N567" s="302"/>
      <c r="O567" s="303"/>
      <c r="P567" s="303"/>
      <c r="Q567" s="302"/>
      <c r="R567" s="303"/>
      <c r="S567" s="303"/>
      <c r="T567" s="303"/>
      <c r="U567" s="303"/>
      <c r="V567" s="309"/>
    </row>
    <row r="568" spans="1:22">
      <c r="A568" s="304"/>
      <c r="B568" s="305"/>
      <c r="C568" s="306"/>
      <c r="D568" s="307"/>
      <c r="E568" s="307"/>
      <c r="F568" s="307"/>
      <c r="G568" s="307"/>
      <c r="H568" s="307"/>
      <c r="I568" s="307"/>
      <c r="J568" s="308"/>
      <c r="K568" s="308"/>
      <c r="L568" s="307"/>
      <c r="M568" s="307"/>
      <c r="N568" s="307"/>
      <c r="O568" s="308"/>
      <c r="P568" s="308"/>
      <c r="Q568" s="307"/>
      <c r="R568" s="308"/>
      <c r="S568" s="308"/>
      <c r="T568" s="308"/>
      <c r="U568" s="308"/>
      <c r="V568" s="309"/>
    </row>
    <row r="569" spans="1:22">
      <c r="A569" s="304"/>
      <c r="B569" s="310"/>
      <c r="C569" s="311"/>
      <c r="D569" s="312"/>
      <c r="E569" s="312"/>
      <c r="F569" s="312"/>
      <c r="G569" s="312"/>
      <c r="H569" s="312"/>
      <c r="I569" s="312"/>
      <c r="J569" s="314"/>
      <c r="K569" s="314"/>
      <c r="L569" s="312"/>
      <c r="M569" s="312"/>
      <c r="N569" s="312"/>
      <c r="O569" s="314"/>
      <c r="P569" s="314"/>
      <c r="Q569" s="312"/>
      <c r="R569" s="314"/>
      <c r="S569" s="314"/>
      <c r="T569" s="314"/>
      <c r="U569" s="314"/>
      <c r="V569" s="309"/>
    </row>
    <row r="570" spans="1:22">
      <c r="A570" s="304"/>
      <c r="B570" s="50"/>
      <c r="C570" s="301"/>
      <c r="D570" s="302"/>
      <c r="E570" s="302"/>
      <c r="F570" s="302"/>
      <c r="G570" s="302"/>
      <c r="H570" s="302"/>
      <c r="I570" s="302"/>
      <c r="J570" s="303"/>
      <c r="K570" s="303"/>
      <c r="L570" s="302"/>
      <c r="M570" s="302"/>
      <c r="N570" s="302"/>
      <c r="O570" s="303"/>
      <c r="P570" s="303"/>
      <c r="Q570" s="302"/>
      <c r="R570" s="303"/>
      <c r="S570" s="303"/>
      <c r="T570" s="303"/>
      <c r="U570" s="303"/>
      <c r="V570" s="309"/>
    </row>
    <row r="571" spans="1:22">
      <c r="A571" s="304"/>
      <c r="B571" s="305"/>
      <c r="C571" s="306"/>
      <c r="D571" s="307"/>
      <c r="E571" s="307"/>
      <c r="F571" s="307"/>
      <c r="G571" s="307"/>
      <c r="H571" s="307"/>
      <c r="I571" s="307"/>
      <c r="J571" s="308"/>
      <c r="K571" s="308"/>
      <c r="L571" s="307"/>
      <c r="M571" s="307"/>
      <c r="N571" s="307"/>
      <c r="O571" s="308"/>
      <c r="P571" s="308"/>
      <c r="Q571" s="307"/>
      <c r="R571" s="308"/>
      <c r="S571" s="308"/>
      <c r="T571" s="308"/>
      <c r="U571" s="308"/>
      <c r="V571" s="309"/>
    </row>
    <row r="572" spans="1:22">
      <c r="A572" s="304"/>
      <c r="B572" s="310"/>
      <c r="C572" s="311"/>
      <c r="D572" s="312"/>
      <c r="E572" s="312"/>
      <c r="F572" s="312"/>
      <c r="G572" s="312"/>
      <c r="H572" s="312"/>
      <c r="I572" s="312"/>
      <c r="J572" s="314"/>
      <c r="K572" s="314"/>
      <c r="L572" s="312"/>
      <c r="M572" s="312"/>
      <c r="N572" s="312"/>
      <c r="O572" s="314"/>
      <c r="P572" s="314"/>
      <c r="Q572" s="312"/>
      <c r="R572" s="314"/>
      <c r="S572" s="314"/>
      <c r="T572" s="314"/>
      <c r="U572" s="314"/>
      <c r="V572" s="309"/>
    </row>
    <row r="573" spans="1:22">
      <c r="A573" s="304"/>
      <c r="B573" s="50"/>
      <c r="C573" s="301"/>
      <c r="D573" s="302"/>
      <c r="E573" s="302"/>
      <c r="F573" s="302"/>
      <c r="G573" s="302"/>
      <c r="H573" s="302"/>
      <c r="I573" s="302"/>
      <c r="J573" s="303"/>
      <c r="K573" s="303"/>
      <c r="L573" s="302"/>
      <c r="M573" s="302"/>
      <c r="N573" s="302"/>
      <c r="O573" s="303"/>
      <c r="P573" s="303"/>
      <c r="Q573" s="302"/>
      <c r="R573" s="303"/>
      <c r="S573" s="303"/>
      <c r="T573" s="303"/>
      <c r="U573" s="303"/>
      <c r="V573" s="309"/>
    </row>
    <row r="574" spans="1:22">
      <c r="A574" s="304"/>
      <c r="B574" s="305"/>
      <c r="C574" s="306"/>
      <c r="D574" s="307"/>
      <c r="E574" s="307"/>
      <c r="F574" s="307"/>
      <c r="G574" s="307"/>
      <c r="H574" s="307"/>
      <c r="I574" s="307"/>
      <c r="J574" s="308"/>
      <c r="K574" s="308"/>
      <c r="L574" s="307"/>
      <c r="M574" s="307"/>
      <c r="N574" s="307"/>
      <c r="O574" s="308"/>
      <c r="P574" s="308"/>
      <c r="Q574" s="307"/>
      <c r="R574" s="308"/>
      <c r="S574" s="308"/>
      <c r="T574" s="308"/>
      <c r="U574" s="308"/>
      <c r="V574" s="309"/>
    </row>
    <row r="575" spans="1:22">
      <c r="A575" s="304"/>
      <c r="B575" s="310"/>
      <c r="C575" s="311"/>
      <c r="D575" s="312"/>
      <c r="E575" s="312"/>
      <c r="F575" s="312"/>
      <c r="G575" s="312"/>
      <c r="H575" s="312"/>
      <c r="I575" s="312"/>
      <c r="J575" s="314"/>
      <c r="K575" s="314"/>
      <c r="L575" s="312"/>
      <c r="M575" s="312"/>
      <c r="N575" s="312"/>
      <c r="O575" s="314"/>
      <c r="P575" s="314"/>
      <c r="Q575" s="312"/>
      <c r="R575" s="314"/>
      <c r="S575" s="314"/>
      <c r="T575" s="314"/>
      <c r="U575" s="314"/>
      <c r="V575" s="309"/>
    </row>
    <row r="576" spans="1:22">
      <c r="A576" s="304"/>
      <c r="B576" s="50"/>
      <c r="C576" s="301"/>
      <c r="D576" s="302"/>
      <c r="E576" s="302"/>
      <c r="F576" s="302"/>
      <c r="G576" s="302"/>
      <c r="H576" s="302"/>
      <c r="I576" s="302"/>
      <c r="J576" s="303"/>
      <c r="K576" s="303"/>
      <c r="L576" s="302"/>
      <c r="M576" s="302"/>
      <c r="N576" s="302"/>
      <c r="O576" s="303"/>
      <c r="P576" s="303"/>
      <c r="Q576" s="302"/>
      <c r="R576" s="303"/>
      <c r="S576" s="303"/>
      <c r="T576" s="303"/>
      <c r="U576" s="303"/>
      <c r="V576" s="309"/>
    </row>
    <row r="577" spans="1:22">
      <c r="A577" s="304"/>
      <c r="B577" s="305"/>
      <c r="C577" s="306"/>
      <c r="D577" s="307"/>
      <c r="E577" s="307"/>
      <c r="F577" s="307"/>
      <c r="G577" s="307"/>
      <c r="H577" s="307"/>
      <c r="I577" s="307"/>
      <c r="J577" s="308"/>
      <c r="K577" s="308"/>
      <c r="L577" s="307"/>
      <c r="M577" s="307"/>
      <c r="N577" s="307"/>
      <c r="O577" s="308"/>
      <c r="P577" s="308"/>
      <c r="Q577" s="307"/>
      <c r="R577" s="308"/>
      <c r="S577" s="308"/>
      <c r="T577" s="308"/>
      <c r="U577" s="308"/>
      <c r="V577" s="309"/>
    </row>
    <row r="578" spans="1:22">
      <c r="A578" s="304"/>
      <c r="B578" s="310"/>
      <c r="C578" s="311"/>
      <c r="D578" s="312"/>
      <c r="E578" s="312"/>
      <c r="F578" s="312"/>
      <c r="G578" s="312"/>
      <c r="H578" s="312"/>
      <c r="I578" s="312"/>
      <c r="J578" s="314"/>
      <c r="K578" s="314"/>
      <c r="L578" s="312"/>
      <c r="M578" s="312"/>
      <c r="N578" s="312"/>
      <c r="O578" s="314"/>
      <c r="P578" s="314"/>
      <c r="Q578" s="312"/>
      <c r="R578" s="314"/>
      <c r="S578" s="314"/>
      <c r="T578" s="314"/>
      <c r="U578" s="314"/>
      <c r="V578" s="309"/>
    </row>
    <row r="579" spans="1:22">
      <c r="A579" s="304"/>
      <c r="B579" s="50"/>
      <c r="C579" s="301"/>
      <c r="D579" s="302"/>
      <c r="E579" s="302"/>
      <c r="F579" s="302"/>
      <c r="G579" s="302"/>
      <c r="H579" s="302"/>
      <c r="I579" s="302"/>
      <c r="J579" s="303"/>
      <c r="K579" s="303"/>
      <c r="L579" s="302"/>
      <c r="M579" s="302"/>
      <c r="N579" s="302"/>
      <c r="O579" s="303"/>
      <c r="P579" s="303"/>
      <c r="Q579" s="302"/>
      <c r="R579" s="303"/>
      <c r="S579" s="303"/>
      <c r="T579" s="303"/>
      <c r="U579" s="303"/>
      <c r="V579" s="309"/>
    </row>
    <row r="580" spans="1:22">
      <c r="A580" s="304"/>
      <c r="B580" s="305"/>
      <c r="C580" s="306"/>
      <c r="D580" s="307"/>
      <c r="E580" s="307"/>
      <c r="F580" s="307"/>
      <c r="G580" s="307"/>
      <c r="H580" s="307"/>
      <c r="I580" s="307"/>
      <c r="J580" s="308"/>
      <c r="K580" s="308"/>
      <c r="L580" s="307"/>
      <c r="M580" s="307"/>
      <c r="N580" s="307"/>
      <c r="O580" s="308"/>
      <c r="P580" s="308"/>
      <c r="Q580" s="307"/>
      <c r="R580" s="308"/>
      <c r="S580" s="308"/>
      <c r="T580" s="308"/>
      <c r="U580" s="308"/>
      <c r="V580" s="309"/>
    </row>
    <row r="581" spans="1:22" ht="15.75" thickBot="1">
      <c r="A581" s="320"/>
      <c r="B581" s="321"/>
      <c r="C581" s="322"/>
      <c r="D581" s="323"/>
      <c r="E581" s="323"/>
      <c r="F581" s="323"/>
      <c r="G581" s="323"/>
      <c r="H581" s="323"/>
      <c r="I581" s="323"/>
      <c r="J581" s="324"/>
      <c r="K581" s="324"/>
      <c r="L581" s="323"/>
      <c r="M581" s="323"/>
      <c r="N581" s="323"/>
      <c r="O581" s="324"/>
      <c r="P581" s="324"/>
      <c r="Q581" s="323"/>
      <c r="R581" s="324"/>
      <c r="S581" s="324"/>
      <c r="T581" s="324"/>
      <c r="U581" s="324"/>
      <c r="V581" s="309"/>
    </row>
    <row r="582" spans="1:22">
      <c r="A582" s="300"/>
      <c r="B582" s="50"/>
      <c r="C582" s="301"/>
      <c r="D582" s="302"/>
      <c r="E582" s="302"/>
      <c r="F582" s="302"/>
      <c r="G582" s="302"/>
      <c r="H582" s="302"/>
      <c r="I582" s="302"/>
      <c r="J582" s="303"/>
      <c r="K582" s="303"/>
      <c r="L582" s="302"/>
      <c r="M582" s="302"/>
      <c r="N582" s="302"/>
      <c r="O582" s="303"/>
      <c r="P582" s="303"/>
      <c r="Q582" s="302"/>
      <c r="R582" s="303"/>
      <c r="S582" s="303"/>
      <c r="T582" s="303"/>
      <c r="U582" s="303"/>
      <c r="V582" s="309"/>
    </row>
    <row r="583" spans="1:22">
      <c r="A583" s="304"/>
      <c r="B583" s="305"/>
      <c r="C583" s="306"/>
      <c r="D583" s="307"/>
      <c r="E583" s="307"/>
      <c r="F583" s="307"/>
      <c r="G583" s="307"/>
      <c r="H583" s="307"/>
      <c r="I583" s="307"/>
      <c r="J583" s="308"/>
      <c r="K583" s="308"/>
      <c r="L583" s="307"/>
      <c r="M583" s="307"/>
      <c r="N583" s="307"/>
      <c r="O583" s="308"/>
      <c r="P583" s="308"/>
      <c r="Q583" s="307"/>
      <c r="R583" s="308"/>
      <c r="S583" s="308"/>
      <c r="T583" s="308"/>
      <c r="U583" s="308"/>
      <c r="V583" s="309"/>
    </row>
    <row r="584" spans="1:22">
      <c r="A584" s="304"/>
      <c r="B584" s="310"/>
      <c r="C584" s="311"/>
      <c r="D584" s="312"/>
      <c r="E584" s="312"/>
      <c r="F584" s="312"/>
      <c r="G584" s="312"/>
      <c r="H584" s="312"/>
      <c r="I584" s="312"/>
      <c r="J584" s="314"/>
      <c r="K584" s="314"/>
      <c r="L584" s="312"/>
      <c r="M584" s="312"/>
      <c r="N584" s="312"/>
      <c r="O584" s="314"/>
      <c r="P584" s="314"/>
      <c r="Q584" s="312"/>
      <c r="R584" s="314"/>
      <c r="S584" s="314"/>
      <c r="T584" s="314"/>
      <c r="U584" s="314"/>
      <c r="V584" s="309"/>
    </row>
    <row r="585" spans="1:22">
      <c r="A585" s="304"/>
      <c r="B585" s="50"/>
      <c r="C585" s="301"/>
      <c r="D585" s="302"/>
      <c r="E585" s="302"/>
      <c r="F585" s="302"/>
      <c r="G585" s="302"/>
      <c r="H585" s="302"/>
      <c r="I585" s="302"/>
      <c r="J585" s="303"/>
      <c r="K585" s="303"/>
      <c r="L585" s="302"/>
      <c r="M585" s="302"/>
      <c r="N585" s="302"/>
      <c r="O585" s="303"/>
      <c r="P585" s="303"/>
      <c r="Q585" s="302"/>
      <c r="R585" s="303"/>
      <c r="S585" s="303"/>
      <c r="T585" s="303"/>
      <c r="U585" s="303"/>
      <c r="V585" s="309"/>
    </row>
    <row r="586" spans="1:22">
      <c r="A586" s="304"/>
      <c r="B586" s="305"/>
      <c r="C586" s="306"/>
      <c r="D586" s="307"/>
      <c r="E586" s="307"/>
      <c r="F586" s="307"/>
      <c r="G586" s="307"/>
      <c r="H586" s="307"/>
      <c r="I586" s="307"/>
      <c r="J586" s="308"/>
      <c r="K586" s="308"/>
      <c r="L586" s="307"/>
      <c r="M586" s="307"/>
      <c r="N586" s="307"/>
      <c r="O586" s="308"/>
      <c r="P586" s="308"/>
      <c r="Q586" s="307"/>
      <c r="R586" s="308"/>
      <c r="S586" s="308"/>
      <c r="T586" s="308"/>
      <c r="U586" s="308"/>
      <c r="V586" s="309"/>
    </row>
    <row r="587" spans="1:22">
      <c r="A587" s="304"/>
      <c r="B587" s="310"/>
      <c r="C587" s="311"/>
      <c r="D587" s="312"/>
      <c r="E587" s="312"/>
      <c r="F587" s="312"/>
      <c r="G587" s="312"/>
      <c r="H587" s="312"/>
      <c r="I587" s="312"/>
      <c r="J587" s="314"/>
      <c r="K587" s="314"/>
      <c r="L587" s="312"/>
      <c r="M587" s="312"/>
      <c r="N587" s="312"/>
      <c r="O587" s="314"/>
      <c r="P587" s="314"/>
      <c r="Q587" s="312"/>
      <c r="R587" s="314"/>
      <c r="S587" s="314"/>
      <c r="T587" s="314"/>
      <c r="U587" s="314"/>
      <c r="V587" s="309"/>
    </row>
    <row r="588" spans="1:22">
      <c r="A588" s="304"/>
      <c r="B588" s="50"/>
      <c r="C588" s="301"/>
      <c r="D588" s="302"/>
      <c r="E588" s="302"/>
      <c r="F588" s="302"/>
      <c r="G588" s="302"/>
      <c r="H588" s="302"/>
      <c r="I588" s="302"/>
      <c r="J588" s="303"/>
      <c r="K588" s="303"/>
      <c r="L588" s="302"/>
      <c r="M588" s="302"/>
      <c r="N588" s="302"/>
      <c r="O588" s="303"/>
      <c r="P588" s="303"/>
      <c r="Q588" s="302"/>
      <c r="R588" s="303"/>
      <c r="S588" s="303"/>
      <c r="T588" s="303"/>
      <c r="U588" s="303"/>
      <c r="V588" s="309"/>
    </row>
    <row r="589" spans="1:22">
      <c r="A589" s="304"/>
      <c r="B589" s="305"/>
      <c r="C589" s="306"/>
      <c r="D589" s="307"/>
      <c r="E589" s="307"/>
      <c r="F589" s="307"/>
      <c r="G589" s="307"/>
      <c r="H589" s="307"/>
      <c r="I589" s="307"/>
      <c r="J589" s="308"/>
      <c r="K589" s="308"/>
      <c r="L589" s="307"/>
      <c r="M589" s="307"/>
      <c r="N589" s="307"/>
      <c r="O589" s="308"/>
      <c r="P589" s="308"/>
      <c r="Q589" s="307"/>
      <c r="R589" s="308"/>
      <c r="S589" s="308"/>
      <c r="T589" s="308"/>
      <c r="U589" s="308"/>
      <c r="V589" s="309"/>
    </row>
    <row r="590" spans="1:22">
      <c r="A590" s="304"/>
      <c r="B590" s="310"/>
      <c r="C590" s="311"/>
      <c r="D590" s="312"/>
      <c r="E590" s="312"/>
      <c r="F590" s="312"/>
      <c r="G590" s="312"/>
      <c r="H590" s="312"/>
      <c r="I590" s="312"/>
      <c r="J590" s="314"/>
      <c r="K590" s="314"/>
      <c r="L590" s="312"/>
      <c r="M590" s="312"/>
      <c r="N590" s="312"/>
      <c r="O590" s="314"/>
      <c r="P590" s="314"/>
      <c r="Q590" s="312"/>
      <c r="R590" s="314"/>
      <c r="S590" s="314"/>
      <c r="T590" s="314"/>
      <c r="U590" s="314"/>
      <c r="V590" s="309"/>
    </row>
    <row r="591" spans="1:22">
      <c r="A591" s="304"/>
      <c r="B591" s="50"/>
      <c r="C591" s="301"/>
      <c r="D591" s="302"/>
      <c r="E591" s="302"/>
      <c r="F591" s="302"/>
      <c r="G591" s="302"/>
      <c r="H591" s="302"/>
      <c r="I591" s="302"/>
      <c r="J591" s="303"/>
      <c r="K591" s="303"/>
      <c r="L591" s="302"/>
      <c r="M591" s="302"/>
      <c r="N591" s="302"/>
      <c r="O591" s="303"/>
      <c r="P591" s="303"/>
      <c r="Q591" s="302"/>
      <c r="R591" s="303"/>
      <c r="S591" s="303"/>
      <c r="T591" s="303"/>
      <c r="U591" s="303"/>
      <c r="V591" s="309"/>
    </row>
    <row r="592" spans="1:22">
      <c r="A592" s="304"/>
      <c r="B592" s="305"/>
      <c r="C592" s="306"/>
      <c r="D592" s="307"/>
      <c r="E592" s="307"/>
      <c r="F592" s="307"/>
      <c r="G592" s="307"/>
      <c r="H592" s="307"/>
      <c r="I592" s="307"/>
      <c r="J592" s="308"/>
      <c r="K592" s="308"/>
      <c r="L592" s="307"/>
      <c r="M592" s="307"/>
      <c r="N592" s="307"/>
      <c r="O592" s="308"/>
      <c r="P592" s="308"/>
      <c r="Q592" s="307"/>
      <c r="R592" s="308"/>
      <c r="S592" s="308"/>
      <c r="T592" s="308"/>
      <c r="U592" s="308"/>
      <c r="V592" s="309"/>
    </row>
    <row r="593" spans="1:22">
      <c r="A593" s="304"/>
      <c r="B593" s="310"/>
      <c r="C593" s="311"/>
      <c r="D593" s="312"/>
      <c r="E593" s="312"/>
      <c r="F593" s="312"/>
      <c r="G593" s="312"/>
      <c r="H593" s="312"/>
      <c r="I593" s="312"/>
      <c r="J593" s="314"/>
      <c r="K593" s="314"/>
      <c r="L593" s="312"/>
      <c r="M593" s="312"/>
      <c r="N593" s="312"/>
      <c r="O593" s="314"/>
      <c r="P593" s="314"/>
      <c r="Q593" s="312"/>
      <c r="R593" s="314"/>
      <c r="S593" s="314"/>
      <c r="T593" s="314"/>
      <c r="U593" s="314"/>
      <c r="V593" s="309"/>
    </row>
    <row r="594" spans="1:22">
      <c r="A594" s="304"/>
      <c r="B594" s="50"/>
      <c r="C594" s="301"/>
      <c r="D594" s="302"/>
      <c r="E594" s="302"/>
      <c r="F594" s="302"/>
      <c r="G594" s="302"/>
      <c r="H594" s="302"/>
      <c r="I594" s="302"/>
      <c r="J594" s="303"/>
      <c r="K594" s="303"/>
      <c r="L594" s="302"/>
      <c r="M594" s="302"/>
      <c r="N594" s="302"/>
      <c r="O594" s="303"/>
      <c r="P594" s="303"/>
      <c r="Q594" s="302"/>
      <c r="R594" s="303"/>
      <c r="S594" s="303"/>
      <c r="T594" s="303"/>
      <c r="U594" s="303"/>
      <c r="V594" s="309"/>
    </row>
    <row r="595" spans="1:22">
      <c r="A595" s="304"/>
      <c r="B595" s="305"/>
      <c r="C595" s="306"/>
      <c r="D595" s="307"/>
      <c r="E595" s="307"/>
      <c r="F595" s="307"/>
      <c r="G595" s="307"/>
      <c r="H595" s="307"/>
      <c r="I595" s="307"/>
      <c r="J595" s="308"/>
      <c r="K595" s="308"/>
      <c r="L595" s="307"/>
      <c r="M595" s="307"/>
      <c r="N595" s="307"/>
      <c r="O595" s="308"/>
      <c r="P595" s="308"/>
      <c r="Q595" s="307"/>
      <c r="R595" s="308"/>
      <c r="S595" s="308"/>
      <c r="T595" s="308"/>
      <c r="U595" s="308"/>
      <c r="V595" s="309"/>
    </row>
    <row r="596" spans="1:22">
      <c r="A596" s="304"/>
      <c r="B596" s="310"/>
      <c r="C596" s="311"/>
      <c r="D596" s="312"/>
      <c r="E596" s="312"/>
      <c r="F596" s="312"/>
      <c r="G596" s="312"/>
      <c r="H596" s="312"/>
      <c r="I596" s="312"/>
      <c r="J596" s="314"/>
      <c r="K596" s="314"/>
      <c r="L596" s="312"/>
      <c r="M596" s="312"/>
      <c r="N596" s="312"/>
      <c r="O596" s="314"/>
      <c r="P596" s="314"/>
      <c r="Q596" s="312"/>
      <c r="R596" s="314"/>
      <c r="S596" s="314"/>
      <c r="T596" s="314"/>
      <c r="U596" s="314"/>
      <c r="V596" s="309"/>
    </row>
    <row r="597" spans="1:22">
      <c r="A597" s="304"/>
      <c r="B597" s="50"/>
      <c r="C597" s="301"/>
      <c r="D597" s="302"/>
      <c r="E597" s="302"/>
      <c r="F597" s="302"/>
      <c r="G597" s="302"/>
      <c r="H597" s="302"/>
      <c r="I597" s="302"/>
      <c r="J597" s="303"/>
      <c r="K597" s="303"/>
      <c r="L597" s="302"/>
      <c r="M597" s="302"/>
      <c r="N597" s="302"/>
      <c r="O597" s="303"/>
      <c r="P597" s="303"/>
      <c r="Q597" s="302"/>
      <c r="R597" s="303"/>
      <c r="S597" s="303"/>
      <c r="T597" s="303"/>
      <c r="U597" s="303"/>
      <c r="V597" s="309"/>
    </row>
    <row r="598" spans="1:22">
      <c r="A598" s="304"/>
      <c r="B598" s="305"/>
      <c r="C598" s="306"/>
      <c r="D598" s="307"/>
      <c r="E598" s="307"/>
      <c r="F598" s="307"/>
      <c r="G598" s="307"/>
      <c r="H598" s="307"/>
      <c r="I598" s="307"/>
      <c r="J598" s="308"/>
      <c r="K598" s="308"/>
      <c r="L598" s="307"/>
      <c r="M598" s="307"/>
      <c r="N598" s="307"/>
      <c r="O598" s="308"/>
      <c r="P598" s="308"/>
      <c r="Q598" s="307"/>
      <c r="R598" s="308"/>
      <c r="S598" s="308"/>
      <c r="T598" s="308"/>
      <c r="U598" s="308"/>
      <c r="V598" s="309"/>
    </row>
    <row r="599" spans="1:22" ht="15.75" thickBot="1">
      <c r="A599" s="304"/>
      <c r="B599" s="316"/>
      <c r="C599" s="317"/>
      <c r="D599" s="318"/>
      <c r="E599" s="318"/>
      <c r="F599" s="318"/>
      <c r="G599" s="318"/>
      <c r="H599" s="318"/>
      <c r="I599" s="318"/>
      <c r="J599" s="319"/>
      <c r="K599" s="319"/>
      <c r="L599" s="318"/>
      <c r="M599" s="318"/>
      <c r="N599" s="318"/>
      <c r="O599" s="319"/>
      <c r="P599" s="319"/>
      <c r="Q599" s="318"/>
      <c r="R599" s="319"/>
      <c r="S599" s="319"/>
      <c r="T599" s="319"/>
      <c r="U599" s="319"/>
      <c r="V599" s="309"/>
    </row>
    <row r="600" spans="1:22" ht="15.75" thickTop="1">
      <c r="A600" s="304"/>
      <c r="B600" s="305"/>
      <c r="C600" s="306"/>
      <c r="D600" s="307"/>
      <c r="E600" s="307"/>
      <c r="F600" s="307"/>
      <c r="G600" s="307"/>
      <c r="H600" s="307"/>
      <c r="I600" s="307"/>
      <c r="J600" s="308"/>
      <c r="K600" s="308"/>
      <c r="L600" s="307"/>
      <c r="M600" s="307"/>
      <c r="N600" s="307"/>
      <c r="O600" s="308"/>
      <c r="P600" s="308"/>
      <c r="Q600" s="307"/>
      <c r="R600" s="308"/>
      <c r="S600" s="308"/>
      <c r="T600" s="308"/>
      <c r="U600" s="308"/>
      <c r="V600" s="309"/>
    </row>
    <row r="601" spans="1:22">
      <c r="A601" s="304"/>
      <c r="B601" s="305"/>
      <c r="C601" s="306"/>
      <c r="D601" s="307"/>
      <c r="E601" s="307"/>
      <c r="F601" s="307"/>
      <c r="G601" s="307"/>
      <c r="H601" s="307"/>
      <c r="I601" s="307"/>
      <c r="J601" s="308"/>
      <c r="K601" s="308"/>
      <c r="L601" s="307"/>
      <c r="M601" s="307"/>
      <c r="N601" s="307"/>
      <c r="O601" s="308"/>
      <c r="P601" s="308"/>
      <c r="Q601" s="307"/>
      <c r="R601" s="308"/>
      <c r="S601" s="308"/>
      <c r="T601" s="308"/>
      <c r="U601" s="308"/>
      <c r="V601" s="309"/>
    </row>
    <row r="602" spans="1:22">
      <c r="A602" s="304"/>
      <c r="B602" s="310"/>
      <c r="C602" s="311"/>
      <c r="D602" s="312"/>
      <c r="E602" s="312"/>
      <c r="F602" s="312"/>
      <c r="G602" s="312"/>
      <c r="H602" s="312"/>
      <c r="I602" s="312"/>
      <c r="J602" s="314"/>
      <c r="K602" s="314"/>
      <c r="L602" s="312"/>
      <c r="M602" s="312"/>
      <c r="N602" s="312"/>
      <c r="O602" s="314"/>
      <c r="P602" s="314"/>
      <c r="Q602" s="312"/>
      <c r="R602" s="314"/>
      <c r="S602" s="314"/>
      <c r="T602" s="314"/>
      <c r="U602" s="314"/>
      <c r="V602" s="309"/>
    </row>
    <row r="603" spans="1:22">
      <c r="A603" s="304"/>
      <c r="B603" s="50"/>
      <c r="C603" s="301"/>
      <c r="D603" s="302"/>
      <c r="E603" s="302"/>
      <c r="F603" s="302"/>
      <c r="G603" s="302"/>
      <c r="H603" s="302"/>
      <c r="I603" s="302"/>
      <c r="J603" s="303"/>
      <c r="K603" s="303"/>
      <c r="L603" s="302"/>
      <c r="M603" s="302"/>
      <c r="N603" s="302"/>
      <c r="O603" s="303"/>
      <c r="P603" s="303"/>
      <c r="Q603" s="302"/>
      <c r="R603" s="303"/>
      <c r="S603" s="303"/>
      <c r="T603" s="303"/>
      <c r="U603" s="303"/>
      <c r="V603" s="309"/>
    </row>
    <row r="604" spans="1:22">
      <c r="A604" s="304"/>
      <c r="B604" s="305"/>
      <c r="C604" s="306"/>
      <c r="D604" s="307"/>
      <c r="E604" s="307"/>
      <c r="F604" s="307"/>
      <c r="G604" s="307"/>
      <c r="H604" s="307"/>
      <c r="I604" s="307"/>
      <c r="J604" s="308"/>
      <c r="K604" s="308"/>
      <c r="L604" s="307"/>
      <c r="M604" s="307"/>
      <c r="N604" s="307"/>
      <c r="O604" s="308"/>
      <c r="P604" s="308"/>
      <c r="Q604" s="307"/>
      <c r="R604" s="308"/>
      <c r="S604" s="308"/>
      <c r="T604" s="308"/>
      <c r="U604" s="308"/>
      <c r="V604" s="309"/>
    </row>
    <row r="605" spans="1:22">
      <c r="A605" s="304"/>
      <c r="B605" s="310"/>
      <c r="C605" s="311"/>
      <c r="D605" s="312"/>
      <c r="E605" s="312"/>
      <c r="F605" s="312"/>
      <c r="G605" s="312"/>
      <c r="H605" s="312"/>
      <c r="I605" s="312"/>
      <c r="J605" s="314"/>
      <c r="K605" s="314"/>
      <c r="L605" s="312"/>
      <c r="M605" s="312"/>
      <c r="N605" s="312"/>
      <c r="O605" s="314"/>
      <c r="P605" s="314"/>
      <c r="Q605" s="312"/>
      <c r="R605" s="314"/>
      <c r="S605" s="314"/>
      <c r="T605" s="314"/>
      <c r="U605" s="314"/>
      <c r="V605" s="309"/>
    </row>
    <row r="606" spans="1:22">
      <c r="A606" s="304"/>
      <c r="B606" s="50"/>
      <c r="C606" s="301"/>
      <c r="D606" s="302"/>
      <c r="E606" s="302"/>
      <c r="F606" s="302"/>
      <c r="G606" s="302"/>
      <c r="H606" s="302"/>
      <c r="I606" s="302"/>
      <c r="J606" s="303"/>
      <c r="K606" s="303"/>
      <c r="L606" s="302"/>
      <c r="M606" s="302"/>
      <c r="N606" s="302"/>
      <c r="O606" s="303"/>
      <c r="P606" s="303"/>
      <c r="Q606" s="302"/>
      <c r="R606" s="303"/>
      <c r="S606" s="303"/>
      <c r="T606" s="303"/>
      <c r="U606" s="303"/>
      <c r="V606" s="309"/>
    </row>
    <row r="607" spans="1:22">
      <c r="A607" s="304"/>
      <c r="B607" s="305"/>
      <c r="C607" s="306"/>
      <c r="D607" s="307"/>
      <c r="E607" s="307"/>
      <c r="F607" s="307"/>
      <c r="G607" s="307"/>
      <c r="H607" s="307"/>
      <c r="I607" s="307"/>
      <c r="J607" s="308"/>
      <c r="K607" s="308"/>
      <c r="L607" s="307"/>
      <c r="M607" s="307"/>
      <c r="N607" s="307"/>
      <c r="O607" s="308"/>
      <c r="P607" s="308"/>
      <c r="Q607" s="307"/>
      <c r="R607" s="308"/>
      <c r="S607" s="308"/>
      <c r="T607" s="308"/>
      <c r="U607" s="308"/>
      <c r="V607" s="309"/>
    </row>
    <row r="608" spans="1:22">
      <c r="A608" s="304"/>
      <c r="B608" s="310"/>
      <c r="C608" s="311"/>
      <c r="D608" s="312"/>
      <c r="E608" s="312"/>
      <c r="F608" s="312"/>
      <c r="G608" s="312"/>
      <c r="H608" s="312"/>
      <c r="I608" s="312"/>
      <c r="J608" s="314"/>
      <c r="K608" s="314"/>
      <c r="L608" s="312"/>
      <c r="M608" s="312"/>
      <c r="N608" s="312"/>
      <c r="O608" s="314"/>
      <c r="P608" s="314"/>
      <c r="Q608" s="312"/>
      <c r="R608" s="314"/>
      <c r="S608" s="314"/>
      <c r="T608" s="314"/>
      <c r="U608" s="314"/>
      <c r="V608" s="309"/>
    </row>
    <row r="609" spans="1:22">
      <c r="A609" s="304"/>
      <c r="B609" s="50"/>
      <c r="C609" s="301"/>
      <c r="D609" s="302"/>
      <c r="E609" s="302"/>
      <c r="F609" s="302"/>
      <c r="G609" s="302"/>
      <c r="H609" s="302"/>
      <c r="I609" s="302"/>
      <c r="J609" s="303"/>
      <c r="K609" s="303"/>
      <c r="L609" s="302"/>
      <c r="M609" s="302"/>
      <c r="N609" s="302"/>
      <c r="O609" s="303"/>
      <c r="P609" s="303"/>
      <c r="Q609" s="302"/>
      <c r="R609" s="303"/>
      <c r="S609" s="303"/>
      <c r="T609" s="303"/>
      <c r="U609" s="303"/>
      <c r="V609" s="309"/>
    </row>
    <row r="610" spans="1:22">
      <c r="A610" s="304"/>
      <c r="B610" s="305"/>
      <c r="C610" s="306"/>
      <c r="D610" s="307"/>
      <c r="E610" s="307"/>
      <c r="F610" s="307"/>
      <c r="G610" s="307"/>
      <c r="H610" s="307"/>
      <c r="I610" s="307"/>
      <c r="J610" s="308"/>
      <c r="K610" s="308"/>
      <c r="L610" s="307"/>
      <c r="M610" s="307"/>
      <c r="N610" s="307"/>
      <c r="O610" s="308"/>
      <c r="P610" s="308"/>
      <c r="Q610" s="307"/>
      <c r="R610" s="308"/>
      <c r="S610" s="308"/>
      <c r="T610" s="308"/>
      <c r="U610" s="308"/>
      <c r="V610" s="309"/>
    </row>
    <row r="611" spans="1:22">
      <c r="A611" s="304"/>
      <c r="B611" s="310"/>
      <c r="C611" s="311"/>
      <c r="D611" s="312"/>
      <c r="E611" s="312"/>
      <c r="F611" s="312"/>
      <c r="G611" s="312"/>
      <c r="H611" s="312"/>
      <c r="I611" s="312"/>
      <c r="J611" s="314"/>
      <c r="K611" s="314"/>
      <c r="L611" s="312"/>
      <c r="M611" s="312"/>
      <c r="N611" s="312"/>
      <c r="O611" s="314"/>
      <c r="P611" s="314"/>
      <c r="Q611" s="312"/>
      <c r="R611" s="314"/>
      <c r="S611" s="314"/>
      <c r="T611" s="314"/>
      <c r="U611" s="314"/>
      <c r="V611" s="309"/>
    </row>
    <row r="612" spans="1:22">
      <c r="A612" s="304"/>
      <c r="B612" s="50"/>
      <c r="C612" s="301"/>
      <c r="D612" s="302"/>
      <c r="E612" s="302"/>
      <c r="F612" s="302"/>
      <c r="G612" s="302"/>
      <c r="H612" s="302"/>
      <c r="I612" s="302"/>
      <c r="J612" s="303"/>
      <c r="K612" s="303"/>
      <c r="L612" s="302"/>
      <c r="M612" s="302"/>
      <c r="N612" s="302"/>
      <c r="O612" s="303"/>
      <c r="P612" s="303"/>
      <c r="Q612" s="302"/>
      <c r="R612" s="303"/>
      <c r="S612" s="303"/>
      <c r="T612" s="303"/>
      <c r="U612" s="303"/>
      <c r="V612" s="309"/>
    </row>
    <row r="613" spans="1:22">
      <c r="A613" s="304"/>
      <c r="B613" s="305"/>
      <c r="C613" s="306"/>
      <c r="D613" s="307"/>
      <c r="E613" s="307"/>
      <c r="F613" s="307"/>
      <c r="G613" s="307"/>
      <c r="H613" s="307"/>
      <c r="I613" s="307"/>
      <c r="J613" s="308"/>
      <c r="K613" s="308"/>
      <c r="L613" s="307"/>
      <c r="M613" s="307"/>
      <c r="N613" s="307"/>
      <c r="O613" s="308"/>
      <c r="P613" s="308"/>
      <c r="Q613" s="307"/>
      <c r="R613" s="308"/>
      <c r="S613" s="308"/>
      <c r="T613" s="308"/>
      <c r="U613" s="308"/>
      <c r="V613" s="309"/>
    </row>
    <row r="614" spans="1:22">
      <c r="A614" s="304"/>
      <c r="B614" s="310"/>
      <c r="C614" s="311"/>
      <c r="D614" s="312"/>
      <c r="E614" s="312"/>
      <c r="F614" s="312"/>
      <c r="G614" s="312"/>
      <c r="H614" s="312"/>
      <c r="I614" s="312"/>
      <c r="J614" s="314"/>
      <c r="K614" s="314"/>
      <c r="L614" s="312"/>
      <c r="M614" s="312"/>
      <c r="N614" s="312"/>
      <c r="O614" s="314"/>
      <c r="P614" s="314"/>
      <c r="Q614" s="312"/>
      <c r="R614" s="314"/>
      <c r="S614" s="314"/>
      <c r="T614" s="314"/>
      <c r="U614" s="314"/>
      <c r="V614" s="309"/>
    </row>
    <row r="615" spans="1:22">
      <c r="A615" s="304"/>
      <c r="B615" s="50"/>
      <c r="C615" s="301"/>
      <c r="D615" s="302"/>
      <c r="E615" s="302"/>
      <c r="F615" s="302"/>
      <c r="G615" s="302"/>
      <c r="H615" s="302"/>
      <c r="I615" s="302"/>
      <c r="J615" s="303"/>
      <c r="K615" s="303"/>
      <c r="L615" s="302"/>
      <c r="M615" s="302"/>
      <c r="N615" s="302"/>
      <c r="O615" s="303"/>
      <c r="P615" s="303"/>
      <c r="Q615" s="302"/>
      <c r="R615" s="303"/>
      <c r="S615" s="303"/>
      <c r="T615" s="303"/>
      <c r="U615" s="303"/>
      <c r="V615" s="309"/>
    </row>
    <row r="616" spans="1:22">
      <c r="A616" s="304"/>
      <c r="B616" s="305"/>
      <c r="C616" s="306"/>
      <c r="D616" s="307"/>
      <c r="E616" s="307"/>
      <c r="F616" s="307"/>
      <c r="G616" s="307"/>
      <c r="H616" s="307"/>
      <c r="I616" s="307"/>
      <c r="J616" s="308"/>
      <c r="K616" s="308"/>
      <c r="L616" s="307"/>
      <c r="M616" s="307"/>
      <c r="N616" s="307"/>
      <c r="O616" s="308"/>
      <c r="P616" s="308"/>
      <c r="Q616" s="307"/>
      <c r="R616" s="308"/>
      <c r="S616" s="308"/>
      <c r="T616" s="308"/>
      <c r="U616" s="308"/>
      <c r="V616" s="309"/>
    </row>
    <row r="617" spans="1:22">
      <c r="A617" s="328"/>
      <c r="B617" s="310"/>
      <c r="C617" s="311"/>
      <c r="D617" s="312"/>
      <c r="E617" s="312"/>
      <c r="F617" s="312"/>
      <c r="G617" s="312"/>
      <c r="H617" s="312"/>
      <c r="I617" s="312"/>
      <c r="J617" s="314"/>
      <c r="K617" s="314"/>
      <c r="L617" s="312"/>
      <c r="M617" s="312"/>
      <c r="N617" s="312"/>
      <c r="O617" s="314"/>
      <c r="P617" s="314"/>
      <c r="Q617" s="312"/>
      <c r="R617" s="314"/>
      <c r="S617" s="314"/>
      <c r="T617" s="314"/>
      <c r="U617" s="314"/>
      <c r="V617" s="30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63213-1D4C-4F0B-B105-DC4FC802B970}">
  <sheetPr>
    <tabColor theme="4" tint="0.39997558519241921"/>
  </sheetPr>
  <dimension ref="A1:AG83"/>
  <sheetViews>
    <sheetView topLeftCell="A61" workbookViewId="0">
      <selection activeCell="F12" sqref="F12"/>
    </sheetView>
  </sheetViews>
  <sheetFormatPr defaultRowHeight="15"/>
  <cols>
    <col min="1" max="1" width="11.77734375" style="105" customWidth="1"/>
    <col min="2" max="3" width="10.33203125" bestFit="1" customWidth="1"/>
    <col min="4" max="5" width="10" bestFit="1" customWidth="1"/>
    <col min="6" max="9" width="10.33203125" bestFit="1" customWidth="1"/>
    <col min="10" max="15" width="9.21875" customWidth="1"/>
    <col min="16" max="17" width="11.33203125" bestFit="1" customWidth="1"/>
    <col min="18" max="18" width="11.5546875" customWidth="1"/>
    <col min="19" max="19" width="10.33203125" bestFit="1" customWidth="1"/>
    <col min="20" max="21" width="11" bestFit="1" customWidth="1"/>
    <col min="22" max="23" width="10.33203125" bestFit="1" customWidth="1"/>
    <col min="24" max="25" width="9.21875" customWidth="1"/>
    <col min="26" max="27" width="11" bestFit="1" customWidth="1"/>
    <col min="28" max="29" width="10" bestFit="1" customWidth="1"/>
    <col min="30" max="31" width="9.21875" customWidth="1"/>
    <col min="32" max="33" width="10.33203125" bestFit="1" customWidth="1"/>
  </cols>
  <sheetData>
    <row r="1" spans="1:33">
      <c r="A1" s="104" t="s">
        <v>613</v>
      </c>
    </row>
    <row r="2" spans="1:33">
      <c r="B2" s="106" t="s">
        <v>614</v>
      </c>
      <c r="C2" s="107"/>
      <c r="D2" s="107"/>
      <c r="E2" s="107"/>
      <c r="F2" s="107"/>
      <c r="G2" s="107"/>
      <c r="H2" s="107"/>
      <c r="I2" s="107"/>
      <c r="J2" s="107"/>
      <c r="K2" s="107"/>
      <c r="L2" s="107"/>
      <c r="M2" s="107"/>
      <c r="N2" s="107"/>
      <c r="O2" s="107"/>
      <c r="P2" s="107"/>
      <c r="Q2" s="107"/>
      <c r="R2" s="108" t="s">
        <v>615</v>
      </c>
      <c r="S2" s="109"/>
      <c r="T2" s="109"/>
      <c r="U2" s="109"/>
      <c r="V2" s="109"/>
      <c r="W2" s="109"/>
      <c r="X2" s="109"/>
      <c r="Y2" s="109"/>
      <c r="Z2" s="109"/>
      <c r="AA2" s="109"/>
      <c r="AB2" s="110" t="s">
        <v>616</v>
      </c>
      <c r="AC2" s="111"/>
      <c r="AD2" s="111"/>
      <c r="AE2" s="111"/>
      <c r="AF2" s="111"/>
      <c r="AG2" s="111"/>
    </row>
    <row r="3" spans="1:33">
      <c r="B3" s="112">
        <v>1</v>
      </c>
      <c r="C3" s="113"/>
      <c r="D3" s="112">
        <v>2</v>
      </c>
      <c r="E3" s="113"/>
      <c r="F3" s="112">
        <v>3</v>
      </c>
      <c r="G3" s="113"/>
      <c r="H3" s="112">
        <v>4</v>
      </c>
      <c r="I3" s="113"/>
      <c r="J3" s="112">
        <v>5</v>
      </c>
      <c r="K3" s="113"/>
      <c r="L3" s="112">
        <v>6</v>
      </c>
      <c r="M3" s="113"/>
      <c r="N3" s="112">
        <v>15</v>
      </c>
      <c r="O3" s="113"/>
      <c r="P3" s="112" t="s">
        <v>617</v>
      </c>
      <c r="Q3" s="114"/>
      <c r="R3" s="115">
        <v>7</v>
      </c>
      <c r="S3" s="116"/>
      <c r="T3" s="115">
        <v>8</v>
      </c>
      <c r="U3" s="116"/>
      <c r="V3" s="115">
        <v>9</v>
      </c>
      <c r="W3" s="116"/>
      <c r="X3" s="115">
        <v>10</v>
      </c>
      <c r="Y3" s="116"/>
      <c r="Z3" s="115" t="s">
        <v>617</v>
      </c>
      <c r="AA3" s="116"/>
      <c r="AB3" s="117">
        <v>12</v>
      </c>
      <c r="AC3" s="118"/>
      <c r="AD3" s="117">
        <v>13</v>
      </c>
      <c r="AE3" s="118"/>
      <c r="AF3" s="117" t="s">
        <v>617</v>
      </c>
      <c r="AG3" s="118"/>
    </row>
    <row r="4" spans="1:33" s="125" customFormat="1">
      <c r="A4" s="119"/>
      <c r="B4" s="120">
        <v>2019</v>
      </c>
      <c r="C4" s="121">
        <v>2020</v>
      </c>
      <c r="D4" s="120">
        <v>2019</v>
      </c>
      <c r="E4" s="121">
        <v>2020</v>
      </c>
      <c r="F4" s="120">
        <v>2019</v>
      </c>
      <c r="G4" s="121">
        <v>2020</v>
      </c>
      <c r="H4" s="120">
        <v>2019</v>
      </c>
      <c r="I4" s="121">
        <v>2020</v>
      </c>
      <c r="J4" s="120">
        <v>2019</v>
      </c>
      <c r="K4" s="121">
        <v>2020</v>
      </c>
      <c r="L4" s="120">
        <v>2019</v>
      </c>
      <c r="M4" s="121">
        <v>2020</v>
      </c>
      <c r="N4" s="120">
        <v>2019</v>
      </c>
      <c r="O4" s="121">
        <v>2020</v>
      </c>
      <c r="P4" s="120">
        <v>2019</v>
      </c>
      <c r="Q4" s="121">
        <v>2020</v>
      </c>
      <c r="R4" s="122">
        <v>2019</v>
      </c>
      <c r="S4" s="123">
        <v>2020</v>
      </c>
      <c r="T4" s="122">
        <v>2019</v>
      </c>
      <c r="U4" s="123">
        <v>2020</v>
      </c>
      <c r="V4" s="122">
        <v>2019</v>
      </c>
      <c r="W4" s="123">
        <v>2020</v>
      </c>
      <c r="X4" s="122">
        <v>2019</v>
      </c>
      <c r="Y4" s="123">
        <v>2020</v>
      </c>
      <c r="Z4" s="122">
        <v>2019</v>
      </c>
      <c r="AA4" s="123">
        <v>2020</v>
      </c>
      <c r="AB4" s="122">
        <v>2019</v>
      </c>
      <c r="AC4" s="124">
        <v>2020</v>
      </c>
      <c r="AD4" s="122">
        <v>2019</v>
      </c>
      <c r="AE4" s="124">
        <v>2020</v>
      </c>
      <c r="AF4" s="122">
        <v>2019</v>
      </c>
      <c r="AG4" s="124">
        <v>2020</v>
      </c>
    </row>
    <row r="5" spans="1:33">
      <c r="A5" s="105" t="s">
        <v>618</v>
      </c>
      <c r="B5" s="92">
        <f>GETPIVOTDATA("Sum of OLD-Tot UG SCH Calc",'Pivot Table for Fact Book'!$A$3,"State","AL","type",1,"Type2","Four-Year")</f>
        <v>1949406</v>
      </c>
      <c r="C5" s="93">
        <f>GETPIVOTDATA("Sum of NEW-Tot UG SCH Calc",'Pivot Table for Fact Book'!$A$3,"State","AL","type",1,"Type2","Four-Year")</f>
        <v>1894441</v>
      </c>
      <c r="D5" s="92">
        <f>GETPIVOTDATA("Sum of OLD-Tot UG SCH Calc",'Pivot Table for Fact Book'!$A$3,"State","AL","type",2,"Type2","Four-Year")</f>
        <v>451735</v>
      </c>
      <c r="E5" s="93">
        <f>GETPIVOTDATA("Sum of NEW-Tot UG SCH Calc",'Pivot Table for Fact Book'!$A$3,"State","AL","type",2,"Type2","Four-Year")</f>
        <v>428972</v>
      </c>
      <c r="F5" s="92">
        <f>GETPIVOTDATA("Sum of OLD-Tot UG SCH Calc",'Pivot Table for Fact Book'!$A$3,"State","AL","type",3,"Type2","Four-Year")</f>
        <v>945282</v>
      </c>
      <c r="G5" s="93">
        <f>GETPIVOTDATA("Sum of NEW-Tot UG SCH Calc",'Pivot Table for Fact Book'!$A$3,"State","AL","type",3,"Type2","Four-Year")</f>
        <v>881879</v>
      </c>
      <c r="H5" s="92">
        <f>GETPIVOTDATA("Sum of OLD-Tot UG SCH Calc",'Pivot Table for Fact Book'!$A$3,"State","AL","type",4,"Type2","Four-Year")</f>
        <v>173450</v>
      </c>
      <c r="I5" s="93">
        <f>GETPIVOTDATA("Sum of NEW-Tot UG SCH Calc",'Pivot Table for Fact Book'!$A$3,"State","AL","type",4,"Type2","Four-Year")</f>
        <v>165953</v>
      </c>
      <c r="J5" s="92">
        <f>GETPIVOTDATA("Sum of OLD-Tot UG SCH Calc",'Pivot Table for Fact Book'!$A$3,"State","AL","type",5,"Type2","Four-Year")</f>
        <v>127309</v>
      </c>
      <c r="K5" s="93">
        <f>GETPIVOTDATA("Sum of NEW-Tot UG SCH Calc",'Pivot Table for Fact Book'!$A$3,"State","AL","type",5,"Type2","Four-Year")</f>
        <v>122801</v>
      </c>
      <c r="L5" s="92">
        <f>GETPIVOTDATA("Sum of OLD-Tot UG SCH Calc",'Pivot Table for Fact Book'!$A$3,"State","AL","type",6,"Type2","Four-Year")</f>
        <v>0</v>
      </c>
      <c r="M5" s="93">
        <f>GETPIVOTDATA("Sum of NEW-Tot UG SCH Calc",'Pivot Table for Fact Book'!$A$3,"State","AL","type",6,"Type2","Four-Year")</f>
        <v>0</v>
      </c>
      <c r="N5" s="92">
        <f>GETPIVOTDATA("Sum of OLD-Tot UG SCH Calc",'Pivot Table for Fact Book'!$A$3,"State","AL","type",15,"Type2","Four-Year")</f>
        <v>12708</v>
      </c>
      <c r="O5" s="93">
        <f>GETPIVOTDATA("Sum of NEW-Tot UG SCH Calc",'Pivot Table for Fact Book'!$A$3,"State","AL","type",15,"Type2","Four-Year")</f>
        <v>10955</v>
      </c>
      <c r="P5" s="94">
        <f>GETPIVOTDATA("Sum of OLD-Tot UG SCH Calc",'Pivot Table for Fact Book'!$A$3,"State","AL","Type2","Four-Year")</f>
        <v>3659890</v>
      </c>
      <c r="Q5" s="94">
        <f>GETPIVOTDATA("Sum of NEW-Tot UG SCH Calc",'Pivot Table for Fact Book'!$A$3,"State","AL","Type2","Four-Year")</f>
        <v>3505001</v>
      </c>
      <c r="R5" s="92">
        <f>GETPIVOTDATA("Sum of OLD-Tot UG SCH Calc",'Pivot Table for Fact Book'!$A$3,"State","AL","type",7,"Type2","Two-Year")</f>
        <v>0</v>
      </c>
      <c r="S5" s="93">
        <f>GETPIVOTDATA("Sum of NEW-Tot UG SCH Calc",'Pivot Table for Fact Book'!$A$3,"State","AL","type",7,"Type2","Two-Year")</f>
        <v>0</v>
      </c>
      <c r="T5" s="93">
        <f>GETPIVOTDATA("Sum of OLD-Tot UG SCH Calc",'Pivot Table for Fact Book'!$A$3,"State","AL","type",8,"Type2","Two-Year")</f>
        <v>493936</v>
      </c>
      <c r="U5" s="93">
        <f>GETPIVOTDATA("Sum of NEW-Tot UG SCH Calc",'Pivot Table for Fact Book'!$A$3,"State","AL","type",8,"Type2","Two-Year")</f>
        <v>474873</v>
      </c>
      <c r="V5" s="93">
        <f>GETPIVOTDATA("Sum of OLD-Tot UG SCH Calc",'Pivot Table for Fact Book'!$A$3,"State","AL","type",9,"Type2","Two-Year")</f>
        <v>755028</v>
      </c>
      <c r="W5" s="93">
        <f>GETPIVOTDATA("Sum of NEW-Tot UG SCH Calc",'Pivot Table for Fact Book'!$A$3,"State","AL","type",9,"Type2","Two-Year")</f>
        <v>713464</v>
      </c>
      <c r="X5" s="93">
        <f>GETPIVOTDATA("Sum of OLD-Tot UG SCH Calc",'Pivot Table for Fact Book'!$A$3,"State","AL","type",10,"Type2","Two-Year")</f>
        <v>290143</v>
      </c>
      <c r="Y5" s="93">
        <f>GETPIVOTDATA("Sum of NEW-Tot UG SCH Calc",'Pivot Table for Fact Book'!$A$3,"State","AL","type",10,"Type2","Two-Year")</f>
        <v>274389</v>
      </c>
      <c r="Z5" s="95">
        <f>GETPIVOTDATA("Sum of OLD-Tot UG SCH Calc",'Pivot Table for Fact Book'!$A$3,"State","AL","Type2","Two-Year")</f>
        <v>1539107</v>
      </c>
      <c r="AA5" s="95">
        <f>GETPIVOTDATA("Sum of NEW-Tot UG SCH Calc",'Pivot Table for Fact Book'!$A$3,"State","AL","Type2","Two-Year")</f>
        <v>1462726</v>
      </c>
      <c r="AB5" s="92">
        <f>+GETPIVOTDATA("Sum of OLD-Tot UG SCH Calc",'Pivot Table for Fact Book'!$A$3,"State","AL","type",12,"type2","Techncial")</f>
        <v>40736</v>
      </c>
      <c r="AC5" s="93">
        <f>+GETPIVOTDATA("Sum of NEW-Tot UG SCH Calc",'Pivot Table for Fact Book'!$A$3,"State","AL","type",12,"type2","Techncial")</f>
        <v>39698</v>
      </c>
      <c r="AD5" s="92">
        <f>+GETPIVOTDATA("Sum of OLD-Tot UG SCH Calc",'Pivot Table for Fact Book'!$A$3,"State","AL","type",13,"type2","Techncial")</f>
        <v>37178</v>
      </c>
      <c r="AE5" s="93">
        <f>+GETPIVOTDATA("Sum of NEW-Tot UG SCH Calc",'Pivot Table for Fact Book'!$A$3,"State","AL","type",13,"type2","Techncial")</f>
        <v>38198</v>
      </c>
      <c r="AF5" s="96">
        <f>+GETPIVOTDATA("Sum of OLD-Tot UG SCH Calc",'Pivot Table for Fact Book'!$A$3,"State","AL","type2","Techncial")</f>
        <v>77914</v>
      </c>
      <c r="AG5" s="97">
        <f>+GETPIVOTDATA("Sum of NEW-Tot UG SCH Calc",'Pivot Table for Fact Book'!$A$3,"State","AL","type2","Techncial")</f>
        <v>77896</v>
      </c>
    </row>
    <row r="6" spans="1:33">
      <c r="A6" s="105" t="s">
        <v>619</v>
      </c>
      <c r="B6" s="92">
        <f>GETPIVOTDATA("Sum of OLD-Tot UG SCH Calc",'Pivot Table for Fact Book'!$A$3,"State","AR","type",1,"Type2","Four-Year")</f>
        <v>657386</v>
      </c>
      <c r="C6" s="93">
        <f>GETPIVOTDATA("Sum of NEW-Tot UG SCH Calc",'Pivot Table for Fact Book'!$A$3,"State","AR","type",1,"Type2","Four-Year")</f>
        <v>651379</v>
      </c>
      <c r="D6" s="92">
        <f>GETPIVOTDATA("Sum of OLD-Tot UG SCH Calc",'Pivot Table for Fact Book'!$A$3,"State","AR","type",2,"Type2","Four-Year")</f>
        <v>170986</v>
      </c>
      <c r="E6" s="93">
        <f>GETPIVOTDATA("Sum of NEW-Tot UG SCH Calc",'Pivot Table for Fact Book'!$A$3,"State","AR","type",2,"Type2","Four-Year")</f>
        <v>157112</v>
      </c>
      <c r="F6" s="92">
        <f>GETPIVOTDATA("Sum of OLD-Tot UG SCH Calc",'Pivot Table for Fact Book'!$A$3,"State","AR","type",3,"Type2","Four-Year")</f>
        <v>738023</v>
      </c>
      <c r="G6" s="93">
        <f>GETPIVOTDATA("Sum of NEW-Tot UG SCH Calc",'Pivot Table for Fact Book'!$A$3,"State","AR","type",3,"Type2","Four-Year")</f>
        <v>688804</v>
      </c>
      <c r="H6" s="92">
        <f>GETPIVOTDATA("Sum of OLD-Tot UG SCH Calc",'Pivot Table for Fact Book'!$A$3,"State","AR","type",4,"Type2","Four-Year")</f>
        <v>253830</v>
      </c>
      <c r="I6" s="93">
        <f>GETPIVOTDATA("Sum of NEW-Tot UG SCH Calc",'Pivot Table for Fact Book'!$A$3,"State","AR","type",4,"Type2","Four-Year")</f>
        <v>232531</v>
      </c>
      <c r="J6" s="92">
        <f>GETPIVOTDATA("Sum of OLD-Tot UG SCH Calc",'Pivot Table for Fact Book'!$A$3,"State","AR","type",5,"Type2","Four-Year")</f>
        <v>0</v>
      </c>
      <c r="K6" s="93">
        <f>GETPIVOTDATA("Sum of NEW-Tot UG SCH Calc",'Pivot Table for Fact Book'!$A$3,"State","AR","type",5,"Type2","Four-Year")</f>
        <v>0</v>
      </c>
      <c r="L6" s="92">
        <f>GETPIVOTDATA("Sum of OLD-Tot UG SCH Calc",'Pivot Table for Fact Book'!$A$3,"State","AR","type",6,"Type2","Four-Year")</f>
        <v>214379</v>
      </c>
      <c r="M6" s="93">
        <f>GETPIVOTDATA("Sum of NEW-Tot UG SCH Calc",'Pivot Table for Fact Book'!$A$3,"State","AR","type",6,"Type2","Four-Year")</f>
        <v>202691</v>
      </c>
      <c r="N6" s="92">
        <f>GETPIVOTDATA("Sum of OLD-Tot UG SCH Calc",'Pivot Table for Fact Book'!$A$3,"State","AR","type",15,"Type2","Four-Year")</f>
        <v>19701</v>
      </c>
      <c r="O6" s="93">
        <f>GETPIVOTDATA("Sum of NEW-Tot UG SCH Calc",'Pivot Table for Fact Book'!$A$3,"State","AR","type",15,"Type2","Four-Year")</f>
        <v>24170</v>
      </c>
      <c r="P6" s="94">
        <f>GETPIVOTDATA("Sum of OLD-Tot UG SCH Calc",'Pivot Table for Fact Book'!$A$3,"State","AR","Type2","Four-Year")</f>
        <v>2054305</v>
      </c>
      <c r="Q6" s="94">
        <f>GETPIVOTDATA("Sum of NEW-Tot UG SCH Calc",'Pivot Table for Fact Book'!$A$3,"State","AR","Type2","Four-Year")</f>
        <v>1956687</v>
      </c>
      <c r="R6" s="92">
        <f>GETPIVOTDATA("Sum of OLD-Tot UG SCH Calc",'Pivot Table for Fact Book'!$A$3,"State","AR","type",7,"Type2","Two-Year")</f>
        <v>0</v>
      </c>
      <c r="S6" s="93">
        <f>GETPIVOTDATA("Sum of NEW-Tot UG SCH Calc",'Pivot Table for Fact Book'!$A$3,"State","AR","type",7,"Type2","Two-Year")</f>
        <v>0</v>
      </c>
      <c r="T6" s="93">
        <f>GETPIVOTDATA("Sum of OLD-Tot UG SCH Calc",'Pivot Table for Fact Book'!$A$3,"State","AR","type",8,"Type2","Two-Year")</f>
        <v>151510</v>
      </c>
      <c r="U6" s="93">
        <f>GETPIVOTDATA("Sum of NEW-Tot UG SCH Calc",'Pivot Table for Fact Book'!$A$3,"State","AR","type",8,"Type2","Two-Year")</f>
        <v>131465</v>
      </c>
      <c r="V6" s="93">
        <f>GETPIVOTDATA("Sum of OLD-Tot UG SCH Calc",'Pivot Table for Fact Book'!$A$3,"State","AR","type",9,"Type2","Two-Year")</f>
        <v>190354</v>
      </c>
      <c r="W6" s="93">
        <f>GETPIVOTDATA("Sum of NEW-Tot UG SCH Calc",'Pivot Table for Fact Book'!$A$3,"State","AR","type",9,"Type2","Two-Year")</f>
        <v>170458</v>
      </c>
      <c r="X6" s="93">
        <f>GETPIVOTDATA("Sum of OLD-Tot UG SCH Calc",'Pivot Table for Fact Book'!$A$3,"State","AR","type",10,"Type2","Two-Year")</f>
        <v>583040</v>
      </c>
      <c r="Y6" s="93">
        <f>GETPIVOTDATA("Sum of NEW-Tot UG SCH Calc",'Pivot Table for Fact Book'!$A$3,"State","AR","type",10,"Type2","Two-Year")</f>
        <v>527076</v>
      </c>
      <c r="Z6" s="95">
        <f>GETPIVOTDATA("Sum of OLD-Tot UG SCH Calc",'Pivot Table for Fact Book'!$A$3,"State","AR","Type2","Two-Year")</f>
        <v>924904</v>
      </c>
      <c r="AA6" s="95">
        <f>GETPIVOTDATA("Sum of NEW-Tot UG SCH Calc",'Pivot Table for Fact Book'!$A$3,"State","AR","Type2","Two-Year")</f>
        <v>828999</v>
      </c>
      <c r="AB6" s="92">
        <f>+GETPIVOTDATA("Sum of OLD-Tot UG SCH Calc",'Pivot Table for Fact Book'!$A$3,"State","AR","type",12,"type2","Techncial")</f>
        <v>0</v>
      </c>
      <c r="AC6" s="93">
        <f>+GETPIVOTDATA("Sum of NEW-Tot UG SCH Calc",'Pivot Table for Fact Book'!$A$3,"State","AR","type",12,"type2","Techncial")</f>
        <v>0</v>
      </c>
      <c r="AD6" s="92">
        <f>+GETPIVOTDATA("Sum of OLD-Tot UG SCH Calc",'Pivot Table for Fact Book'!$A$3,"State","AR","type",13,"type2","Techncial")</f>
        <v>0</v>
      </c>
      <c r="AE6" s="93">
        <f>+GETPIVOTDATA("Sum of NEW-Tot UG SCH Calc",'Pivot Table for Fact Book'!$A$3,"State","AR","type",13,"type2","Techncial")</f>
        <v>0</v>
      </c>
      <c r="AF6" s="96">
        <f>+GETPIVOTDATA("Sum of OLD-Tot UG SCH Calc",'Pivot Table for Fact Book'!$A$3,"State","AR","type2","Techncial")</f>
        <v>0</v>
      </c>
      <c r="AG6" s="97">
        <f>+GETPIVOTDATA("Sum of NEW-Tot UG SCH Calc",'Pivot Table for Fact Book'!$A$3,"State","AR","type2","Techncial")</f>
        <v>0</v>
      </c>
    </row>
    <row r="7" spans="1:33">
      <c r="A7" s="105" t="s">
        <v>620</v>
      </c>
      <c r="B7" s="92">
        <f>GETPIVOTDATA("Sum of OLD-Tot UG SCH Calc",'Pivot Table for Fact Book'!$A$3,"State","DE","type",1,"Type2","Four-Year")</f>
        <v>600612</v>
      </c>
      <c r="C7" s="93">
        <f>GETPIVOTDATA("Sum of NEW-Tot UG SCH Calc",'Pivot Table for Fact Book'!$A$3,"State","DE","type",1,"Type2","Four-Year")</f>
        <v>595830</v>
      </c>
      <c r="D7" s="92">
        <f>GETPIVOTDATA("Sum of OLD-Tot UG SCH Calc",'Pivot Table for Fact Book'!$A$3,"State","DE","type",2,"Type2","Four-Year")</f>
        <v>0</v>
      </c>
      <c r="E7" s="93">
        <f>GETPIVOTDATA("Sum of NEW-Tot UG SCH Calc",'Pivot Table for Fact Book'!$A$3,"State","DE","type",2,"Type2","Four-Year")</f>
        <v>0</v>
      </c>
      <c r="F7" s="92">
        <f>GETPIVOTDATA("Sum of OLD-Tot UG SCH Calc",'Pivot Table for Fact Book'!$A$3,"State","DE","type",3,"Type2","Four-Year")</f>
        <v>131706</v>
      </c>
      <c r="G7" s="93">
        <f>GETPIVOTDATA("Sum of NEW-Tot UG SCH Calc",'Pivot Table for Fact Book'!$A$3,"State","DE","type",3,"Type2","Four-Year")</f>
        <v>128986</v>
      </c>
      <c r="H7" s="92">
        <f>GETPIVOTDATA("Sum of OLD-Tot UG SCH Calc",'Pivot Table for Fact Book'!$A$3,"State","DE","type",4,"Type2","Four-Year")</f>
        <v>0</v>
      </c>
      <c r="I7" s="93">
        <f>GETPIVOTDATA("Sum of NEW-Tot UG SCH Calc",'Pivot Table for Fact Book'!$A$3,"State","DE","type",4,"Type2","Four-Year")</f>
        <v>0</v>
      </c>
      <c r="J7" s="92">
        <f>GETPIVOTDATA("Sum of OLD-Tot UG SCH Calc",'Pivot Table for Fact Book'!$A$3,"State","DE","type",5,"Type2","Four-Year")</f>
        <v>0</v>
      </c>
      <c r="K7" s="93">
        <f>GETPIVOTDATA("Sum of NEW-Tot UG SCH Calc",'Pivot Table for Fact Book'!$A$3,"State","DE","type",5,"Type2","Four-Year")</f>
        <v>0</v>
      </c>
      <c r="L7" s="92">
        <f>GETPIVOTDATA("Sum of OLD-Tot UG SCH Calc",'Pivot Table for Fact Book'!$A$3,"State","DE","type",6,"Type2","Four-Year")</f>
        <v>0</v>
      </c>
      <c r="M7" s="93">
        <f>GETPIVOTDATA("Sum of NEW-Tot UG SCH Calc",'Pivot Table for Fact Book'!$A$3,"State","DE","type",6,"Type2","Four-Year")</f>
        <v>0</v>
      </c>
      <c r="N7" s="92">
        <f>GETPIVOTDATA("Sum of OLD-Tot UG SCH Calc",'Pivot Table for Fact Book'!$A$3,"State","DE","type",15,"Type2","Four-Year")</f>
        <v>0</v>
      </c>
      <c r="O7" s="93">
        <f>GETPIVOTDATA("Sum of NEW-Tot UG SCH Calc",'Pivot Table for Fact Book'!$A$3,"State","DE","type",15,"Type2","Four-Year")</f>
        <v>0</v>
      </c>
      <c r="P7" s="94">
        <f>GETPIVOTDATA("Sum of OLD-Tot UG SCH Calc",'Pivot Table for Fact Book'!$A$3,"State","DE","Type2","Four-Year")</f>
        <v>732318</v>
      </c>
      <c r="Q7" s="94">
        <f>GETPIVOTDATA("Sum of NEW-Tot UG SCH Calc",'Pivot Table for Fact Book'!$A$3,"State","DE","Type2","Four-Year")</f>
        <v>724816</v>
      </c>
      <c r="R7" s="92">
        <f>GETPIVOTDATA("Sum of OLD-Tot UG SCH Calc",'Pivot Table for Fact Book'!$A$3,"State","DE","type",7,"Type2","Two-Year")</f>
        <v>240081</v>
      </c>
      <c r="S7" s="93">
        <f>GETPIVOTDATA("Sum of NEW-Tot UG SCH Calc",'Pivot Table for Fact Book'!$A$3,"State","DE","type",7,"Type2","Two-Year")</f>
        <v>228100</v>
      </c>
      <c r="T7" s="93">
        <f>GETPIVOTDATA("Sum of OLD-Tot UG SCH Calc",'Pivot Table for Fact Book'!$A$3,"State","DE","type",8,"Type2","Two-Year")</f>
        <v>0</v>
      </c>
      <c r="U7" s="93">
        <f>GETPIVOTDATA("Sum of NEW-Tot UG SCH Calc",'Pivot Table for Fact Book'!$A$3,"State","DE","type",8,"Type2","Two-Year")</f>
        <v>0</v>
      </c>
      <c r="V7" s="93">
        <f>GETPIVOTDATA("Sum of OLD-Tot UG SCH Calc",'Pivot Table for Fact Book'!$A$3,"State","DE","type",9,"Type2","Two-Year")</f>
        <v>0</v>
      </c>
      <c r="W7" s="93">
        <f>GETPIVOTDATA("Sum of NEW-Tot UG SCH Calc",'Pivot Table for Fact Book'!$A$3,"State","DE","type",9,"Type2","Two-Year")</f>
        <v>0</v>
      </c>
      <c r="X7" s="93">
        <f>GETPIVOTDATA("Sum of OLD-Tot UG SCH Calc",'Pivot Table for Fact Book'!$A$3,"State","DE","type",10,"Type2","Two-Year")</f>
        <v>0</v>
      </c>
      <c r="Y7" s="93">
        <f>GETPIVOTDATA("Sum of NEW-Tot UG SCH Calc",'Pivot Table for Fact Book'!$A$3,"State","DE","type",10,"Type2","Two-Year")</f>
        <v>0</v>
      </c>
      <c r="Z7" s="95">
        <f>GETPIVOTDATA("Sum of OLD-Tot UG SCH Calc",'Pivot Table for Fact Book'!$A$3,"State","DE","Type2","Two-Year")</f>
        <v>240081</v>
      </c>
      <c r="AA7" s="95">
        <f>GETPIVOTDATA("Sum of NEW-Tot UG SCH Calc",'Pivot Table for Fact Book'!$A$3,"State","DE","Type2","Two-Year")</f>
        <v>228100</v>
      </c>
      <c r="AB7" s="92">
        <f>+GETPIVOTDATA("Sum of OLD-Tot UG SCH Calc",'Pivot Table for Fact Book'!$A$3,"State","DE","type",12,"type2","Techncial")</f>
        <v>0</v>
      </c>
      <c r="AC7" s="93">
        <f>+GETPIVOTDATA("Sum of NEW-Tot UG SCH Calc",'Pivot Table for Fact Book'!$A$3,"State","DE","type",12,"type2","Techncial")</f>
        <v>0</v>
      </c>
      <c r="AD7" s="92">
        <f>+GETPIVOTDATA("Sum of OLD-Tot UG SCH Calc",'Pivot Table for Fact Book'!$A$3,"State","DE","type",13,"type2","Techncial")</f>
        <v>0</v>
      </c>
      <c r="AE7" s="93">
        <f>+GETPIVOTDATA("Sum of NEW-Tot UG SCH Calc",'Pivot Table for Fact Book'!$A$3,"State","DE","type",13,"type2","Techncial")</f>
        <v>0</v>
      </c>
      <c r="AF7" s="96">
        <f>+GETPIVOTDATA("Sum of OLD-Tot UG SCH Calc",'Pivot Table for Fact Book'!$A$3,"State","DE","type2","Techncial")</f>
        <v>0</v>
      </c>
      <c r="AG7" s="97">
        <f>+GETPIVOTDATA("Sum of NEW-Tot UG SCH Calc",'Pivot Table for Fact Book'!$A$3,"State","DE","type2","Techncial")</f>
        <v>0</v>
      </c>
    </row>
    <row r="8" spans="1:33">
      <c r="A8" s="105" t="s">
        <v>621</v>
      </c>
      <c r="B8" s="92">
        <f>GETPIVOTDATA("Sum of OLD-Tot UG SCH Calc",'Pivot Table for Fact Book'!$A$3,"State","FL","type",1,"Type2","Four-Year")</f>
        <v>0</v>
      </c>
      <c r="C8" s="93">
        <f>GETPIVOTDATA("Sum of NEW-Tot UG SCH Calc",'Pivot Table for Fact Book'!$A$3,"State","FL","type",1,"Type2","Four-Year")</f>
        <v>0</v>
      </c>
      <c r="D8" s="92">
        <f>GETPIVOTDATA("Sum of OLD-Tot UG SCH Calc",'Pivot Table for Fact Book'!$A$3,"State","FL","type",2,"Type2","Four-Year")</f>
        <v>0</v>
      </c>
      <c r="E8" s="93">
        <f>GETPIVOTDATA("Sum of NEW-Tot UG SCH Calc",'Pivot Table for Fact Book'!$A$3,"State","FL","type",2,"Type2","Four-Year")</f>
        <v>0</v>
      </c>
      <c r="F8" s="92">
        <f>GETPIVOTDATA("Sum of OLD-Tot UG SCH Calc",'Pivot Table for Fact Book'!$A$3,"State","FL","type",3,"Type2","Four-Year")</f>
        <v>0</v>
      </c>
      <c r="G8" s="93">
        <f>GETPIVOTDATA("Sum of NEW-Tot UG SCH Calc",'Pivot Table for Fact Book'!$A$3,"State","FL","type",3,"Type2","Four-Year")</f>
        <v>0</v>
      </c>
      <c r="H8" s="92">
        <f>GETPIVOTDATA("Sum of OLD-Tot UG SCH Calc",'Pivot Table for Fact Book'!$A$3,"State","FL","type",4,"Type2","Four-Year")</f>
        <v>0</v>
      </c>
      <c r="I8" s="93">
        <f>GETPIVOTDATA("Sum of NEW-Tot UG SCH Calc",'Pivot Table for Fact Book'!$A$3,"State","FL","type",4,"Type2","Four-Year")</f>
        <v>0</v>
      </c>
      <c r="J8" s="92">
        <f>GETPIVOTDATA("Sum of OLD-Tot UG SCH Calc",'Pivot Table for Fact Book'!$A$3,"State","FL","type",5,"Type2","Four-Year")</f>
        <v>0</v>
      </c>
      <c r="K8" s="93">
        <f>GETPIVOTDATA("Sum of NEW-Tot UG SCH Calc",'Pivot Table for Fact Book'!$A$3,"State","FL","type",5,"Type2","Four-Year")</f>
        <v>0</v>
      </c>
      <c r="L8" s="92">
        <f>GETPIVOTDATA("Sum of OLD-Tot UG SCH Calc",'Pivot Table for Fact Book'!$A$3,"State","FL","type",6,"Type2","Four-Year")</f>
        <v>0</v>
      </c>
      <c r="M8" s="93">
        <f>GETPIVOTDATA("Sum of NEW-Tot UG SCH Calc",'Pivot Table for Fact Book'!$A$3,"State","FL","type",6,"Type2","Four-Year")</f>
        <v>0</v>
      </c>
      <c r="N8" s="92">
        <f>GETPIVOTDATA("Sum of OLD-Tot UG SCH Calc",'Pivot Table for Fact Book'!$A$3,"State","FL","type",15,"Type2","Four-Year")</f>
        <v>0</v>
      </c>
      <c r="O8" s="93">
        <f>GETPIVOTDATA("Sum of NEW-Tot UG SCH Calc",'Pivot Table for Fact Book'!$A$3,"State","FL","type",15,"Type2","Four-Year")</f>
        <v>0</v>
      </c>
      <c r="P8" s="94">
        <f>GETPIVOTDATA("Sum of OLD-Tot UG SCH Calc",'Pivot Table for Fact Book'!$A$3,"State","FL","Type2","Four-Year")</f>
        <v>0</v>
      </c>
      <c r="Q8" s="94">
        <f>GETPIVOTDATA("Sum of NEW-Tot UG SCH Calc",'Pivot Table for Fact Book'!$A$3,"State","FL","Type2","Four-Year")</f>
        <v>0</v>
      </c>
      <c r="R8" s="92">
        <f>GETPIVOTDATA("Sum of OLD-Tot UG SCH Calc",'Pivot Table for Fact Book'!$A$3,"State","FL","type",7,"Type2","Two-Year")</f>
        <v>7888321</v>
      </c>
      <c r="S8" s="93">
        <f>GETPIVOTDATA("Sum of NEW-Tot UG SCH Calc",'Pivot Table for Fact Book'!$A$3,"State","FL","type",7,"Type2","Two-Year")</f>
        <v>7196110</v>
      </c>
      <c r="T8" s="93">
        <f>GETPIVOTDATA("Sum of OLD-Tot UG SCH Calc",'Pivot Table for Fact Book'!$A$3,"State","FL","type",8,"Type2","Two-Year")</f>
        <v>819310</v>
      </c>
      <c r="U8" s="93">
        <f>GETPIVOTDATA("Sum of NEW-Tot UG SCH Calc",'Pivot Table for Fact Book'!$A$3,"State","FL","type",8,"Type2","Two-Year")</f>
        <v>788424</v>
      </c>
      <c r="V8" s="93">
        <f>GETPIVOTDATA("Sum of OLD-Tot UG SCH Calc",'Pivot Table for Fact Book'!$A$3,"State","FL","type",9,"Type2","Two-Year")</f>
        <v>0</v>
      </c>
      <c r="W8" s="93">
        <f>GETPIVOTDATA("Sum of NEW-Tot UG SCH Calc",'Pivot Table for Fact Book'!$A$3,"State","FL","type",9,"Type2","Two-Year")</f>
        <v>0</v>
      </c>
      <c r="X8" s="93">
        <f>GETPIVOTDATA("Sum of OLD-Tot UG SCH Calc",'Pivot Table for Fact Book'!$A$3,"State","FL","type",10,"Type2","Two-Year")</f>
        <v>42742</v>
      </c>
      <c r="Y8" s="93">
        <f>GETPIVOTDATA("Sum of NEW-Tot UG SCH Calc",'Pivot Table for Fact Book'!$A$3,"State","FL","type",10,"Type2","Two-Year")</f>
        <v>43730</v>
      </c>
      <c r="Z8" s="95">
        <f>GETPIVOTDATA("Sum of OLD-Tot UG SCH Calc",'Pivot Table for Fact Book'!$A$3,"State","FL","Type2","Two-Year")</f>
        <v>8750373</v>
      </c>
      <c r="AA8" s="95">
        <f>GETPIVOTDATA("Sum of NEW-Tot UG SCH Calc",'Pivot Table for Fact Book'!$A$3,"State","FL","Type2","Two-Year")</f>
        <v>8028264</v>
      </c>
      <c r="AB8" s="92">
        <f>+GETPIVOTDATA("Sum of OLD-Tot UG SCH Calc",'Pivot Table for Fact Book'!$A$3,"State","FL","type",12,"type2","Techncial")</f>
        <v>0</v>
      </c>
      <c r="AC8" s="93">
        <f>+GETPIVOTDATA("Sum of NEW-Tot UG SCH Calc",'Pivot Table for Fact Book'!$A$3,"State","FL","type",12,"type2","Techncial")</f>
        <v>0</v>
      </c>
      <c r="AD8" s="92">
        <f>+GETPIVOTDATA("Sum of OLD-Tot UG SCH Calc",'Pivot Table for Fact Book'!$A$3,"State","FL","type",13,"type2","Techncial")</f>
        <v>0</v>
      </c>
      <c r="AE8" s="93">
        <f>+GETPIVOTDATA("Sum of NEW-Tot UG SCH Calc",'Pivot Table for Fact Book'!$A$3,"State","FL","type",13,"type2","Techncial")</f>
        <v>0</v>
      </c>
      <c r="AF8" s="96">
        <f>+GETPIVOTDATA("Sum of OLD-Tot UG SCH Calc",'Pivot Table for Fact Book'!$A$3,"State","FL","type2","Techncial")</f>
        <v>0</v>
      </c>
      <c r="AG8" s="97">
        <f>+GETPIVOTDATA("Sum of NEW-Tot UG SCH Calc",'Pivot Table for Fact Book'!$A$3,"State","FL","type2","Techncial")</f>
        <v>0</v>
      </c>
    </row>
    <row r="9" spans="1:33">
      <c r="A9" s="105" t="s">
        <v>622</v>
      </c>
      <c r="B9" s="92">
        <f>GETPIVOTDATA("Sum of OLD-Tot UG SCH Calc",'Pivot Table for Fact Book'!$A$3,"State","GA","type",1,"Type2","Four-Year")</f>
        <v>2036165.5</v>
      </c>
      <c r="C9" s="93">
        <f>GETPIVOTDATA("Sum of NEW-Tot UG SCH Calc",'Pivot Table for Fact Book'!$A$3,"State","GA","type",1,"Type2","Four-Year")</f>
        <v>1943252.5</v>
      </c>
      <c r="D9" s="92">
        <f>GETPIVOTDATA("Sum of OLD-Tot UG SCH Calc",'Pivot Table for Fact Book'!$A$3,"State","GA","type",2,"Type2","Four-Year")</f>
        <v>481969.97</v>
      </c>
      <c r="E9" s="93">
        <f>GETPIVOTDATA("Sum of NEW-Tot UG SCH Calc",'Pivot Table for Fact Book'!$A$3,"State","GA","type",2,"Type2","Four-Year")</f>
        <v>479302</v>
      </c>
      <c r="F9" s="92">
        <f>GETPIVOTDATA("Sum of OLD-Tot UG SCH Calc",'Pivot Table for Fact Book'!$A$3,"State","GA","type",3,"Type2","Four-Year")</f>
        <v>2138152</v>
      </c>
      <c r="G9" s="93">
        <f>GETPIVOTDATA("Sum of NEW-Tot UG SCH Calc",'Pivot Table for Fact Book'!$A$3,"State","GA","type",3,"Type2","Four-Year")</f>
        <v>2147636</v>
      </c>
      <c r="H9" s="92">
        <f>GETPIVOTDATA("Sum of OLD-Tot UG SCH Calc",'Pivot Table for Fact Book'!$A$3,"State","GA","type",4,"Type2","Four-Year")</f>
        <v>1339602</v>
      </c>
      <c r="I9" s="93">
        <f>GETPIVOTDATA("Sum of NEW-Tot UG SCH Calc",'Pivot Table for Fact Book'!$A$3,"State","GA","type",4,"Type2","Four-Year")</f>
        <v>1269195.5</v>
      </c>
      <c r="J9" s="92">
        <f>GETPIVOTDATA("Sum of OLD-Tot UG SCH Calc",'Pivot Table for Fact Book'!$A$3,"State","GA","type",5,"Type2","Four-Year")</f>
        <v>358198</v>
      </c>
      <c r="K9" s="93">
        <f>GETPIVOTDATA("Sum of NEW-Tot UG SCH Calc",'Pivot Table for Fact Book'!$A$3,"State","GA","type",5,"Type2","Four-Year")</f>
        <v>338671</v>
      </c>
      <c r="L9" s="92">
        <f>GETPIVOTDATA("Sum of OLD-Tot UG SCH Calc",'Pivot Table for Fact Book'!$A$3,"State","GA","type",6,"Type2","Four-Year")</f>
        <v>671934</v>
      </c>
      <c r="M9" s="93">
        <f>GETPIVOTDATA("Sum of NEW-Tot UG SCH Calc",'Pivot Table for Fact Book'!$A$3,"State","GA","type",6,"Type2","Four-Year")</f>
        <v>619916</v>
      </c>
      <c r="N9" s="92">
        <f>GETPIVOTDATA("Sum of OLD-Tot UG SCH Calc",'Pivot Table for Fact Book'!$A$3,"State","GA","type",15,"Type2","Four-Year")</f>
        <v>0</v>
      </c>
      <c r="O9" s="93">
        <f>GETPIVOTDATA("Sum of NEW-Tot UG SCH Calc",'Pivot Table for Fact Book'!$A$3,"State","GA","type",15,"Type2","Four-Year")</f>
        <v>0</v>
      </c>
      <c r="P9" s="94">
        <f>GETPIVOTDATA("Sum of OLD-Tot UG SCH Calc",'Pivot Table for Fact Book'!$A$3,"State","GA","Type2","Four-Year")</f>
        <v>7026021.4699999997</v>
      </c>
      <c r="Q9" s="94">
        <f>GETPIVOTDATA("Sum of NEW-Tot UG SCH Calc",'Pivot Table for Fact Book'!$A$3,"State","GA","Type2","Four-Year")</f>
        <v>6797973</v>
      </c>
      <c r="R9" s="92">
        <f>GETPIVOTDATA("Sum of OLD-Tot UG SCH Calc",'Pivot Table for Fact Book'!$A$3,"State","GA","type",7,"Type2","Two-Year")</f>
        <v>276933</v>
      </c>
      <c r="S9" s="93">
        <f>GETPIVOTDATA("Sum of NEW-Tot UG SCH Calc",'Pivot Table for Fact Book'!$A$3,"State","GA","type",7,"Type2","Two-Year")</f>
        <v>237728</v>
      </c>
      <c r="T9" s="93">
        <f>GETPIVOTDATA("Sum of OLD-Tot UG SCH Calc",'Pivot Table for Fact Book'!$A$3,"State","GA","type",8,"Type2","Two-Year")</f>
        <v>0</v>
      </c>
      <c r="U9" s="93">
        <f>GETPIVOTDATA("Sum of NEW-Tot UG SCH Calc",'Pivot Table for Fact Book'!$A$3,"State","GA","type",8,"Type2","Two-Year")</f>
        <v>0</v>
      </c>
      <c r="V9" s="93">
        <f>GETPIVOTDATA("Sum of OLD-Tot UG SCH Calc",'Pivot Table for Fact Book'!$A$3,"State","GA","type",9,"Type2","Two-Year")</f>
        <v>0</v>
      </c>
      <c r="W9" s="93">
        <f>GETPIVOTDATA("Sum of NEW-Tot UG SCH Calc",'Pivot Table for Fact Book'!$A$3,"State","GA","type",9,"Type2","Two-Year")</f>
        <v>0</v>
      </c>
      <c r="X9" s="93">
        <f>GETPIVOTDATA("Sum of OLD-Tot UG SCH Calc",'Pivot Table for Fact Book'!$A$3,"State","GA","type",10,"Type2","Two-Year")</f>
        <v>0</v>
      </c>
      <c r="Y9" s="93">
        <f>GETPIVOTDATA("Sum of NEW-Tot UG SCH Calc",'Pivot Table for Fact Book'!$A$3,"State","GA","type",10,"Type2","Two-Year")</f>
        <v>0</v>
      </c>
      <c r="Z9" s="95">
        <f>GETPIVOTDATA("Sum of OLD-Tot UG SCH Calc",'Pivot Table for Fact Book'!$A$3,"State","GA","Type2","Two-Year")</f>
        <v>276933</v>
      </c>
      <c r="AA9" s="95">
        <f>GETPIVOTDATA("Sum of NEW-Tot UG SCH Calc",'Pivot Table for Fact Book'!$A$3,"State","GA","Type2","Two-Year")</f>
        <v>237728</v>
      </c>
      <c r="AB9" s="92">
        <f>+GETPIVOTDATA("Sum of OLD-Tot UG SCH Calc",'Pivot Table for Fact Book'!$A$3,"State","GA","type",12,"type2","Techncial")</f>
        <v>1956370.5</v>
      </c>
      <c r="AC9" s="93">
        <f>+GETPIVOTDATA("Sum of NEW-Tot UG SCH Calc",'Pivot Table for Fact Book'!$A$3,"State","GA","type",12,"type2","Techncial")</f>
        <v>1811553.5</v>
      </c>
      <c r="AD9" s="92">
        <f>+GETPIVOTDATA("Sum of OLD-Tot UG SCH Calc",'Pivot Table for Fact Book'!$A$3,"State","GA","type",13,"type2","Techncial")</f>
        <v>0</v>
      </c>
      <c r="AE9" s="93">
        <f>+GETPIVOTDATA("Sum of NEW-Tot UG SCH Calc",'Pivot Table for Fact Book'!$A$3,"State","GA","type",13,"type2","Techncial")</f>
        <v>0</v>
      </c>
      <c r="AF9" s="96">
        <f>+GETPIVOTDATA("Sum of OLD-Tot UG SCH Calc",'Pivot Table for Fact Book'!$A$3,"State","GA","type2","Techncial")</f>
        <v>1956370.5</v>
      </c>
      <c r="AG9" s="97">
        <f>+GETPIVOTDATA("Sum of NEW-Tot UG SCH Calc",'Pivot Table for Fact Book'!$A$3,"State","GA","type2","Techncial")</f>
        <v>1811553.5</v>
      </c>
    </row>
    <row r="10" spans="1:33">
      <c r="A10" s="105" t="s">
        <v>623</v>
      </c>
      <c r="B10" s="92">
        <f>GETPIVOTDATA("Sum of OLD-Tot UG SCH Calc",'Pivot Table for Fact Book'!$A$3,"State","KY","type",1,"Type2","Four-Year")</f>
        <v>996378</v>
      </c>
      <c r="C10" s="93">
        <f>GETPIVOTDATA("Sum of NEW-Tot UG SCH Calc",'Pivot Table for Fact Book'!$A$3,"State","KY","type",1,"Type2","Four-Year")</f>
        <v>969895</v>
      </c>
      <c r="D10" s="92">
        <f>GETPIVOTDATA("Sum of OLD-Tot UG SCH Calc",'Pivot Table for Fact Book'!$A$3,"State","KY","type",2,"Type2","Four-Year")</f>
        <v>0</v>
      </c>
      <c r="E10" s="93">
        <f>GETPIVOTDATA("Sum of NEW-Tot UG SCH Calc",'Pivot Table for Fact Book'!$A$3,"State","KY","type",2,"Type2","Four-Year")</f>
        <v>0</v>
      </c>
      <c r="F10" s="92">
        <f>GETPIVOTDATA("Sum of OLD-Tot UG SCH Calc",'Pivot Table for Fact Book'!$A$3,"State","KY","type",3,"Type2","Four-Year")</f>
        <v>1428500</v>
      </c>
      <c r="G10" s="93">
        <f>GETPIVOTDATA("Sum of NEW-Tot UG SCH Calc",'Pivot Table for Fact Book'!$A$3,"State","KY","type",3,"Type2","Four-Year")</f>
        <v>1360238</v>
      </c>
      <c r="H10" s="92">
        <f>GETPIVOTDATA("Sum of OLD-Tot UG SCH Calc",'Pivot Table for Fact Book'!$A$3,"State","KY","type",4,"Type2","Four-Year")</f>
        <v>51840</v>
      </c>
      <c r="I10" s="93">
        <f>GETPIVOTDATA("Sum of NEW-Tot UG SCH Calc",'Pivot Table for Fact Book'!$A$3,"State","KY","type",4,"Type2","Four-Year")</f>
        <v>50944</v>
      </c>
      <c r="J10" s="92">
        <f>GETPIVOTDATA("Sum of OLD-Tot UG SCH Calc",'Pivot Table for Fact Book'!$A$3,"State","KY","type",5,"Type2","Four-Year")</f>
        <v>0</v>
      </c>
      <c r="K10" s="93">
        <f>GETPIVOTDATA("Sum of NEW-Tot UG SCH Calc",'Pivot Table for Fact Book'!$A$3,"State","KY","type",5,"Type2","Four-Year")</f>
        <v>0</v>
      </c>
      <c r="L10" s="92">
        <f>GETPIVOTDATA("Sum of OLD-Tot UG SCH Calc",'Pivot Table for Fact Book'!$A$3,"State","KY","type",6,"Type2","Four-Year")</f>
        <v>0</v>
      </c>
      <c r="M10" s="93">
        <f>GETPIVOTDATA("Sum of NEW-Tot UG SCH Calc",'Pivot Table for Fact Book'!$A$3,"State","KY","type",6,"Type2","Four-Year")</f>
        <v>0</v>
      </c>
      <c r="N10" s="92">
        <f>GETPIVOTDATA("Sum of OLD-Tot UG SCH Calc",'Pivot Table for Fact Book'!$A$3,"State","KY","type",15,"Type2","Four-Year")</f>
        <v>0</v>
      </c>
      <c r="O10" s="93">
        <f>GETPIVOTDATA("Sum of NEW-Tot UG SCH Calc",'Pivot Table for Fact Book'!$A$3,"State","KY","type",15,"Type2","Four-Year")</f>
        <v>0</v>
      </c>
      <c r="P10" s="94">
        <f>GETPIVOTDATA("Sum of OLD-Tot UG SCH Calc",'Pivot Table for Fact Book'!$A$3,"State","KY","Type2","Four-Year")</f>
        <v>2476718</v>
      </c>
      <c r="Q10" s="94">
        <f>GETPIVOTDATA("Sum of NEW-Tot UG SCH Calc",'Pivot Table for Fact Book'!$A$3,"State","KY","Type2","Four-Year")</f>
        <v>2381077</v>
      </c>
      <c r="R10" s="92">
        <f>GETPIVOTDATA("Sum of OLD-Tot UG SCH Calc",'Pivot Table for Fact Book'!$A$3,"State","KY","type",7,"Type2","Two-Year")</f>
        <v>0</v>
      </c>
      <c r="S10" s="93">
        <f>GETPIVOTDATA("Sum of NEW-Tot UG SCH Calc",'Pivot Table for Fact Book'!$A$3,"State","KY","type",7,"Type2","Two-Year")</f>
        <v>0</v>
      </c>
      <c r="T10" s="93">
        <f>GETPIVOTDATA("Sum of OLD-Tot UG SCH Calc",'Pivot Table for Fact Book'!$A$3,"State","KY","type",8,"Type2","Two-Year")</f>
        <v>390784</v>
      </c>
      <c r="U10" s="93">
        <f>GETPIVOTDATA("Sum of NEW-Tot UG SCH Calc",'Pivot Table for Fact Book'!$A$3,"State","KY","type",8,"Type2","Two-Year")</f>
        <v>284657</v>
      </c>
      <c r="V10" s="93">
        <f>GETPIVOTDATA("Sum of OLD-Tot UG SCH Calc",'Pivot Table for Fact Book'!$A$3,"State","KY","type",9,"Type2","Two-Year")</f>
        <v>412388</v>
      </c>
      <c r="W10" s="93">
        <f>GETPIVOTDATA("Sum of NEW-Tot UG SCH Calc",'Pivot Table for Fact Book'!$A$3,"State","KY","type",9,"Type2","Two-Year")</f>
        <v>286176</v>
      </c>
      <c r="X10" s="93">
        <f>GETPIVOTDATA("Sum of OLD-Tot UG SCH Calc",'Pivot Table for Fact Book'!$A$3,"State","KY","type",10,"Type2","Two-Year")</f>
        <v>323150</v>
      </c>
      <c r="Y10" s="93">
        <f>GETPIVOTDATA("Sum of NEW-Tot UG SCH Calc",'Pivot Table for Fact Book'!$A$3,"State","KY","type",10,"Type2","Two-Year")</f>
        <v>218232</v>
      </c>
      <c r="Z10" s="95">
        <f>GETPIVOTDATA("Sum of OLD-Tot UG SCH Calc",'Pivot Table for Fact Book'!$A$3,"State","KY","Type2","Two-Year")</f>
        <v>1126322</v>
      </c>
      <c r="AA10" s="95">
        <f>GETPIVOTDATA("Sum of NEW-Tot UG SCH Calc",'Pivot Table for Fact Book'!$A$3,"State","KY","Type2","Two-Year")</f>
        <v>789065</v>
      </c>
      <c r="AB10" s="92">
        <f>+GETPIVOTDATA("Sum of OLD-Tot UG SCH Calc",'Pivot Table for Fact Book'!$A$3,"State","KY","type",12,"type2","Techncial")</f>
        <v>151220</v>
      </c>
      <c r="AC10" s="93">
        <f>+GETPIVOTDATA("Sum of NEW-Tot UG SCH Calc",'Pivot Table for Fact Book'!$A$3,"State","KY","type",12,"type2","Techncial")</f>
        <v>129801</v>
      </c>
      <c r="AD10" s="92">
        <f>+GETPIVOTDATA("Sum of OLD-Tot UG SCH Calc",'Pivot Table for Fact Book'!$A$3,"State","KY","type",13,"type2","Techncial")</f>
        <v>0</v>
      </c>
      <c r="AE10" s="93">
        <f>+GETPIVOTDATA("Sum of NEW-Tot UG SCH Calc",'Pivot Table for Fact Book'!$A$3,"State","KY","type",13,"type2","Techncial")</f>
        <v>0</v>
      </c>
      <c r="AF10" s="96">
        <f>+GETPIVOTDATA("Sum of OLD-Tot UG SCH Calc",'Pivot Table for Fact Book'!$A$3,"State","KY","type2","Techncial")</f>
        <v>151220</v>
      </c>
      <c r="AG10" s="97">
        <f>+GETPIVOTDATA("Sum of NEW-Tot UG SCH Calc",'Pivot Table for Fact Book'!$A$3,"State","KY","type2","Techncial")</f>
        <v>129801</v>
      </c>
    </row>
    <row r="11" spans="1:33">
      <c r="A11" s="105" t="s">
        <v>624</v>
      </c>
      <c r="B11" s="92">
        <f>GETPIVOTDATA("Sum of OLD-Tot UG SCH Calc",'Pivot Table for Fact Book'!$A$3,"State","LA","type",1,"Type2","Four-Year")</f>
        <v>745363</v>
      </c>
      <c r="C11" s="93">
        <f>GETPIVOTDATA("Sum of NEW-Tot UG SCH Calc",'Pivot Table for Fact Book'!$A$3,"State","LA","type",1,"Type2","Four-Year")</f>
        <v>790236</v>
      </c>
      <c r="D11" s="92">
        <f>GETPIVOTDATA("Sum of OLD-Tot UG SCH Calc",'Pivot Table for Fact Book'!$A$3,"State","LA","type",2,"Type2","Four-Year")</f>
        <v>795412</v>
      </c>
      <c r="E11" s="93">
        <f>GETPIVOTDATA("Sum of NEW-Tot UG SCH Calc",'Pivot Table for Fact Book'!$A$3,"State","LA","type",2,"Type2","Four-Year")</f>
        <v>762404.0000000007</v>
      </c>
      <c r="F11" s="92">
        <f>GETPIVOTDATA("Sum of OLD-Tot UG SCH Calc",'Pivot Table for Fact Book'!$A$3,"State","LA","type",3,"Type2","Four-Year")</f>
        <v>839447.9999999993</v>
      </c>
      <c r="G11" s="93">
        <f>GETPIVOTDATA("Sum of NEW-Tot UG SCH Calc",'Pivot Table for Fact Book'!$A$3,"State","LA","type",3,"Type2","Four-Year")</f>
        <v>796136.00000000047</v>
      </c>
      <c r="H11" s="92">
        <f>GETPIVOTDATA("Sum of OLD-Tot UG SCH Calc",'Pivot Table for Fact Book'!$A$3,"State","LA","type",4,"Type2","Four-Year")</f>
        <v>586975</v>
      </c>
      <c r="I11" s="93">
        <f>GETPIVOTDATA("Sum of NEW-Tot UG SCH Calc",'Pivot Table for Fact Book'!$A$3,"State","LA","type",4,"Type2","Four-Year")</f>
        <v>568392.00000000012</v>
      </c>
      <c r="J11" s="92">
        <f>GETPIVOTDATA("Sum of OLD-Tot UG SCH Calc",'Pivot Table for Fact Book'!$A$3,"State","LA","type",5,"Type2","Four-Year")</f>
        <v>41596</v>
      </c>
      <c r="K11" s="93">
        <f>GETPIVOTDATA("Sum of NEW-Tot UG SCH Calc",'Pivot Table for Fact Book'!$A$3,"State","LA","type",5,"Type2","Four-Year")</f>
        <v>36080</v>
      </c>
      <c r="L11" s="92">
        <f>GETPIVOTDATA("Sum of OLD-Tot UG SCH Calc",'Pivot Table for Fact Book'!$A$3,"State","LA","type",6,"Type2","Four-Year")</f>
        <v>80535</v>
      </c>
      <c r="M11" s="93">
        <f>GETPIVOTDATA("Sum of NEW-Tot UG SCH Calc",'Pivot Table for Fact Book'!$A$3,"State","LA","type",6,"Type2","Four-Year")</f>
        <v>88467</v>
      </c>
      <c r="N11" s="92">
        <f>GETPIVOTDATA("Sum of OLD-Tot UG SCH Calc",'Pivot Table for Fact Book'!$A$3,"State","LA","type",15,"Type2","Four-Year")</f>
        <v>0</v>
      </c>
      <c r="O11" s="93">
        <f>GETPIVOTDATA("Sum of NEW-Tot UG SCH Calc",'Pivot Table for Fact Book'!$A$3,"State","LA","type",15,"Type2","Four-Year")</f>
        <v>0</v>
      </c>
      <c r="P11" s="94">
        <f>GETPIVOTDATA("Sum of OLD-Tot UG SCH Calc",'Pivot Table for Fact Book'!$A$3,"State","LA","Type2","Four-Year")</f>
        <v>3089328.9999999991</v>
      </c>
      <c r="Q11" s="94">
        <f>GETPIVOTDATA("Sum of NEW-Tot UG SCH Calc",'Pivot Table for Fact Book'!$A$3,"State","LA","Type2","Four-Year")</f>
        <v>3041715.0000000009</v>
      </c>
      <c r="R11" s="92">
        <f>GETPIVOTDATA("Sum of OLD-Tot UG SCH Calc",'Pivot Table for Fact Book'!$A$3,"State","LA","type",7,"Type2","Two-Year")</f>
        <v>0</v>
      </c>
      <c r="S11" s="93">
        <f>GETPIVOTDATA("Sum of NEW-Tot UG SCH Calc",'Pivot Table for Fact Book'!$A$3,"State","LA","type",7,"Type2","Two-Year")</f>
        <v>0</v>
      </c>
      <c r="T11" s="93">
        <f>GETPIVOTDATA("Sum of OLD-Tot UG SCH Calc",'Pivot Table for Fact Book'!$A$3,"State","LA","type",8,"Type2","Two-Year")</f>
        <v>430515</v>
      </c>
      <c r="U11" s="93">
        <f>GETPIVOTDATA("Sum of NEW-Tot UG SCH Calc",'Pivot Table for Fact Book'!$A$3,"State","LA","type",8,"Type2","Two-Year")</f>
        <v>404262.99999999971</v>
      </c>
      <c r="V11" s="93">
        <f>GETPIVOTDATA("Sum of OLD-Tot UG SCH Calc",'Pivot Table for Fact Book'!$A$3,"State","LA","type",9,"Type2","Two-Year")</f>
        <v>476165</v>
      </c>
      <c r="W11" s="93">
        <f>GETPIVOTDATA("Sum of NEW-Tot UG SCH Calc",'Pivot Table for Fact Book'!$A$3,"State","LA","type",9,"Type2","Two-Year")</f>
        <v>439471</v>
      </c>
      <c r="X11" s="93">
        <f>GETPIVOTDATA("Sum of OLD-Tot UG SCH Calc",'Pivot Table for Fact Book'!$A$3,"State","LA","type",10,"Type2","Two-Year")</f>
        <v>103171</v>
      </c>
      <c r="Y11" s="93">
        <f>GETPIVOTDATA("Sum of NEW-Tot UG SCH Calc",'Pivot Table for Fact Book'!$A$3,"State","LA","type",10,"Type2","Two-Year")</f>
        <v>89282</v>
      </c>
      <c r="Z11" s="95">
        <f>GETPIVOTDATA("Sum of OLD-Tot UG SCH Calc",'Pivot Table for Fact Book'!$A$3,"State","LA","Type2","Two-Year")</f>
        <v>1009851</v>
      </c>
      <c r="AA11" s="95">
        <f>GETPIVOTDATA("Sum of NEW-Tot UG SCH Calc",'Pivot Table for Fact Book'!$A$3,"State","LA","Type2","Two-Year")</f>
        <v>933015.99999999977</v>
      </c>
      <c r="AB11" s="92">
        <f>+GETPIVOTDATA("Sum of OLD-Tot UG SCH Calc",'Pivot Table for Fact Book'!$A$3,"State","LA","type",12,"type2","Techncial")</f>
        <v>222545</v>
      </c>
      <c r="AC11" s="93">
        <f>+GETPIVOTDATA("Sum of NEW-Tot UG SCH Calc",'Pivot Table for Fact Book'!$A$3,"State","LA","type",12,"type2","Techncial")</f>
        <v>204878</v>
      </c>
      <c r="AD11" s="92">
        <f>+GETPIVOTDATA("Sum of OLD-Tot UG SCH Calc",'Pivot Table for Fact Book'!$A$3,"State","LA","type",13,"type2","Techncial")</f>
        <v>22823</v>
      </c>
      <c r="AE11" s="93">
        <f>+GETPIVOTDATA("Sum of NEW-Tot UG SCH Calc",'Pivot Table for Fact Book'!$A$3,"State","LA","type",13,"type2","Techncial")</f>
        <v>20536.000000000007</v>
      </c>
      <c r="AF11" s="96">
        <f>+GETPIVOTDATA("Sum of OLD-Tot UG SCH Calc",'Pivot Table for Fact Book'!$A$3,"State","LA","type2","Techncial")</f>
        <v>245368</v>
      </c>
      <c r="AG11" s="97">
        <f>+GETPIVOTDATA("Sum of NEW-Tot UG SCH Calc",'Pivot Table for Fact Book'!$A$3,"State","LA","type2","Techncial")</f>
        <v>225414</v>
      </c>
    </row>
    <row r="12" spans="1:33">
      <c r="A12" s="105" t="s">
        <v>625</v>
      </c>
      <c r="B12" s="92">
        <f>GETPIVOTDATA("Sum of OLD-Tot UG SCH Calc",'Pivot Table for Fact Book'!$A$3,"State","MD","type",1,"Type2","Four-Year")</f>
        <v>883046</v>
      </c>
      <c r="C12" s="93">
        <f>GETPIVOTDATA("Sum of NEW-Tot UG SCH Calc",'Pivot Table for Fact Book'!$A$3,"State","MD","type",1,"Type2","Four-Year")</f>
        <v>882237</v>
      </c>
      <c r="D12" s="92">
        <f>GETPIVOTDATA("Sum of OLD-Tot UG SCH Calc",'Pivot Table for Fact Book'!$A$3,"State","MD","type",2,"Type2","Four-Year")</f>
        <v>496313.5</v>
      </c>
      <c r="E12" s="93">
        <f>GETPIVOTDATA("Sum of NEW-Tot UG SCH Calc",'Pivot Table for Fact Book'!$A$3,"State","MD","type",2,"Type2","Four-Year")</f>
        <v>486884</v>
      </c>
      <c r="F12" s="92">
        <f>GETPIVOTDATA("Sum of OLD-Tot UG SCH Calc",'Pivot Table for Fact Book'!$A$3,"State","MD","type",3,"Type2","Four-Year")</f>
        <v>580495</v>
      </c>
      <c r="G12" s="93">
        <f>GETPIVOTDATA("Sum of NEW-Tot UG SCH Calc",'Pivot Table for Fact Book'!$A$3,"State","MD","type",3,"Type2","Four-Year")</f>
        <v>540467</v>
      </c>
      <c r="H12" s="92">
        <f>GETPIVOTDATA("Sum of OLD-Tot UG SCH Calc",'Pivot Table for Fact Book'!$A$3,"State","MD","type",4,"Type2","Four-Year")</f>
        <v>538877</v>
      </c>
      <c r="I12" s="93">
        <f>GETPIVOTDATA("Sum of NEW-Tot UG SCH Calc",'Pivot Table for Fact Book'!$A$3,"State","MD","type",4,"Type2","Four-Year")</f>
        <v>499198</v>
      </c>
      <c r="J12" s="92">
        <f>GETPIVOTDATA("Sum of OLD-Tot UG SCH Calc",'Pivot Table for Fact Book'!$A$3,"State","MD","type",5,"Type2","Four-Year")</f>
        <v>56181</v>
      </c>
      <c r="K12" s="93">
        <f>GETPIVOTDATA("Sum of NEW-Tot UG SCH Calc",'Pivot Table for Fact Book'!$A$3,"State","MD","type",5,"Type2","Four-Year")</f>
        <v>46557</v>
      </c>
      <c r="L12" s="92">
        <f>GETPIVOTDATA("Sum of OLD-Tot UG SCH Calc",'Pivot Table for Fact Book'!$A$3,"State","MD","type",6,"Type2","Four-Year")</f>
        <v>46411.5</v>
      </c>
      <c r="M12" s="93">
        <f>GETPIVOTDATA("Sum of NEW-Tot UG SCH Calc",'Pivot Table for Fact Book'!$A$3,"State","MD","type",6,"Type2","Four-Year")</f>
        <v>47785</v>
      </c>
      <c r="N12" s="92">
        <f>GETPIVOTDATA("Sum of OLD-Tot UG SCH Calc",'Pivot Table for Fact Book'!$A$3,"State","MD","type",15,"Type2","Four-Year")</f>
        <v>891054</v>
      </c>
      <c r="O12" s="93">
        <f>GETPIVOTDATA("Sum of NEW-Tot UG SCH Calc",'Pivot Table for Fact Book'!$A$3,"State","MD","type",15,"Type2","Four-Year")</f>
        <v>880707</v>
      </c>
      <c r="P12" s="94">
        <f>GETPIVOTDATA("Sum of OLD-Tot UG SCH Calc",'Pivot Table for Fact Book'!$A$3,"State","MD","Type2","Four-Year")</f>
        <v>3492378</v>
      </c>
      <c r="Q12" s="94">
        <f>GETPIVOTDATA("Sum of NEW-Tot UG SCH Calc",'Pivot Table for Fact Book'!$A$3,"State","MD","Type2","Four-Year")</f>
        <v>3383835</v>
      </c>
      <c r="R12" s="92">
        <f>GETPIVOTDATA("Sum of OLD-Tot UG SCH Calc",'Pivot Table for Fact Book'!$A$3,"State","MD","type",7,"Type2","Two-Year")</f>
        <v>0</v>
      </c>
      <c r="S12" s="93">
        <f>GETPIVOTDATA("Sum of NEW-Tot UG SCH Calc",'Pivot Table for Fact Book'!$A$3,"State","MD","type",7,"Type2","Two-Year")</f>
        <v>0</v>
      </c>
      <c r="T12" s="93">
        <f>GETPIVOTDATA("Sum of OLD-Tot UG SCH Calc",'Pivot Table for Fact Book'!$A$3,"State","MD","type",8,"Type2","Two-Year")</f>
        <v>1757259.5</v>
      </c>
      <c r="U12" s="93">
        <f>GETPIVOTDATA("Sum of NEW-Tot UG SCH Calc",'Pivot Table for Fact Book'!$A$3,"State","MD","type",8,"Type2","Two-Year")</f>
        <v>1549456</v>
      </c>
      <c r="V12" s="93">
        <f>GETPIVOTDATA("Sum of OLD-Tot UG SCH Calc",'Pivot Table for Fact Book'!$A$3,"State","MD","type",9,"Type2","Two-Year")</f>
        <v>544901.5</v>
      </c>
      <c r="W12" s="93">
        <f>GETPIVOTDATA("Sum of NEW-Tot UG SCH Calc",'Pivot Table for Fact Book'!$A$3,"State","MD","type",9,"Type2","Two-Year")</f>
        <v>475152</v>
      </c>
      <c r="X12" s="93">
        <f>GETPIVOTDATA("Sum of OLD-Tot UG SCH Calc",'Pivot Table for Fact Book'!$A$3,"State","MD","type",10,"Type2","Two-Year")</f>
        <v>178819.25</v>
      </c>
      <c r="Y12" s="93">
        <f>GETPIVOTDATA("Sum of NEW-Tot UG SCH Calc",'Pivot Table for Fact Book'!$A$3,"State","MD","type",10,"Type2","Two-Year")</f>
        <v>156988</v>
      </c>
      <c r="Z12" s="95">
        <f>GETPIVOTDATA("Sum of OLD-Tot UG SCH Calc",'Pivot Table for Fact Book'!$A$3,"State","MD","Type2","Two-Year")</f>
        <v>2480980.25</v>
      </c>
      <c r="AA12" s="95">
        <f>GETPIVOTDATA("Sum of NEW-Tot UG SCH Calc",'Pivot Table for Fact Book'!$A$3,"State","MD","Type2","Two-Year")</f>
        <v>2181596</v>
      </c>
      <c r="AB12" s="92">
        <f>+GETPIVOTDATA("Sum of OLD-Tot UG SCH Calc",'Pivot Table for Fact Book'!$A$3,"State","MD","type",12,"type2","Techncial")</f>
        <v>0</v>
      </c>
      <c r="AC12" s="93">
        <f>+GETPIVOTDATA("Sum of NEW-Tot UG SCH Calc",'Pivot Table for Fact Book'!$A$3,"State","MD","type",12,"type2","Techncial")</f>
        <v>0</v>
      </c>
      <c r="AD12" s="92">
        <f>+GETPIVOTDATA("Sum of OLD-Tot UG SCH Calc",'Pivot Table for Fact Book'!$A$3,"State","MD","type",13,"type2","Techncial")</f>
        <v>0</v>
      </c>
      <c r="AE12" s="93">
        <f>+GETPIVOTDATA("Sum of NEW-Tot UG SCH Calc",'Pivot Table for Fact Book'!$A$3,"State","MD","type",13,"type2","Techncial")</f>
        <v>0</v>
      </c>
      <c r="AF12" s="96">
        <f>+GETPIVOTDATA("Sum of OLD-Tot UG SCH Calc",'Pivot Table for Fact Book'!$A$3,"State","MD","type2","Techncial")</f>
        <v>0</v>
      </c>
      <c r="AG12" s="97">
        <f>+GETPIVOTDATA("Sum of NEW-Tot UG SCH Calc",'Pivot Table for Fact Book'!$A$3,"State","MD","type2","Techncial")</f>
        <v>0</v>
      </c>
    </row>
    <row r="13" spans="1:33">
      <c r="A13" s="105" t="s">
        <v>626</v>
      </c>
      <c r="B13" s="92">
        <f>GETPIVOTDATA("Sum of OLD-Tot UG SCH Calc",'Pivot Table for Fact Book'!$A$3,"State","MS","type",1,"Type2","Four-Year")</f>
        <v>1381582</v>
      </c>
      <c r="C13" s="93">
        <f>GETPIVOTDATA("Sum of NEW-Tot UG SCH Calc",'Pivot Table for Fact Book'!$A$3,"State","MS","type",1,"Type2","Four-Year")</f>
        <v>1328125</v>
      </c>
      <c r="D13" s="92">
        <f>GETPIVOTDATA("Sum of OLD-Tot UG SCH Calc",'Pivot Table for Fact Book'!$A$3,"State","MS","type",2,"Type2","Four-Year")</f>
        <v>132288.5</v>
      </c>
      <c r="E13" s="93">
        <f>GETPIVOTDATA("Sum of NEW-Tot UG SCH Calc",'Pivot Table for Fact Book'!$A$3,"State","MS","type",2,"Type2","Four-Year")</f>
        <v>136390.5</v>
      </c>
      <c r="F13" s="92">
        <f>GETPIVOTDATA("Sum of OLD-Tot UG SCH Calc",'Pivot Table for Fact Book'!$A$3,"State","MS","type",3,"Type2","Four-Year")</f>
        <v>0</v>
      </c>
      <c r="G13" s="93">
        <f>GETPIVOTDATA("Sum of NEW-Tot UG SCH Calc",'Pivot Table for Fact Book'!$A$3,"State","MS","type",3,"Type2","Four-Year")</f>
        <v>0</v>
      </c>
      <c r="H13" s="92">
        <f>GETPIVOTDATA("Sum of OLD-Tot UG SCH Calc",'Pivot Table for Fact Book'!$A$3,"State","MS","type",4,"Type2","Four-Year")</f>
        <v>263076</v>
      </c>
      <c r="I13" s="93">
        <f>GETPIVOTDATA("Sum of NEW-Tot UG SCH Calc",'Pivot Table for Fact Book'!$A$3,"State","MS","type",4,"Type2","Four-Year")</f>
        <v>232921.5</v>
      </c>
      <c r="J13" s="92">
        <f>GETPIVOTDATA("Sum of OLD-Tot UG SCH Calc",'Pivot Table for Fact Book'!$A$3,"State","MS","type",5,"Type2","Four-Year")</f>
        <v>0</v>
      </c>
      <c r="K13" s="93">
        <f>GETPIVOTDATA("Sum of NEW-Tot UG SCH Calc",'Pivot Table for Fact Book'!$A$3,"State","MS","type",5,"Type2","Four-Year")</f>
        <v>0</v>
      </c>
      <c r="L13" s="92">
        <f>GETPIVOTDATA("Sum of OLD-Tot UG SCH Calc",'Pivot Table for Fact Book'!$A$3,"State","MS","type",6,"Type2","Four-Year")</f>
        <v>0</v>
      </c>
      <c r="M13" s="93">
        <f>GETPIVOTDATA("Sum of NEW-Tot UG SCH Calc",'Pivot Table for Fact Book'!$A$3,"State","MS","type",6,"Type2","Four-Year")</f>
        <v>0</v>
      </c>
      <c r="N13" s="92">
        <f>GETPIVOTDATA("Sum of OLD-Tot UG SCH Calc",'Pivot Table for Fact Book'!$A$3,"State","MS","type",15,"Type2","Four-Year")</f>
        <v>0</v>
      </c>
      <c r="O13" s="93">
        <f>GETPIVOTDATA("Sum of NEW-Tot UG SCH Calc",'Pivot Table for Fact Book'!$A$3,"State","MS","type",15,"Type2","Four-Year")</f>
        <v>0</v>
      </c>
      <c r="P13" s="94">
        <f>GETPIVOTDATA("Sum of OLD-Tot UG SCH Calc",'Pivot Table for Fact Book'!$A$3,"State","MS","Type2","Four-Year")</f>
        <v>1776946.5</v>
      </c>
      <c r="Q13" s="94">
        <f>GETPIVOTDATA("Sum of NEW-Tot UG SCH Calc",'Pivot Table for Fact Book'!$A$3,"State","MS","Type2","Four-Year")</f>
        <v>1697437</v>
      </c>
      <c r="R13" s="92">
        <f>GETPIVOTDATA("Sum of OLD-Tot UG SCH Calc",'Pivot Table for Fact Book'!$A$3,"State","MS","type",7,"Type2","Two-Year")</f>
        <v>0</v>
      </c>
      <c r="S13" s="93">
        <f>GETPIVOTDATA("Sum of NEW-Tot UG SCH Calc",'Pivot Table for Fact Book'!$A$3,"State","MS","type",7,"Type2","Two-Year")</f>
        <v>0</v>
      </c>
      <c r="T13" s="93">
        <f>GETPIVOTDATA("Sum of OLD-Tot UG SCH Calc",'Pivot Table for Fact Book'!$A$3,"State","MS","type",8,"Type2","Two-Year")</f>
        <v>784649</v>
      </c>
      <c r="U13" s="93">
        <f>GETPIVOTDATA("Sum of NEW-Tot UG SCH Calc",'Pivot Table for Fact Book'!$A$3,"State","MS","type",8,"Type2","Two-Year")</f>
        <v>775449</v>
      </c>
      <c r="V13" s="93">
        <f>GETPIVOTDATA("Sum of OLD-Tot UG SCH Calc",'Pivot Table for Fact Book'!$A$3,"State","MS","type",9,"Type2","Two-Year")</f>
        <v>811117.5</v>
      </c>
      <c r="W13" s="93">
        <f>GETPIVOTDATA("Sum of NEW-Tot UG SCH Calc",'Pivot Table for Fact Book'!$A$3,"State","MS","type",9,"Type2","Two-Year")</f>
        <v>834734.5</v>
      </c>
      <c r="X13" s="93">
        <f>GETPIVOTDATA("Sum of OLD-Tot UG SCH Calc",'Pivot Table for Fact Book'!$A$3,"State","MS","type",10,"Type2","Two-Year")</f>
        <v>103709</v>
      </c>
      <c r="Y13" s="93">
        <f>GETPIVOTDATA("Sum of NEW-Tot UG SCH Calc",'Pivot Table for Fact Book'!$A$3,"State","MS","type",10,"Type2","Two-Year")</f>
        <v>99990</v>
      </c>
      <c r="Z13" s="95">
        <f>GETPIVOTDATA("Sum of OLD-Tot UG SCH Calc",'Pivot Table for Fact Book'!$A$3,"State","MS","Type2","Two-Year")</f>
        <v>1699475.5</v>
      </c>
      <c r="AA13" s="95">
        <f>GETPIVOTDATA("Sum of NEW-Tot UG SCH Calc",'Pivot Table for Fact Book'!$A$3,"State","MS","Type2","Two-Year")</f>
        <v>1710173.5</v>
      </c>
      <c r="AB13" s="92">
        <f>+GETPIVOTDATA("Sum of OLD-Tot UG SCH Calc",'Pivot Table for Fact Book'!$A$3,"State","MS","type",12,"type2","Techncial")</f>
        <v>0</v>
      </c>
      <c r="AC13" s="93">
        <f>+GETPIVOTDATA("Sum of NEW-Tot UG SCH Calc",'Pivot Table for Fact Book'!$A$3,"State","MS","type",12,"type2","Techncial")</f>
        <v>0</v>
      </c>
      <c r="AD13" s="92">
        <f>+GETPIVOTDATA("Sum of OLD-Tot UG SCH Calc",'Pivot Table for Fact Book'!$A$3,"State","MS","type",13,"type2","Techncial")</f>
        <v>0</v>
      </c>
      <c r="AE13" s="93">
        <f>+GETPIVOTDATA("Sum of NEW-Tot UG SCH Calc",'Pivot Table for Fact Book'!$A$3,"State","MS","type",13,"type2","Techncial")</f>
        <v>0</v>
      </c>
      <c r="AF13" s="96">
        <f>+GETPIVOTDATA("Sum of OLD-Tot UG SCH Calc",'Pivot Table for Fact Book'!$A$3,"State","MS","type2","Techncial")</f>
        <v>0</v>
      </c>
      <c r="AG13" s="97">
        <f>+GETPIVOTDATA("Sum of NEW-Tot UG SCH Calc",'Pivot Table for Fact Book'!$A$3,"State","MS","type2","Techncial")</f>
        <v>0</v>
      </c>
    </row>
    <row r="14" spans="1:33">
      <c r="A14" s="105" t="s">
        <v>627</v>
      </c>
      <c r="B14" s="92">
        <f>GETPIVOTDATA("Sum of OLD-Tot UG SCH Calc",'Pivot Table for Fact Book'!$A$3,"State","NC","type",1,"Type2","Four-Year")</f>
        <v>2454605</v>
      </c>
      <c r="C14" s="93">
        <f>GETPIVOTDATA("Sum of NEW-Tot UG SCH Calc",'Pivot Table for Fact Book'!$A$3,"State","NC","type",1,"Type2","Four-Year")</f>
        <v>2405143.5</v>
      </c>
      <c r="D14" s="92">
        <f>GETPIVOTDATA("Sum of OLD-Tot UG SCH Calc",'Pivot Table for Fact Book'!$A$3,"State","NC","type",2,"Type2","Four-Year")</f>
        <v>951993</v>
      </c>
      <c r="E14" s="93">
        <f>GETPIVOTDATA("Sum of NEW-Tot UG SCH Calc",'Pivot Table for Fact Book'!$A$3,"State","NC","type",2,"Type2","Four-Year")</f>
        <v>944481</v>
      </c>
      <c r="F14" s="92">
        <f>GETPIVOTDATA("Sum of OLD-Tot UG SCH Calc",'Pivot Table for Fact Book'!$A$3,"State","NC","type",3,"Type2","Four-Year")</f>
        <v>1414747</v>
      </c>
      <c r="G14" s="93">
        <f>GETPIVOTDATA("Sum of NEW-Tot UG SCH Calc",'Pivot Table for Fact Book'!$A$3,"State","NC","type",3,"Type2","Four-Year")</f>
        <v>1387041.5</v>
      </c>
      <c r="H14" s="92">
        <f>GETPIVOTDATA("Sum of OLD-Tot UG SCH Calc",'Pivot Table for Fact Book'!$A$3,"State","NC","type",4,"Type2","Four-Year")</f>
        <v>150073</v>
      </c>
      <c r="I14" s="93">
        <f>GETPIVOTDATA("Sum of NEW-Tot UG SCH Calc",'Pivot Table for Fact Book'!$A$3,"State","NC","type",4,"Type2","Four-Year")</f>
        <v>144424</v>
      </c>
      <c r="J14" s="92">
        <f>GETPIVOTDATA("Sum of OLD-Tot UG SCH Calc",'Pivot Table for Fact Book'!$A$3,"State","NC","type",5,"Type2","Four-Year")</f>
        <v>307836</v>
      </c>
      <c r="K14" s="93">
        <f>GETPIVOTDATA("Sum of NEW-Tot UG SCH Calc",'Pivot Table for Fact Book'!$A$3,"State","NC","type",5,"Type2","Four-Year")</f>
        <v>304710.5</v>
      </c>
      <c r="L14" s="92">
        <f>GETPIVOTDATA("Sum of OLD-Tot UG SCH Calc",'Pivot Table for Fact Book'!$A$3,"State","NC","type",6,"Type2","Four-Year")</f>
        <v>146810</v>
      </c>
      <c r="M14" s="93">
        <f>GETPIVOTDATA("Sum of NEW-Tot UG SCH Calc",'Pivot Table for Fact Book'!$A$3,"State","NC","type",6,"Type2","Four-Year")</f>
        <v>145310</v>
      </c>
      <c r="N14" s="92">
        <f>GETPIVOTDATA("Sum of OLD-Tot UG SCH Calc",'Pivot Table for Fact Book'!$A$3,"State","NC","type",15,"Type2","Four-Year")</f>
        <v>26718</v>
      </c>
      <c r="O14" s="93">
        <f>GETPIVOTDATA("Sum of NEW-Tot UG SCH Calc",'Pivot Table for Fact Book'!$A$3,"State","NC","type",15,"Type2","Four-Year")</f>
        <v>26646</v>
      </c>
      <c r="P14" s="94">
        <f>GETPIVOTDATA("Sum of OLD-Tot UG SCH Calc",'Pivot Table for Fact Book'!$A$3,"State","NC","Type2","Four-Year")</f>
        <v>5452782</v>
      </c>
      <c r="Q14" s="94">
        <f>GETPIVOTDATA("Sum of NEW-Tot UG SCH Calc",'Pivot Table for Fact Book'!$A$3,"State","NC","Type2","Four-Year")</f>
        <v>5357756.5</v>
      </c>
      <c r="R14" s="92">
        <f>GETPIVOTDATA("Sum of OLD-Tot UG SCH Calc",'Pivot Table for Fact Book'!$A$3,"State","NC","type",7,"Type2","Two-Year")</f>
        <v>0</v>
      </c>
      <c r="S14" s="93">
        <f>GETPIVOTDATA("Sum of NEW-Tot UG SCH Calc",'Pivot Table for Fact Book'!$A$3,"State","NC","type",7,"Type2","Two-Year")</f>
        <v>0</v>
      </c>
      <c r="T14" s="93">
        <f>GETPIVOTDATA("Sum of OLD-Tot UG SCH Calc",'Pivot Table for Fact Book'!$A$3,"State","NC","type",8,"Type2","Two-Year")</f>
        <v>2090621.5</v>
      </c>
      <c r="U14" s="93">
        <f>GETPIVOTDATA("Sum of NEW-Tot UG SCH Calc",'Pivot Table for Fact Book'!$A$3,"State","NC","type",8,"Type2","Two-Year")</f>
        <v>1963807.5</v>
      </c>
      <c r="V14" s="93">
        <f>GETPIVOTDATA("Sum of OLD-Tot UG SCH Calc",'Pivot Table for Fact Book'!$A$3,"State","NC","type",9,"Type2","Two-Year")</f>
        <v>1639000.8</v>
      </c>
      <c r="W14" s="93">
        <f>GETPIVOTDATA("Sum of NEW-Tot UG SCH Calc",'Pivot Table for Fact Book'!$A$3,"State","NC","type",9,"Type2","Two-Year")</f>
        <v>1528780.9000000001</v>
      </c>
      <c r="X14" s="93">
        <f>GETPIVOTDATA("Sum of OLD-Tot UG SCH Calc",'Pivot Table for Fact Book'!$A$3,"State","NC","type",10,"Type2","Two-Year")</f>
        <v>782854.5</v>
      </c>
      <c r="Y14" s="93">
        <f>GETPIVOTDATA("Sum of NEW-Tot UG SCH Calc",'Pivot Table for Fact Book'!$A$3,"State","NC","type",10,"Type2","Two-Year")</f>
        <v>744618.5</v>
      </c>
      <c r="Z14" s="95">
        <f>GETPIVOTDATA("Sum of OLD-Tot UG SCH Calc",'Pivot Table for Fact Book'!$A$3,"State","NC","Type2","Two-Year")</f>
        <v>4512476.8</v>
      </c>
      <c r="AA14" s="95">
        <f>GETPIVOTDATA("Sum of NEW-Tot UG SCH Calc",'Pivot Table for Fact Book'!$A$3,"State","NC","Type2","Two-Year")</f>
        <v>4237206.9000000004</v>
      </c>
      <c r="AB14" s="92">
        <f>+GETPIVOTDATA("Sum of OLD-Tot UG SCH Calc",'Pivot Table for Fact Book'!$A$3,"State","NC","type",12,"type2","Techncial")</f>
        <v>0</v>
      </c>
      <c r="AC14" s="93">
        <f>+GETPIVOTDATA("Sum of NEW-Tot UG SCH Calc",'Pivot Table for Fact Book'!$A$3,"State","NC","type",12,"type2","Techncial")</f>
        <v>0</v>
      </c>
      <c r="AD14" s="92">
        <f>+GETPIVOTDATA("Sum of OLD-Tot UG SCH Calc",'Pivot Table for Fact Book'!$A$3,"State","NC","type",13,"type2","Techncial")</f>
        <v>0</v>
      </c>
      <c r="AE14" s="93">
        <f>+GETPIVOTDATA("Sum of NEW-Tot UG SCH Calc",'Pivot Table for Fact Book'!$A$3,"State","NC","type",13,"type2","Techncial")</f>
        <v>0</v>
      </c>
      <c r="AF14" s="96">
        <f>+GETPIVOTDATA("Sum of OLD-Tot UG SCH Calc",'Pivot Table for Fact Book'!$A$3,"State","NC","type2","Techncial")</f>
        <v>0</v>
      </c>
      <c r="AG14" s="97">
        <f>+GETPIVOTDATA("Sum of NEW-Tot UG SCH Calc",'Pivot Table for Fact Book'!$A$3,"State","NC","type2","Techncial")</f>
        <v>0</v>
      </c>
    </row>
    <row r="15" spans="1:33">
      <c r="A15" s="105" t="s">
        <v>628</v>
      </c>
      <c r="B15" s="92">
        <f>GETPIVOTDATA("Sum of OLD-Tot UG SCH Calc",'Pivot Table for Fact Book'!$A$3,"State","OK","type",1,"Type2","Four-Year")</f>
        <v>0</v>
      </c>
      <c r="C15" s="93">
        <f>GETPIVOTDATA("Sum of NEW-Tot UG SCH Calc",'Pivot Table for Fact Book'!$A$3,"State","OK","type",1,"Type2","Four-Year")</f>
        <v>0</v>
      </c>
      <c r="D15" s="92">
        <f>GETPIVOTDATA("Sum of OLD-Tot UG SCH Calc",'Pivot Table for Fact Book'!$A$3,"State","OK","type",2,"Type2","Four-Year")</f>
        <v>0</v>
      </c>
      <c r="E15" s="93">
        <f>GETPIVOTDATA("Sum of NEW-Tot UG SCH Calc",'Pivot Table for Fact Book'!$A$3,"State","OK","type",2,"Type2","Four-Year")</f>
        <v>0</v>
      </c>
      <c r="F15" s="92">
        <f>GETPIVOTDATA("Sum of OLD-Tot UG SCH Calc",'Pivot Table for Fact Book'!$A$3,"State","OK","type",3,"Type2","Four-Year")</f>
        <v>0</v>
      </c>
      <c r="G15" s="93">
        <f>GETPIVOTDATA("Sum of NEW-Tot UG SCH Calc",'Pivot Table for Fact Book'!$A$3,"State","OK","type",3,"Type2","Four-Year")</f>
        <v>0</v>
      </c>
      <c r="H15" s="92">
        <f>GETPIVOTDATA("Sum of OLD-Tot UG SCH Calc",'Pivot Table for Fact Book'!$A$3,"State","OK","type",4,"Type2","Four-Year")</f>
        <v>0</v>
      </c>
      <c r="I15" s="93">
        <f>GETPIVOTDATA("Sum of NEW-Tot UG SCH Calc",'Pivot Table for Fact Book'!$A$3,"State","OK","type",4,"Type2","Four-Year")</f>
        <v>0</v>
      </c>
      <c r="J15" s="92">
        <f>GETPIVOTDATA("Sum of OLD-Tot UG SCH Calc",'Pivot Table for Fact Book'!$A$3,"State","OK","type",5,"Type2","Four-Year")</f>
        <v>0</v>
      </c>
      <c r="K15" s="93">
        <f>GETPIVOTDATA("Sum of NEW-Tot UG SCH Calc",'Pivot Table for Fact Book'!$A$3,"State","OK","type",5,"Type2","Four-Year")</f>
        <v>0</v>
      </c>
      <c r="L15" s="92">
        <f>GETPIVOTDATA("Sum of OLD-Tot UG SCH Calc",'Pivot Table for Fact Book'!$A$3,"State","OK","type",6,"Type2","Four-Year")</f>
        <v>0</v>
      </c>
      <c r="M15" s="93">
        <f>GETPIVOTDATA("Sum of NEW-Tot UG SCH Calc",'Pivot Table for Fact Book'!$A$3,"State","OK","type",6,"Type2","Four-Year")</f>
        <v>0</v>
      </c>
      <c r="N15" s="92">
        <f>GETPIVOTDATA("Sum of OLD-Tot UG SCH Calc",'Pivot Table for Fact Book'!$A$3,"State","OK","type",15,"Type2","Four-Year")</f>
        <v>0</v>
      </c>
      <c r="O15" s="93">
        <f>GETPIVOTDATA("Sum of NEW-Tot UG SCH Calc",'Pivot Table for Fact Book'!$A$3,"State","OK","type",15,"Type2","Four-Year")</f>
        <v>0</v>
      </c>
      <c r="P15" s="94">
        <f>GETPIVOTDATA("Sum of OLD-Tot UG SCH Calc",'Pivot Table for Fact Book'!$A$3,"State","OK","Type2","Four-Year")</f>
        <v>0</v>
      </c>
      <c r="Q15" s="94">
        <f>GETPIVOTDATA("Sum of NEW-Tot UG SCH Calc",'Pivot Table for Fact Book'!$A$3,"State","OK","Type2","Four-Year")</f>
        <v>0</v>
      </c>
      <c r="R15" s="92">
        <f>GETPIVOTDATA("Sum of OLD-Tot UG SCH Calc",'Pivot Table for Fact Book'!$A$3,"State","OK","type",7,"Type2","Two-Year")</f>
        <v>0</v>
      </c>
      <c r="S15" s="93">
        <f>GETPIVOTDATA("Sum of NEW-Tot UG SCH Calc",'Pivot Table for Fact Book'!$A$3,"State","OK","type",7,"Type2","Two-Year")</f>
        <v>0</v>
      </c>
      <c r="T15" s="93">
        <f>GETPIVOTDATA("Sum of OLD-Tot UG SCH Calc",'Pivot Table for Fact Book'!$A$3,"State","OK","type",8,"Type2","Two-Year")</f>
        <v>0</v>
      </c>
      <c r="U15" s="93">
        <f>GETPIVOTDATA("Sum of NEW-Tot UG SCH Calc",'Pivot Table for Fact Book'!$A$3,"State","OK","type",8,"Type2","Two-Year")</f>
        <v>0</v>
      </c>
      <c r="V15" s="93">
        <f>GETPIVOTDATA("Sum of OLD-Tot UG SCH Calc",'Pivot Table for Fact Book'!$A$3,"State","OK","type",9,"Type2","Two-Year")</f>
        <v>0</v>
      </c>
      <c r="W15" s="93">
        <f>GETPIVOTDATA("Sum of NEW-Tot UG SCH Calc",'Pivot Table for Fact Book'!$A$3,"State","OK","type",9,"Type2","Two-Year")</f>
        <v>0</v>
      </c>
      <c r="X15" s="93">
        <f>GETPIVOTDATA("Sum of OLD-Tot UG SCH Calc",'Pivot Table for Fact Book'!$A$3,"State","OK","type",10,"Type2","Two-Year")</f>
        <v>0</v>
      </c>
      <c r="Y15" s="93">
        <f>GETPIVOTDATA("Sum of NEW-Tot UG SCH Calc",'Pivot Table for Fact Book'!$A$3,"State","OK","type",10,"Type2","Two-Year")</f>
        <v>0</v>
      </c>
      <c r="Z15" s="95">
        <f>GETPIVOTDATA("Sum of OLD-Tot UG SCH Calc",'Pivot Table for Fact Book'!$A$3,"State","OK","Type2","Two-Year")</f>
        <v>0</v>
      </c>
      <c r="AA15" s="95">
        <f>GETPIVOTDATA("Sum of NEW-Tot UG SCH Calc",'Pivot Table for Fact Book'!$A$3,"State","OK","Type2","Two-Year")</f>
        <v>0</v>
      </c>
      <c r="AB15" s="92">
        <f>+GETPIVOTDATA("Sum of OLD-Tot UG SCH Calc",'Pivot Table for Fact Book'!$A$3,"State","OK","type",12,"type2","Techncial")</f>
        <v>0</v>
      </c>
      <c r="AC15" s="93">
        <f>+GETPIVOTDATA("Sum of NEW-Tot UG SCH Calc",'Pivot Table for Fact Book'!$A$3,"State","OK","type",12,"type2","Techncial")</f>
        <v>0</v>
      </c>
      <c r="AD15" s="92">
        <f>+GETPIVOTDATA("Sum of OLD-Tot UG SCH Calc",'Pivot Table for Fact Book'!$A$3,"State","OK","type",13,"type2","Techncial")</f>
        <v>0</v>
      </c>
      <c r="AE15" s="93">
        <f>+GETPIVOTDATA("Sum of NEW-Tot UG SCH Calc",'Pivot Table for Fact Book'!$A$3,"State","OK","type",13,"type2","Techncial")</f>
        <v>0</v>
      </c>
      <c r="AF15" s="96">
        <f>+GETPIVOTDATA("Sum of OLD-Tot UG SCH Calc",'Pivot Table for Fact Book'!$A$3,"State","OK","type2","Techncial")</f>
        <v>0</v>
      </c>
      <c r="AG15" s="97">
        <f>+GETPIVOTDATA("Sum of NEW-Tot UG SCH Calc",'Pivot Table for Fact Book'!$A$3,"State","OK","type2","Techncial")</f>
        <v>0</v>
      </c>
    </row>
    <row r="16" spans="1:33">
      <c r="A16" s="105" t="s">
        <v>629</v>
      </c>
      <c r="B16" s="92">
        <f>GETPIVOTDATA("Sum of OLD-Tot UG SCH Calc",'Pivot Table for Fact Book'!$A$3,"State","SC","type",1,"Type2","Four-Year")</f>
        <v>1481661</v>
      </c>
      <c r="C16" s="93">
        <f>GETPIVOTDATA("Sum of NEW-Tot UG SCH Calc",'Pivot Table for Fact Book'!$A$3,"State","SC","type",1,"Type2","Four-Year")</f>
        <v>1483873</v>
      </c>
      <c r="D16" s="92">
        <f>GETPIVOTDATA("Sum of OLD-Tot UG SCH Calc",'Pivot Table for Fact Book'!$A$3,"State","SC","type",2,"Type2","Four-Year")</f>
        <v>0</v>
      </c>
      <c r="E16" s="93">
        <f>GETPIVOTDATA("Sum of NEW-Tot UG SCH Calc",'Pivot Table for Fact Book'!$A$3,"State","SC","type",2,"Type2","Four-Year")</f>
        <v>0</v>
      </c>
      <c r="F16" s="92">
        <f>GETPIVOTDATA("Sum of OLD-Tot UG SCH Calc",'Pivot Table for Fact Book'!$A$3,"State","SC","type",3,"Type2","Four-Year")</f>
        <v>513324</v>
      </c>
      <c r="G16" s="93">
        <f>GETPIVOTDATA("Sum of NEW-Tot UG SCH Calc",'Pivot Table for Fact Book'!$A$3,"State","SC","type",3,"Type2","Four-Year")</f>
        <v>501384</v>
      </c>
      <c r="H16" s="92">
        <f>GETPIVOTDATA("Sum of OLD-Tot UG SCH Calc",'Pivot Table for Fact Book'!$A$3,"State","SC","type",4,"Type2","Four-Year")</f>
        <v>283480</v>
      </c>
      <c r="I16" s="93">
        <f>GETPIVOTDATA("Sum of NEW-Tot UG SCH Calc",'Pivot Table for Fact Book'!$A$3,"State","SC","type",4,"Type2","Four-Year")</f>
        <v>282684</v>
      </c>
      <c r="J16" s="92">
        <f>GETPIVOTDATA("Sum of OLD-Tot UG SCH Calc",'Pivot Table for Fact Book'!$A$3,"State","SC","type",5,"Type2","Four-Year")</f>
        <v>237834</v>
      </c>
      <c r="K16" s="93">
        <f>GETPIVOTDATA("Sum of NEW-Tot UG SCH Calc",'Pivot Table for Fact Book'!$A$3,"State","SC","type",5,"Type2","Four-Year")</f>
        <v>227869</v>
      </c>
      <c r="L16" s="92">
        <f>GETPIVOTDATA("Sum of OLD-Tot UG SCH Calc",'Pivot Table for Fact Book'!$A$3,"State","SC","type",6,"Type2","Four-Year")</f>
        <v>296893</v>
      </c>
      <c r="M16" s="93">
        <f>GETPIVOTDATA("Sum of NEW-Tot UG SCH Calc",'Pivot Table for Fact Book'!$A$3,"State","SC","type",6,"Type2","Four-Year")</f>
        <v>292459.5</v>
      </c>
      <c r="N16" s="92">
        <f>GETPIVOTDATA("Sum of OLD-Tot UG SCH Calc",'Pivot Table for Fact Book'!$A$3,"State","SC","type",15,"Type2","Four-Year")</f>
        <v>0</v>
      </c>
      <c r="O16" s="93">
        <f>GETPIVOTDATA("Sum of NEW-Tot UG SCH Calc",'Pivot Table for Fact Book'!$A$3,"State","SC","type",15,"Type2","Four-Year")</f>
        <v>0</v>
      </c>
      <c r="P16" s="94">
        <f>GETPIVOTDATA("Sum of OLD-Tot UG SCH Calc",'Pivot Table for Fact Book'!$A$3,"State","SC","Type2","Four-Year")</f>
        <v>2813192</v>
      </c>
      <c r="Q16" s="94">
        <f>GETPIVOTDATA("Sum of NEW-Tot UG SCH Calc",'Pivot Table for Fact Book'!$A$3,"State","SC","Type2","Four-Year")</f>
        <v>2788269.5</v>
      </c>
      <c r="R16" s="92">
        <f>GETPIVOTDATA("Sum of OLD-Tot UG SCH Calc",'Pivot Table for Fact Book'!$A$3,"State","SC","type",7,"Type2","Two-Year")</f>
        <v>0</v>
      </c>
      <c r="S16" s="93">
        <f>GETPIVOTDATA("Sum of NEW-Tot UG SCH Calc",'Pivot Table for Fact Book'!$A$3,"State","SC","type",7,"Type2","Two-Year")</f>
        <v>0</v>
      </c>
      <c r="T16" s="93">
        <f>GETPIVOTDATA("Sum of OLD-Tot UG SCH Calc",'Pivot Table for Fact Book'!$A$3,"State","SC","type",8,"Type2","Two-Year")</f>
        <v>816309</v>
      </c>
      <c r="U16" s="93">
        <f>GETPIVOTDATA("Sum of NEW-Tot UG SCH Calc",'Pivot Table for Fact Book'!$A$3,"State","SC","type",8,"Type2","Two-Year")</f>
        <v>772483</v>
      </c>
      <c r="V16" s="93">
        <f>GETPIVOTDATA("Sum of OLD-Tot UG SCH Calc",'Pivot Table for Fact Book'!$A$3,"State","SC","type",9,"Type2","Two-Year")</f>
        <v>573968</v>
      </c>
      <c r="W16" s="93">
        <f>GETPIVOTDATA("Sum of NEW-Tot UG SCH Calc",'Pivot Table for Fact Book'!$A$3,"State","SC","type",9,"Type2","Two-Year")</f>
        <v>551729</v>
      </c>
      <c r="X16" s="93">
        <f>GETPIVOTDATA("Sum of OLD-Tot UG SCH Calc",'Pivot Table for Fact Book'!$A$3,"State","SC","type",10,"Type2","Two-Year")</f>
        <v>288830</v>
      </c>
      <c r="Y16" s="93">
        <f>GETPIVOTDATA("Sum of NEW-Tot UG SCH Calc",'Pivot Table for Fact Book'!$A$3,"State","SC","type",10,"Type2","Two-Year")</f>
        <v>280318</v>
      </c>
      <c r="Z16" s="95">
        <f>GETPIVOTDATA("Sum of OLD-Tot UG SCH Calc",'Pivot Table for Fact Book'!$A$3,"State","SC","Type2","Two-Year")</f>
        <v>1679107</v>
      </c>
      <c r="AA16" s="95">
        <f>GETPIVOTDATA("Sum of NEW-Tot UG SCH Calc",'Pivot Table for Fact Book'!$A$3,"State","SC","Type2","Two-Year")</f>
        <v>1604530</v>
      </c>
      <c r="AB16" s="92">
        <f>+GETPIVOTDATA("Sum of OLD-Tot UG SCH Calc",'Pivot Table for Fact Book'!$A$3,"State","SC","type",12,"type2","Techncial")</f>
        <v>0</v>
      </c>
      <c r="AC16" s="93">
        <f>+GETPIVOTDATA("Sum of NEW-Tot UG SCH Calc",'Pivot Table for Fact Book'!$A$3,"State","SC","type",12,"type2","Techncial")</f>
        <v>0</v>
      </c>
      <c r="AD16" s="92">
        <f>+GETPIVOTDATA("Sum of OLD-Tot UG SCH Calc",'Pivot Table for Fact Book'!$A$3,"State","SC","type",13,"type2","Techncial")</f>
        <v>0</v>
      </c>
      <c r="AE16" s="93">
        <f>+GETPIVOTDATA("Sum of NEW-Tot UG SCH Calc",'Pivot Table for Fact Book'!$A$3,"State","SC","type",13,"type2","Techncial")</f>
        <v>0</v>
      </c>
      <c r="AF16" s="96">
        <f>+GETPIVOTDATA("Sum of OLD-Tot UG SCH Calc",'Pivot Table for Fact Book'!$A$3,"State","SC","type2","Techncial")</f>
        <v>0</v>
      </c>
      <c r="AG16" s="97">
        <f>+GETPIVOTDATA("Sum of NEW-Tot UG SCH Calc",'Pivot Table for Fact Book'!$A$3,"State","SC","type2","Techncial")</f>
        <v>0</v>
      </c>
    </row>
    <row r="17" spans="1:33">
      <c r="A17" s="105" t="s">
        <v>630</v>
      </c>
      <c r="B17" s="92">
        <f>GETPIVOTDATA("Sum of OLD-Tot UG SCH Calc",'Pivot Table for Fact Book'!$A$3,"State","TN","type",1,"Type2","Four-Year")</f>
        <v>1087106</v>
      </c>
      <c r="C17" s="93">
        <f>GETPIVOTDATA("Sum of NEW-Tot UG SCH Calc",'Pivot Table for Fact Book'!$A$3,"State","TN","type",1,"Type2","Four-Year")</f>
        <v>1039778</v>
      </c>
      <c r="D17" s="92">
        <f>GETPIVOTDATA("Sum of OLD-Tot UG SCH Calc",'Pivot Table for Fact Book'!$A$3,"State","TN","type",2,"Type2","Four-Year")</f>
        <v>889125</v>
      </c>
      <c r="E17" s="93">
        <f>GETPIVOTDATA("Sum of NEW-Tot UG SCH Calc",'Pivot Table for Fact Book'!$A$3,"State","TN","type",2,"Type2","Four-Year")</f>
        <v>737084</v>
      </c>
      <c r="F17" s="92">
        <f>GETPIVOTDATA("Sum of OLD-Tot UG SCH Calc",'Pivot Table for Fact Book'!$A$3,"State","TN","type",3,"Type2","Four-Year")</f>
        <v>753290</v>
      </c>
      <c r="G17" s="93">
        <f>GETPIVOTDATA("Sum of NEW-Tot UG SCH Calc",'Pivot Table for Fact Book'!$A$3,"State","TN","type",3,"Type2","Four-Year")</f>
        <v>710795</v>
      </c>
      <c r="H17" s="92">
        <f>GETPIVOTDATA("Sum of OLD-Tot UG SCH Calc",'Pivot Table for Fact Book'!$A$3,"State","TN","type",4,"Type2","Four-Year")</f>
        <v>159845</v>
      </c>
      <c r="I17" s="93">
        <f>GETPIVOTDATA("Sum of NEW-Tot UG SCH Calc",'Pivot Table for Fact Book'!$A$3,"State","TN","type",4,"Type2","Four-Year")</f>
        <v>148421</v>
      </c>
      <c r="J17" s="92">
        <f>GETPIVOTDATA("Sum of OLD-Tot UG SCH Calc",'Pivot Table for Fact Book'!$A$3,"State","TN","type",5,"Type2","Four-Year")</f>
        <v>0</v>
      </c>
      <c r="K17" s="93">
        <f>GETPIVOTDATA("Sum of NEW-Tot UG SCH Calc",'Pivot Table for Fact Book'!$A$3,"State","TN","type",5,"Type2","Four-Year")</f>
        <v>0</v>
      </c>
      <c r="L17" s="92">
        <f>GETPIVOTDATA("Sum of OLD-Tot UG SCH Calc",'Pivot Table for Fact Book'!$A$3,"State","TN","type",6,"Type2","Four-Year")</f>
        <v>0</v>
      </c>
      <c r="M17" s="93">
        <f>GETPIVOTDATA("Sum of NEW-Tot UG SCH Calc",'Pivot Table for Fact Book'!$A$3,"State","TN","type",6,"Type2","Four-Year")</f>
        <v>0</v>
      </c>
      <c r="N17" s="92">
        <f>GETPIVOTDATA("Sum of OLD-Tot UG SCH Calc",'Pivot Table for Fact Book'!$A$3,"State","TN","type",15,"Type2","Four-Year")</f>
        <v>0</v>
      </c>
      <c r="O17" s="93">
        <f>GETPIVOTDATA("Sum of NEW-Tot UG SCH Calc",'Pivot Table for Fact Book'!$A$3,"State","TN","type",15,"Type2","Four-Year")</f>
        <v>0</v>
      </c>
      <c r="P17" s="94">
        <f>GETPIVOTDATA("Sum of OLD-Tot UG SCH Calc",'Pivot Table for Fact Book'!$A$3,"State","TN","Type2","Four-Year")</f>
        <v>2889366</v>
      </c>
      <c r="Q17" s="94">
        <f>GETPIVOTDATA("Sum of NEW-Tot UG SCH Calc",'Pivot Table for Fact Book'!$A$3,"State","TN","Type2","Four-Year")</f>
        <v>2636078</v>
      </c>
      <c r="R17" s="92">
        <f>GETPIVOTDATA("Sum of OLD-Tot UG SCH Calc",'Pivot Table for Fact Book'!$A$3,"State","TN","type",7,"Type2","Two-Year")</f>
        <v>0</v>
      </c>
      <c r="S17" s="93">
        <f>GETPIVOTDATA("Sum of NEW-Tot UG SCH Calc",'Pivot Table for Fact Book'!$A$3,"State","TN","type",7,"Type2","Two-Year")</f>
        <v>0</v>
      </c>
      <c r="T17" s="93">
        <f>GETPIVOTDATA("Sum of OLD-Tot UG SCH Calc",'Pivot Table for Fact Book'!$A$3,"State","TN","type",8,"Type2","Two-Year")</f>
        <v>769449</v>
      </c>
      <c r="U17" s="93">
        <f>GETPIVOTDATA("Sum of NEW-Tot UG SCH Calc",'Pivot Table for Fact Book'!$A$3,"State","TN","type",8,"Type2","Two-Year")</f>
        <v>632122</v>
      </c>
      <c r="V17" s="93">
        <f>GETPIVOTDATA("Sum of OLD-Tot UG SCH Calc",'Pivot Table for Fact Book'!$A$3,"State","TN","type",9,"Type2","Two-Year")</f>
        <v>659507</v>
      </c>
      <c r="W17" s="93">
        <f>GETPIVOTDATA("Sum of NEW-Tot UG SCH Calc",'Pivot Table for Fact Book'!$A$3,"State","TN","type",9,"Type2","Two-Year")</f>
        <v>541935</v>
      </c>
      <c r="X17" s="93">
        <f>GETPIVOTDATA("Sum of OLD-Tot UG SCH Calc",'Pivot Table for Fact Book'!$A$3,"State","TN","type",10,"Type2","Two-Year")</f>
        <v>51028</v>
      </c>
      <c r="Y17" s="93">
        <f>GETPIVOTDATA("Sum of NEW-Tot UG SCH Calc",'Pivot Table for Fact Book'!$A$3,"State","TN","type",10,"Type2","Two-Year")</f>
        <v>40734</v>
      </c>
      <c r="Z17" s="95">
        <f>GETPIVOTDATA("Sum of OLD-Tot UG SCH Calc",'Pivot Table for Fact Book'!$A$3,"State","TN","Type2","Two-Year")</f>
        <v>1479984</v>
      </c>
      <c r="AA17" s="95">
        <f>GETPIVOTDATA("Sum of NEW-Tot UG SCH Calc",'Pivot Table for Fact Book'!$A$3,"State","TN","Type2","Two-Year")</f>
        <v>1214791</v>
      </c>
      <c r="AB17" s="92">
        <f>+GETPIVOTDATA("Sum of OLD-Tot UG SCH Calc",'Pivot Table for Fact Book'!$A$3,"State","TN","type",12,"type2","Techncial")</f>
        <v>0</v>
      </c>
      <c r="AC17" s="93">
        <f>+GETPIVOTDATA("Sum of NEW-Tot UG SCH Calc",'Pivot Table for Fact Book'!$A$3,"State","TN","type",12,"type2","Techncial")</f>
        <v>0</v>
      </c>
      <c r="AD17" s="92">
        <f>+GETPIVOTDATA("Sum of OLD-Tot UG SCH Calc",'Pivot Table for Fact Book'!$A$3,"State","TN","type",13,"type2","Techncial")</f>
        <v>0</v>
      </c>
      <c r="AE17" s="93">
        <f>+GETPIVOTDATA("Sum of NEW-Tot UG SCH Calc",'Pivot Table for Fact Book'!$A$3,"State","TN","type",13,"type2","Techncial")</f>
        <v>0</v>
      </c>
      <c r="AF17" s="96">
        <f>+GETPIVOTDATA("Sum of OLD-Tot UG SCH Calc",'Pivot Table for Fact Book'!$A$3,"State","TN","type2","Techncial")</f>
        <v>0</v>
      </c>
      <c r="AG17" s="97">
        <f>+GETPIVOTDATA("Sum of NEW-Tot UG SCH Calc",'Pivot Table for Fact Book'!$A$3,"State","TN","type2","Techncial")</f>
        <v>0</v>
      </c>
    </row>
    <row r="18" spans="1:33">
      <c r="A18" s="105" t="s">
        <v>631</v>
      </c>
      <c r="B18" s="92">
        <f>GETPIVOTDATA("Sum of OLD-Tot UG SCH Calc",'Pivot Table for Fact Book'!$A$3,"State","TX","type",1,"Type2","Four-Year")</f>
        <v>7381823</v>
      </c>
      <c r="C18" s="93">
        <f>GETPIVOTDATA("Sum of NEW-Tot UG SCH Calc",'Pivot Table for Fact Book'!$A$3,"State","TX","type",1,"Type2","Four-Year")</f>
        <v>7293246</v>
      </c>
      <c r="D18" s="92">
        <f>GETPIVOTDATA("Sum of OLD-Tot UG SCH Calc",'Pivot Table for Fact Book'!$A$3,"State","TX","type",2,"Type2","Four-Year")</f>
        <v>1631238</v>
      </c>
      <c r="E18" s="93">
        <f>GETPIVOTDATA("Sum of NEW-Tot UG SCH Calc",'Pivot Table for Fact Book'!$A$3,"State","TX","type",2,"Type2","Four-Year")</f>
        <v>1558115</v>
      </c>
      <c r="F18" s="92">
        <f>GETPIVOTDATA("Sum of OLD-Tot UG SCH Calc",'Pivot Table for Fact Book'!$A$3,"State","TX","type",3,"Type2","Four-Year")</f>
        <v>4129716</v>
      </c>
      <c r="G18" s="93">
        <f>GETPIVOTDATA("Sum of NEW-Tot UG SCH Calc",'Pivot Table for Fact Book'!$A$3,"State","TX","type",3,"Type2","Four-Year")</f>
        <v>3964517</v>
      </c>
      <c r="H18" s="92">
        <f>GETPIVOTDATA("Sum of OLD-Tot UG SCH Calc",'Pivot Table for Fact Book'!$A$3,"State","TX","type",4,"Type2","Four-Year")</f>
        <v>626989</v>
      </c>
      <c r="I18" s="93">
        <f>GETPIVOTDATA("Sum of NEW-Tot UG SCH Calc",'Pivot Table for Fact Book'!$A$3,"State","TX","type",4,"Type2","Four-Year")</f>
        <v>621858</v>
      </c>
      <c r="J18" s="92">
        <f>GETPIVOTDATA("Sum of OLD-Tot UG SCH Calc",'Pivot Table for Fact Book'!$A$3,"State","TX","type",5,"Type2","Four-Year")</f>
        <v>64897</v>
      </c>
      <c r="K18" s="93">
        <f>GETPIVOTDATA("Sum of NEW-Tot UG SCH Calc",'Pivot Table for Fact Book'!$A$3,"State","TX","type",5,"Type2","Four-Year")</f>
        <v>63037</v>
      </c>
      <c r="L18" s="92">
        <f>GETPIVOTDATA("Sum of OLD-Tot UG SCH Calc",'Pivot Table for Fact Book'!$A$3,"State","TX","type",6,"Type2","Four-Year")</f>
        <v>0</v>
      </c>
      <c r="M18" s="93">
        <f>GETPIVOTDATA("Sum of NEW-Tot UG SCH Calc",'Pivot Table for Fact Book'!$A$3,"State","TX","type",6,"Type2","Four-Year")</f>
        <v>0</v>
      </c>
      <c r="N18" s="92">
        <f>GETPIVOTDATA("Sum of OLD-Tot UG SCH Calc",'Pivot Table for Fact Book'!$A$3,"State","TX","type",15,"Type2","Four-Year")</f>
        <v>0</v>
      </c>
      <c r="O18" s="93">
        <f>GETPIVOTDATA("Sum of NEW-Tot UG SCH Calc",'Pivot Table for Fact Book'!$A$3,"State","TX","type",15,"Type2","Four-Year")</f>
        <v>0</v>
      </c>
      <c r="P18" s="94">
        <f>GETPIVOTDATA("Sum of OLD-Tot UG SCH Calc",'Pivot Table for Fact Book'!$A$3,"State","TX","Type2","Four-Year")</f>
        <v>13834663</v>
      </c>
      <c r="Q18" s="94">
        <f>GETPIVOTDATA("Sum of NEW-Tot UG SCH Calc",'Pivot Table for Fact Book'!$A$3,"State","TX","Type2","Four-Year")</f>
        <v>13500773</v>
      </c>
      <c r="R18" s="92">
        <f>GETPIVOTDATA("Sum of OLD-Tot UG SCH Calc",'Pivot Table for Fact Book'!$A$3,"State","TX","type",7,"Type2","Two-Year")</f>
        <v>745813</v>
      </c>
      <c r="S18" s="93">
        <f>GETPIVOTDATA("Sum of NEW-Tot UG SCH Calc",'Pivot Table for Fact Book'!$A$3,"State","TX","type",7,"Type2","Two-Year")</f>
        <v>676958</v>
      </c>
      <c r="T18" s="93">
        <f>GETPIVOTDATA("Sum of OLD-Tot UG SCH Calc",'Pivot Table for Fact Book'!$A$3,"State","TX","type",8,"Type2","Two-Year")</f>
        <v>9894309</v>
      </c>
      <c r="U18" s="93">
        <f>GETPIVOTDATA("Sum of NEW-Tot UG SCH Calc",'Pivot Table for Fact Book'!$A$3,"State","TX","type",8,"Type2","Two-Year")</f>
        <v>9373902</v>
      </c>
      <c r="V18" s="93">
        <f>GETPIVOTDATA("Sum of OLD-Tot UG SCH Calc",'Pivot Table for Fact Book'!$A$3,"State","TX","type",9,"Type2","Two-Year")</f>
        <v>2369322</v>
      </c>
      <c r="W18" s="93">
        <f>GETPIVOTDATA("Sum of NEW-Tot UG SCH Calc",'Pivot Table for Fact Book'!$A$3,"State","TX","type",9,"Type2","Two-Year")</f>
        <v>2133894</v>
      </c>
      <c r="X18" s="93">
        <f>GETPIVOTDATA("Sum of OLD-Tot UG SCH Calc",'Pivot Table for Fact Book'!$A$3,"State","TX","type",10,"Type2","Two-Year")</f>
        <v>399029</v>
      </c>
      <c r="Y18" s="93">
        <f>GETPIVOTDATA("Sum of NEW-Tot UG SCH Calc",'Pivot Table for Fact Book'!$A$3,"State","TX","type",10,"Type2","Two-Year")</f>
        <v>395796</v>
      </c>
      <c r="Z18" s="95">
        <f>GETPIVOTDATA("Sum of OLD-Tot UG SCH Calc",'Pivot Table for Fact Book'!$A$3,"State","TX","Type2","Two-Year")</f>
        <v>13408473</v>
      </c>
      <c r="AA18" s="95">
        <f>GETPIVOTDATA("Sum of NEW-Tot UG SCH Calc",'Pivot Table for Fact Book'!$A$3,"State","TX","Type2","Two-Year")</f>
        <v>12580550</v>
      </c>
      <c r="AB18" s="92">
        <f>+GETPIVOTDATA("Sum of OLD-Tot UG SCH Calc",'Pivot Table for Fact Book'!$A$3,"State","TX","type",12,"type2","Techncial")</f>
        <v>0</v>
      </c>
      <c r="AC18" s="93">
        <f>+GETPIVOTDATA("Sum of NEW-Tot UG SCH Calc",'Pivot Table for Fact Book'!$A$3,"State","TX","type",12,"type2","Techncial")</f>
        <v>0</v>
      </c>
      <c r="AD18" s="92">
        <f>+GETPIVOTDATA("Sum of OLD-Tot UG SCH Calc",'Pivot Table for Fact Book'!$A$3,"State","TX","type",13,"type2","Techncial")</f>
        <v>0</v>
      </c>
      <c r="AE18" s="93">
        <f>+GETPIVOTDATA("Sum of NEW-Tot UG SCH Calc",'Pivot Table for Fact Book'!$A$3,"State","TX","type",13,"type2","Techncial")</f>
        <v>0</v>
      </c>
      <c r="AF18" s="96">
        <f>+GETPIVOTDATA("Sum of OLD-Tot UG SCH Calc",'Pivot Table for Fact Book'!$A$3,"State","TX","type2","Techncial")</f>
        <v>0</v>
      </c>
      <c r="AG18" s="97">
        <f>+GETPIVOTDATA("Sum of NEW-Tot UG SCH Calc",'Pivot Table for Fact Book'!$A$3,"State","TX","type2","Techncial")</f>
        <v>0</v>
      </c>
    </row>
    <row r="19" spans="1:33">
      <c r="A19" s="105" t="s">
        <v>632</v>
      </c>
      <c r="B19" s="92">
        <f>GETPIVOTDATA("Sum of OLD-Tot UG SCH Calc",'Pivot Table for Fact Book'!$A$3,"State","VA","type",1,"Type2","Four-Year")</f>
        <v>3317776</v>
      </c>
      <c r="C19" s="93">
        <f>GETPIVOTDATA("Sum of NEW-Tot UG SCH Calc",'Pivot Table for Fact Book'!$A$3,"State","VA","type",1,"Type2","Four-Year")</f>
        <v>3295771</v>
      </c>
      <c r="D19" s="92">
        <f>GETPIVOTDATA("Sum of OLD-Tot UG SCH Calc",'Pivot Table for Fact Book'!$A$3,"State","VA","type",2,"Type2","Four-Year")</f>
        <v>182600.3</v>
      </c>
      <c r="E19" s="93">
        <f>GETPIVOTDATA("Sum of NEW-Tot UG SCH Calc",'Pivot Table for Fact Book'!$A$3,"State","VA","type",2,"Type2","Four-Year")</f>
        <v>186084.5</v>
      </c>
      <c r="F19" s="92">
        <f>GETPIVOTDATA("Sum of OLD-Tot UG SCH Calc",'Pivot Table for Fact Book'!$A$3,"State","VA","type",3,"Type2","Four-Year")</f>
        <v>922524</v>
      </c>
      <c r="G19" s="93">
        <f>GETPIVOTDATA("Sum of NEW-Tot UG SCH Calc",'Pivot Table for Fact Book'!$A$3,"State","VA","type",3,"Type2","Four-Year")</f>
        <v>899462</v>
      </c>
      <c r="H19" s="92">
        <f>GETPIVOTDATA("Sum of OLD-Tot UG SCH Calc",'Pivot Table for Fact Book'!$A$3,"State","VA","type",4,"Type2","Four-Year")</f>
        <v>136802</v>
      </c>
      <c r="I19" s="93">
        <f>GETPIVOTDATA("Sum of NEW-Tot UG SCH Calc",'Pivot Table for Fact Book'!$A$3,"State","VA","type",4,"Type2","Four-Year")</f>
        <v>133357</v>
      </c>
      <c r="J19" s="92">
        <f>GETPIVOTDATA("Sum of OLD-Tot UG SCH Calc",'Pivot Table for Fact Book'!$A$3,"State","VA","type",5,"Type2","Four-Year")</f>
        <v>364064</v>
      </c>
      <c r="K19" s="93">
        <f>GETPIVOTDATA("Sum of NEW-Tot UG SCH Calc",'Pivot Table for Fact Book'!$A$3,"State","VA","type",5,"Type2","Four-Year")</f>
        <v>338062</v>
      </c>
      <c r="L19" s="92">
        <f>GETPIVOTDATA("Sum of OLD-Tot UG SCH Calc",'Pivot Table for Fact Book'!$A$3,"State","VA","type",6,"Type2","Four-Year")</f>
        <v>45821</v>
      </c>
      <c r="M19" s="93">
        <f>GETPIVOTDATA("Sum of NEW-Tot UG SCH Calc",'Pivot Table for Fact Book'!$A$3,"State","VA","type",6,"Type2","Four-Year")</f>
        <v>46290</v>
      </c>
      <c r="N19" s="92">
        <f>GETPIVOTDATA("Sum of OLD-Tot UG SCH Calc",'Pivot Table for Fact Book'!$A$3,"State","VA","type",15,"Type2","Four-Year")</f>
        <v>0</v>
      </c>
      <c r="O19" s="93">
        <f>GETPIVOTDATA("Sum of NEW-Tot UG SCH Calc",'Pivot Table for Fact Book'!$A$3,"State","VA","type",15,"Type2","Four-Year")</f>
        <v>0</v>
      </c>
      <c r="P19" s="94">
        <f>GETPIVOTDATA("Sum of OLD-Tot UG SCH Calc",'Pivot Table for Fact Book'!$A$3,"State","VA","Type2","Four-Year")</f>
        <v>4969587.3</v>
      </c>
      <c r="Q19" s="94">
        <f>GETPIVOTDATA("Sum of NEW-Tot UG SCH Calc",'Pivot Table for Fact Book'!$A$3,"State","VA","Type2","Four-Year")</f>
        <v>4899026.5</v>
      </c>
      <c r="R19" s="92">
        <f>GETPIVOTDATA("Sum of OLD-Tot UG SCH Calc",'Pivot Table for Fact Book'!$A$3,"State","VA","type",7,"Type2","Two-Year")</f>
        <v>0</v>
      </c>
      <c r="S19" s="93">
        <f>GETPIVOTDATA("Sum of NEW-Tot UG SCH Calc",'Pivot Table for Fact Book'!$A$3,"State","VA","type",7,"Type2","Two-Year")</f>
        <v>0</v>
      </c>
      <c r="T19" s="93">
        <f>GETPIVOTDATA("Sum of OLD-Tot UG SCH Calc",'Pivot Table for Fact Book'!$A$3,"State","VA","type",8,"Type2","Two-Year")</f>
        <v>1599415</v>
      </c>
      <c r="U19" s="93">
        <f>GETPIVOTDATA("Sum of NEW-Tot UG SCH Calc",'Pivot Table for Fact Book'!$A$3,"State","VA","type",8,"Type2","Two-Year")</f>
        <v>1550720</v>
      </c>
      <c r="V19" s="93">
        <f>GETPIVOTDATA("Sum of OLD-Tot UG SCH Calc",'Pivot Table for Fact Book'!$A$3,"State","VA","type",9,"Type2","Two-Year")</f>
        <v>777539</v>
      </c>
      <c r="W19" s="93">
        <f>GETPIVOTDATA("Sum of NEW-Tot UG SCH Calc",'Pivot Table for Fact Book'!$A$3,"State","VA","type",9,"Type2","Two-Year")</f>
        <v>742004</v>
      </c>
      <c r="X19" s="93">
        <f>GETPIVOTDATA("Sum of OLD-Tot UG SCH Calc",'Pivot Table for Fact Book'!$A$3,"State","VA","type",10,"Type2","Two-Year")</f>
        <v>473870</v>
      </c>
      <c r="Y19" s="93">
        <f>GETPIVOTDATA("Sum of NEW-Tot UG SCH Calc",'Pivot Table for Fact Book'!$A$3,"State","VA","type",10,"Type2","Two-Year")</f>
        <v>452149.5</v>
      </c>
      <c r="Z19" s="95">
        <f>GETPIVOTDATA("Sum of OLD-Tot UG SCH Calc",'Pivot Table for Fact Book'!$A$3,"State","VA","Type2","Two-Year")</f>
        <v>2850824</v>
      </c>
      <c r="AA19" s="95">
        <f>GETPIVOTDATA("Sum of NEW-Tot UG SCH Calc",'Pivot Table for Fact Book'!$A$3,"State","VA","Type2","Two-Year")</f>
        <v>2744873.5</v>
      </c>
      <c r="AB19" s="92">
        <f>+GETPIVOTDATA("Sum of OLD-Tot UG SCH Calc",'Pivot Table for Fact Book'!$A$3,"State","VA","type",12,"type2","Techncial")</f>
        <v>0</v>
      </c>
      <c r="AC19" s="93">
        <f>+GETPIVOTDATA("Sum of NEW-Tot UG SCH Calc",'Pivot Table for Fact Book'!$A$3,"State","VA","type",12,"type2","Techncial")</f>
        <v>0</v>
      </c>
      <c r="AD19" s="92">
        <f>+GETPIVOTDATA("Sum of OLD-Tot UG SCH Calc",'Pivot Table for Fact Book'!$A$3,"State","VA","type",13,"type2","Techncial")</f>
        <v>0</v>
      </c>
      <c r="AE19" s="93">
        <f>+GETPIVOTDATA("Sum of NEW-Tot UG SCH Calc",'Pivot Table for Fact Book'!$A$3,"State","VA","type",13,"type2","Techncial")</f>
        <v>0</v>
      </c>
      <c r="AF19" s="96">
        <f>+GETPIVOTDATA("Sum of OLD-Tot UG SCH Calc",'Pivot Table for Fact Book'!$A$3,"State","VA","type2","Techncial")</f>
        <v>0</v>
      </c>
      <c r="AG19" s="97">
        <f>+GETPIVOTDATA("Sum of NEW-Tot UG SCH Calc",'Pivot Table for Fact Book'!$A$3,"State","VA","type2","Techncial")</f>
        <v>0</v>
      </c>
    </row>
    <row r="20" spans="1:33">
      <c r="A20" s="126" t="s">
        <v>633</v>
      </c>
      <c r="B20" s="98">
        <f>GETPIVOTDATA("Sum of OLD-Tot UG SCH Calc",'Pivot Table for Fact Book'!$A$3,"State","WV","type",1,"Type2","Four-Year")</f>
        <v>598709</v>
      </c>
      <c r="C20" s="99">
        <f>GETPIVOTDATA("Sum of NEW-Tot UG SCH Calc",'Pivot Table for Fact Book'!$A$3,"State","WV","type",1,"Type2","Four-Year")</f>
        <v>563952</v>
      </c>
      <c r="D20" s="98">
        <f>GETPIVOTDATA("Sum of OLD-Tot UG SCH Calc",'Pivot Table for Fact Book'!$A$3,"State","WV","type",2,"Type2","Four-Year")</f>
        <v>0</v>
      </c>
      <c r="E20" s="99">
        <f>GETPIVOTDATA("Sum of NEW-Tot UG SCH Calc",'Pivot Table for Fact Book'!$A$3,"State","WV","type",2,"Type2","Four-Year")</f>
        <v>0</v>
      </c>
      <c r="F20" s="98">
        <f>GETPIVOTDATA("Sum of OLD-Tot UG SCH Calc",'Pivot Table for Fact Book'!$A$3,"State","WV","type",3,"Type2","Four-Year")</f>
        <v>237987</v>
      </c>
      <c r="G20" s="99">
        <f>GETPIVOTDATA("Sum of NEW-Tot UG SCH Calc",'Pivot Table for Fact Book'!$A$3,"State","WV","type",3,"Type2","Four-Year")</f>
        <v>220322</v>
      </c>
      <c r="H20" s="98">
        <f>GETPIVOTDATA("Sum of OLD-Tot UG SCH Calc",'Pivot Table for Fact Book'!$A$3,"State","WV","type",4,"Type2","Four-Year")</f>
        <v>125002</v>
      </c>
      <c r="I20" s="99">
        <f>GETPIVOTDATA("Sum of NEW-Tot UG SCH Calc",'Pivot Table for Fact Book'!$A$3,"State","WV","type",4,"Type2","Four-Year")</f>
        <v>111764</v>
      </c>
      <c r="J20" s="98">
        <f>GETPIVOTDATA("Sum of OLD-Tot UG SCH Calc",'Pivot Table for Fact Book'!$A$3,"State","WV","type",5,"Type2","Four-Year")</f>
        <v>213609</v>
      </c>
      <c r="K20" s="99">
        <f>GETPIVOTDATA("Sum of NEW-Tot UG SCH Calc",'Pivot Table for Fact Book'!$A$3,"State","WV","type",5,"Type2","Four-Year")</f>
        <v>195853</v>
      </c>
      <c r="L20" s="98">
        <f>GETPIVOTDATA("Sum of OLD-Tot UG SCH Calc",'Pivot Table for Fact Book'!$A$3,"State","WV","type",6,"Type2","Four-Year")</f>
        <v>107883</v>
      </c>
      <c r="M20" s="99">
        <f>GETPIVOTDATA("Sum of NEW-Tot UG SCH Calc",'Pivot Table for Fact Book'!$A$3,"State","WV","type",6,"Type2","Four-Year")</f>
        <v>103575</v>
      </c>
      <c r="N20" s="98">
        <f>GETPIVOTDATA("Sum of OLD-Tot UG SCH Calc",'Pivot Table for Fact Book'!$A$3,"State","WV","type",15,"Type2","Four-Year")</f>
        <v>0</v>
      </c>
      <c r="O20" s="99">
        <f>GETPIVOTDATA("Sum of NEW-Tot UG SCH Calc",'Pivot Table for Fact Book'!$A$3,"State","WV","type",15,"Type2","Four-Year")</f>
        <v>0</v>
      </c>
      <c r="P20" s="100">
        <f>GETPIVOTDATA("Sum of OLD-Tot UG SCH Calc",'Pivot Table for Fact Book'!$A$3,"State","WV","Type2","Four-Year")</f>
        <v>1283190</v>
      </c>
      <c r="Q20" s="100">
        <f>GETPIVOTDATA("Sum of NEW-Tot UG SCH Calc",'Pivot Table for Fact Book'!$A$3,"State","WV","Type2","Four-Year")</f>
        <v>1195466</v>
      </c>
      <c r="R20" s="98">
        <f>GETPIVOTDATA("Sum of OLD-Tot UG SCH Calc",'Pivot Table for Fact Book'!$A$3,"State","WV","type",7,"Type2","Two-Year")</f>
        <v>85741</v>
      </c>
      <c r="S20" s="99">
        <f>GETPIVOTDATA("Sum of NEW-Tot UG SCH Calc",'Pivot Table for Fact Book'!$A$3,"State","WV","type",7,"Type2","Two-Year")</f>
        <v>79349</v>
      </c>
      <c r="T20" s="99">
        <f>GETPIVOTDATA("Sum of OLD-Tot UG SCH Calc",'Pivot Table for Fact Book'!$A$3,"State","WV","type",8,"Type2","Two-Year")</f>
        <v>0</v>
      </c>
      <c r="U20" s="99">
        <f>GETPIVOTDATA("Sum of NEW-Tot UG SCH Calc",'Pivot Table for Fact Book'!$A$3,"State","WV","type",8,"Type2","Two-Year")</f>
        <v>0</v>
      </c>
      <c r="V20" s="99">
        <f>GETPIVOTDATA("Sum of OLD-Tot UG SCH Calc",'Pivot Table for Fact Book'!$A$3,"State","WV","type",9,"Type2","Two-Year")</f>
        <v>50852</v>
      </c>
      <c r="W20" s="99">
        <f>GETPIVOTDATA("Sum of NEW-Tot UG SCH Calc",'Pivot Table for Fact Book'!$A$3,"State","WV","type",9,"Type2","Two-Year")</f>
        <v>39810</v>
      </c>
      <c r="X20" s="99">
        <f>GETPIVOTDATA("Sum of OLD-Tot UG SCH Calc",'Pivot Table for Fact Book'!$A$3,"State","WV","type",10,"Type2","Two-Year")</f>
        <v>199350</v>
      </c>
      <c r="Y20" s="99">
        <f>GETPIVOTDATA("Sum of NEW-Tot UG SCH Calc",'Pivot Table for Fact Book'!$A$3,"State","WV","type",10,"Type2","Two-Year")</f>
        <v>180648</v>
      </c>
      <c r="Z20" s="101">
        <f>GETPIVOTDATA("Sum of OLD-Tot UG SCH Calc",'Pivot Table for Fact Book'!$A$3,"State","WV","Type2","Two-Year")</f>
        <v>335943</v>
      </c>
      <c r="AA20" s="101">
        <f>GETPIVOTDATA("Sum of NEW-Tot UG SCH Calc",'Pivot Table for Fact Book'!$A$3,"State","WV","Type2","Two-Year")</f>
        <v>299807</v>
      </c>
      <c r="AB20" s="98">
        <f>+GETPIVOTDATA("Sum of OLD-Tot UG SCH Calc",'Pivot Table for Fact Book'!$A$3,"State","WV","type",12,"type2","Techncial")</f>
        <v>0</v>
      </c>
      <c r="AC20" s="99">
        <f>+GETPIVOTDATA("Sum of NEW-Tot UG SCH Calc",'Pivot Table for Fact Book'!$A$3,"State","WV","type",12,"type2","Techncial")</f>
        <v>0</v>
      </c>
      <c r="AD20" s="98">
        <f>+GETPIVOTDATA("Sum of OLD-Tot UG SCH Calc",'Pivot Table for Fact Book'!$A$3,"State","WV","type",13,"type2","Techncial")</f>
        <v>0</v>
      </c>
      <c r="AE20" s="99">
        <f>+GETPIVOTDATA("Sum of NEW-Tot UG SCH Calc",'Pivot Table for Fact Book'!$A$3,"State","WV","type",13,"type2","Techncial")</f>
        <v>0</v>
      </c>
      <c r="AF20" s="102">
        <f>+GETPIVOTDATA("Sum of OLD-Tot UG SCH Calc",'Pivot Table for Fact Book'!$A$3,"State","WV","type2","Techncial")</f>
        <v>0</v>
      </c>
      <c r="AG20" s="103">
        <f>+GETPIVOTDATA("Sum of NEW-Tot UG SCH Calc",'Pivot Table for Fact Book'!$A$3,"State","WV","type2","Techncial")</f>
        <v>0</v>
      </c>
    </row>
    <row r="22" spans="1:33">
      <c r="A22" s="104" t="s">
        <v>634</v>
      </c>
    </row>
    <row r="23" spans="1:33">
      <c r="B23" s="106" t="s">
        <v>614</v>
      </c>
      <c r="C23" s="107"/>
      <c r="D23" s="107"/>
      <c r="E23" s="107"/>
      <c r="F23" s="107"/>
      <c r="G23" s="107"/>
      <c r="H23" s="107"/>
      <c r="I23" s="107"/>
      <c r="J23" s="107"/>
      <c r="K23" s="107"/>
      <c r="L23" s="107"/>
      <c r="M23" s="107"/>
      <c r="N23" s="107"/>
      <c r="O23" s="107"/>
      <c r="P23" s="107"/>
      <c r="Q23" s="107"/>
      <c r="R23" s="108" t="s">
        <v>615</v>
      </c>
      <c r="S23" s="109"/>
      <c r="T23" s="109"/>
      <c r="U23" s="109"/>
      <c r="V23" s="109"/>
      <c r="W23" s="109"/>
      <c r="X23" s="109"/>
      <c r="Y23" s="109"/>
      <c r="Z23" s="109"/>
      <c r="AA23" s="109"/>
      <c r="AB23" s="110" t="s">
        <v>616</v>
      </c>
      <c r="AC23" s="111"/>
      <c r="AD23" s="111"/>
      <c r="AE23" s="111"/>
      <c r="AF23" s="111"/>
      <c r="AG23" s="111"/>
    </row>
    <row r="24" spans="1:33">
      <c r="B24" s="112">
        <v>1</v>
      </c>
      <c r="C24" s="113"/>
      <c r="D24" s="112">
        <v>2</v>
      </c>
      <c r="E24" s="113"/>
      <c r="F24" s="112">
        <v>3</v>
      </c>
      <c r="G24" s="113"/>
      <c r="H24" s="112">
        <v>4</v>
      </c>
      <c r="I24" s="113"/>
      <c r="J24" s="112">
        <v>5</v>
      </c>
      <c r="K24" s="113"/>
      <c r="L24" s="112">
        <v>6</v>
      </c>
      <c r="M24" s="113"/>
      <c r="N24" s="112">
        <v>15</v>
      </c>
      <c r="O24" s="113"/>
      <c r="P24" s="112" t="s">
        <v>617</v>
      </c>
      <c r="Q24" s="114"/>
      <c r="R24" s="115">
        <v>7</v>
      </c>
      <c r="S24" s="116"/>
      <c r="T24" s="115">
        <v>8</v>
      </c>
      <c r="U24" s="116"/>
      <c r="V24" s="115">
        <v>9</v>
      </c>
      <c r="W24" s="116"/>
      <c r="X24" s="115">
        <v>10</v>
      </c>
      <c r="Y24" s="116"/>
      <c r="Z24" s="115" t="s">
        <v>617</v>
      </c>
      <c r="AA24" s="116"/>
      <c r="AB24" s="117">
        <v>12</v>
      </c>
      <c r="AC24" s="118"/>
      <c r="AD24" s="117">
        <v>13</v>
      </c>
      <c r="AE24" s="118"/>
      <c r="AF24" s="117" t="s">
        <v>617</v>
      </c>
      <c r="AG24" s="118"/>
    </row>
    <row r="25" spans="1:33" s="128" customFormat="1">
      <c r="A25" s="127"/>
      <c r="B25" s="120">
        <v>2019</v>
      </c>
      <c r="C25" s="121">
        <v>2020</v>
      </c>
      <c r="D25" s="120">
        <v>2019</v>
      </c>
      <c r="E25" s="121">
        <v>2020</v>
      </c>
      <c r="F25" s="120">
        <v>2019</v>
      </c>
      <c r="G25" s="121">
        <v>2020</v>
      </c>
      <c r="H25" s="120">
        <v>2019</v>
      </c>
      <c r="I25" s="121">
        <v>2020</v>
      </c>
      <c r="J25" s="120">
        <v>2019</v>
      </c>
      <c r="K25" s="121">
        <v>2020</v>
      </c>
      <c r="L25" s="120">
        <v>2019</v>
      </c>
      <c r="M25" s="121">
        <v>2020</v>
      </c>
      <c r="N25" s="120">
        <v>2019</v>
      </c>
      <c r="O25" s="121">
        <v>2020</v>
      </c>
      <c r="P25" s="120">
        <v>2019</v>
      </c>
      <c r="Q25" s="121">
        <v>2020</v>
      </c>
      <c r="R25" s="122">
        <v>2019</v>
      </c>
      <c r="S25" s="123">
        <v>2020</v>
      </c>
      <c r="T25" s="122">
        <v>2019</v>
      </c>
      <c r="U25" s="123">
        <v>2020</v>
      </c>
      <c r="V25" s="122">
        <v>2019</v>
      </c>
      <c r="W25" s="123">
        <v>2020</v>
      </c>
      <c r="X25" s="122">
        <v>2019</v>
      </c>
      <c r="Y25" s="123">
        <v>2020</v>
      </c>
      <c r="Z25" s="122">
        <v>2019</v>
      </c>
      <c r="AA25" s="123">
        <v>2020</v>
      </c>
      <c r="AB25" s="122">
        <v>2019</v>
      </c>
      <c r="AC25" s="124">
        <v>2020</v>
      </c>
      <c r="AD25" s="122">
        <v>2019</v>
      </c>
      <c r="AE25" s="124">
        <v>2020</v>
      </c>
      <c r="AF25" s="122">
        <v>2019</v>
      </c>
      <c r="AG25" s="124">
        <v>2020</v>
      </c>
    </row>
    <row r="26" spans="1:33">
      <c r="A26" s="105" t="s">
        <v>618</v>
      </c>
      <c r="B26" s="92">
        <f>GETPIVOTDATA("Sum of Old UG E-Learning",'Pivot Table for Fact Book'!$A$3,"State","AL","type",1,"Type2","Four-Year")</f>
        <v>536968</v>
      </c>
      <c r="C26" s="93">
        <f>GETPIVOTDATA("Sum of New UG E-Learning",'Pivot Table for Fact Book'!$A$3,"State","AL","type",1,"Type2","Four-Year")</f>
        <v>563844</v>
      </c>
      <c r="D26" s="92">
        <f>GETPIVOTDATA("Sum of Old UG E-Learning",'Pivot Table for Fact Book'!$A$3,"State","AL","type",2,"Type2","Four-Year")</f>
        <v>152599</v>
      </c>
      <c r="E26" s="93">
        <f>GETPIVOTDATA("Sum of New UG E-Learning",'Pivot Table for Fact Book'!$A$3,"State","AL","type",2,"Type2","Four-Year")</f>
        <v>166143</v>
      </c>
      <c r="F26" s="92">
        <f>GETPIVOTDATA("Sum of Old UG E-Learning",'Pivot Table for Fact Book'!$A$3,"State","AL","type",3,"Type2","Four-Year")</f>
        <v>458679</v>
      </c>
      <c r="G26" s="93">
        <f>GETPIVOTDATA("Sum of New UG E-Learning",'Pivot Table for Fact Book'!$A$3,"State","AL","type",3,"Type2","Four-Year")</f>
        <v>456836</v>
      </c>
      <c r="H26" s="92">
        <f>GETPIVOTDATA("Sum of Old UG E-Learning",'Pivot Table for Fact Book'!$A$3,"State","AL","type",4,"Type2","Four-Year")</f>
        <v>85559</v>
      </c>
      <c r="I26" s="93">
        <f>GETPIVOTDATA("Sum of New UG E-Learning",'Pivot Table for Fact Book'!$A$3,"State","AL","type",4,"Type2","Four-Year")</f>
        <v>96676</v>
      </c>
      <c r="J26" s="92">
        <f>GETPIVOTDATA("Sum of Old UG E-Learning",'Pivot Table for Fact Book'!$A$3,"State","AL","type",5,"Type2","Four-Year")</f>
        <v>75897</v>
      </c>
      <c r="K26" s="93">
        <f>GETPIVOTDATA("Sum of New UG E-Learning",'Pivot Table for Fact Book'!$A$3,"State","AL","type",5,"Type2","Four-Year")</f>
        <v>72464</v>
      </c>
      <c r="L26" s="92">
        <f>GETPIVOTDATA("Sum of Old UG E-Learning",'Pivot Table for Fact Book'!$A$3,"State","AL","type",6,"Type2","Four-Year")</f>
        <v>0</v>
      </c>
      <c r="M26" s="93">
        <f>GETPIVOTDATA("Sum of New UG E-Learning",'Pivot Table for Fact Book'!$A$3,"State","AL","type",6,"Type2","Four-Year")</f>
        <v>0</v>
      </c>
      <c r="N26" s="92">
        <f>GETPIVOTDATA("Sum of Old UG E-Learning",'Pivot Table for Fact Book'!$A$3,"State","AL","type",15,"Type2","Four-Year")</f>
        <v>812</v>
      </c>
      <c r="O26" s="93">
        <f>GETPIVOTDATA("Sum of New UG E-Learning",'Pivot Table for Fact Book'!$A$3,"State","AL","type",15,"Type2","Four-Year")</f>
        <v>843</v>
      </c>
      <c r="P26" s="94">
        <f>GETPIVOTDATA("Sum of Old UG E-Learning",'Pivot Table for Fact Book'!$A$3,"State","AL","Type2","Four-Year")</f>
        <v>1310514</v>
      </c>
      <c r="Q26" s="94">
        <f>GETPIVOTDATA("Sum of New UG E-Learning",'Pivot Table for Fact Book'!$A$3,"State","AL","Type2","Four-Year")</f>
        <v>1356806</v>
      </c>
      <c r="R26" s="92">
        <f>GETPIVOTDATA("Sum of Old UG E-Learning",'Pivot Table for Fact Book'!$A$3,"State","AL","type",7,"Type2","Two-Year")</f>
        <v>0</v>
      </c>
      <c r="S26" s="93">
        <f>GETPIVOTDATA("Sum of New UG E-Learning",'Pivot Table for Fact Book'!$A$3,"State","AL","type",7,"Type2","Two-Year")</f>
        <v>0</v>
      </c>
      <c r="T26" s="93">
        <f>GETPIVOTDATA("Sum of Old UG E-Learning",'Pivot Table for Fact Book'!$A$3,"State","AL","type",8,"Type2","Two-Year")</f>
        <v>276294</v>
      </c>
      <c r="U26" s="93">
        <f>GETPIVOTDATA("Sum of New UG E-Learning",'Pivot Table for Fact Book'!$A$3,"State","AL","type",8,"Type2","Two-Year")</f>
        <v>287741</v>
      </c>
      <c r="V26" s="93">
        <f>GETPIVOTDATA("Sum of Old UG E-Learning",'Pivot Table for Fact Book'!$A$3,"State","AL","type",9,"Type2","Two-Year")</f>
        <v>330349</v>
      </c>
      <c r="W26" s="93">
        <f>GETPIVOTDATA("Sum of New UG E-Learning",'Pivot Table for Fact Book'!$A$3,"State","AL","type",9,"Type2","Two-Year")</f>
        <v>320589</v>
      </c>
      <c r="X26" s="93">
        <f>GETPIVOTDATA("Sum of Old UG E-Learning",'Pivot Table for Fact Book'!$A$3,"State","AL","type",10,"Type2","Two-Year")</f>
        <v>163467</v>
      </c>
      <c r="Y26" s="93">
        <f>GETPIVOTDATA("Sum of New UG E-Learning",'Pivot Table for Fact Book'!$A$3,"State","AL","type",10,"Type2","Two-Year")</f>
        <v>150256</v>
      </c>
      <c r="Z26" s="95">
        <f>GETPIVOTDATA("Sum of Old UG E-Learning",'Pivot Table for Fact Book'!$A$3,"State","AL","Type2","Two-Year")</f>
        <v>770110</v>
      </c>
      <c r="AA26" s="95">
        <f>GETPIVOTDATA("Sum of New UG E-Learning",'Pivot Table for Fact Book'!$A$3,"State","AL","Type2","Two-Year")</f>
        <v>758586</v>
      </c>
      <c r="AB26" s="92">
        <f>+GETPIVOTDATA("Sum of Old UG E-Learning",'Pivot Table for Fact Book'!$A$3,"State","AL","type",12,"type2","Techncial")</f>
        <v>22168</v>
      </c>
      <c r="AC26" s="93">
        <f>+GETPIVOTDATA("Sum of New UG E-Learning",'Pivot Table for Fact Book'!$A$3,"State","AL","type",12,"type2","Techncial")</f>
        <v>21674</v>
      </c>
      <c r="AD26" s="93">
        <f>+GETPIVOTDATA("Sum of Old UG E-Learning",'Pivot Table for Fact Book'!$A$3,"State","AL","type",13,"type2","Techncial")</f>
        <v>5744</v>
      </c>
      <c r="AE26" s="93">
        <f>+GETPIVOTDATA("Sum of New UG E-Learning",'Pivot Table for Fact Book'!$A$3,"State","AL","type",13,"type2","Techncial")</f>
        <v>8489</v>
      </c>
      <c r="AF26" s="97">
        <f>+GETPIVOTDATA("Sum of Old UG E-Learning",'Pivot Table for Fact Book'!$A$3,"State","AL","type2","Techncial")</f>
        <v>27912</v>
      </c>
      <c r="AG26" s="97">
        <f>+GETPIVOTDATA("Sum of New UG E-Learning",'Pivot Table for Fact Book'!$A$3,"State","AL","type2","Techncial")</f>
        <v>30163</v>
      </c>
    </row>
    <row r="27" spans="1:33">
      <c r="A27" s="105" t="s">
        <v>619</v>
      </c>
      <c r="B27" s="92">
        <f>GETPIVOTDATA("Sum of Old UG E-Learning",'Pivot Table for Fact Book'!$A$3,"State","AR","type",1,"Type2","Four-Year")</f>
        <v>85199</v>
      </c>
      <c r="C27" s="93">
        <f>GETPIVOTDATA("Sum of New UG E-Learning",'Pivot Table for Fact Book'!$A$3,"State","AR","type",1,"Type2","Four-Year")</f>
        <v>486341</v>
      </c>
      <c r="D27" s="92">
        <f>GETPIVOTDATA("Sum of Old UG E-Learning",'Pivot Table for Fact Book'!$A$3,"State","AR","type",2,"Type2","Four-Year")</f>
        <v>77443</v>
      </c>
      <c r="E27" s="93">
        <f>GETPIVOTDATA("Sum of New UG E-Learning",'Pivot Table for Fact Book'!$A$3,"State","AR","type",2,"Type2","Four-Year")</f>
        <v>139891</v>
      </c>
      <c r="F27" s="92">
        <f>GETPIVOTDATA("Sum of Old UG E-Learning",'Pivot Table for Fact Book'!$A$3,"State","AR","type",3,"Type2","Four-Year")</f>
        <v>204982</v>
      </c>
      <c r="G27" s="93">
        <f>GETPIVOTDATA("Sum of New UG E-Learning",'Pivot Table for Fact Book'!$A$3,"State","AR","type",3,"Type2","Four-Year")</f>
        <v>433315</v>
      </c>
      <c r="H27" s="92">
        <f>GETPIVOTDATA("Sum of Old UG E-Learning",'Pivot Table for Fact Book'!$A$3,"State","AR","type",4,"Type2","Four-Year")</f>
        <v>80683</v>
      </c>
      <c r="I27" s="93">
        <f>GETPIVOTDATA("Sum of New UG E-Learning",'Pivot Table for Fact Book'!$A$3,"State","AR","type",4,"Type2","Four-Year")</f>
        <v>151073</v>
      </c>
      <c r="J27" s="92">
        <f>GETPIVOTDATA("Sum of Old UG E-Learning",'Pivot Table for Fact Book'!$A$3,"State","AR","type",5,"Type2","Four-Year")</f>
        <v>0</v>
      </c>
      <c r="K27" s="93">
        <f>GETPIVOTDATA("Sum of New UG E-Learning",'Pivot Table for Fact Book'!$A$3,"State","AR","type",5,"Type2","Four-Year")</f>
        <v>0</v>
      </c>
      <c r="L27" s="92">
        <f>GETPIVOTDATA("Sum of Old UG E-Learning",'Pivot Table for Fact Book'!$A$3,"State","AR","type",6,"Type2","Four-Year")</f>
        <v>62382</v>
      </c>
      <c r="M27" s="93">
        <f>GETPIVOTDATA("Sum of New UG E-Learning",'Pivot Table for Fact Book'!$A$3,"State","AR","type",6,"Type2","Four-Year")</f>
        <v>167993</v>
      </c>
      <c r="N27" s="92">
        <f>GETPIVOTDATA("Sum of Old UG E-Learning",'Pivot Table for Fact Book'!$A$3,"State","AR","type",15,"Type2","Four-Year")</f>
        <v>7703</v>
      </c>
      <c r="O27" s="93">
        <f>GETPIVOTDATA("Sum of New UG E-Learning",'Pivot Table for Fact Book'!$A$3,"State","AR","type",15,"Type2","Four-Year")</f>
        <v>20289</v>
      </c>
      <c r="P27" s="94">
        <f>GETPIVOTDATA("Sum of Old UG E-Learning",'Pivot Table for Fact Book'!$A$3,"State","AR","Type2","Four-Year")</f>
        <v>518392</v>
      </c>
      <c r="Q27" s="94">
        <f>GETPIVOTDATA("Sum of New UG E-Learning",'Pivot Table for Fact Book'!$A$3,"State","AR","Type2","Four-Year")</f>
        <v>1398902</v>
      </c>
      <c r="R27" s="92">
        <f>GETPIVOTDATA("Sum of Old UG E-Learning",'Pivot Table for Fact Book'!$A$3,"State","AR","type",7,"Type2","Two-Year")</f>
        <v>0</v>
      </c>
      <c r="S27" s="93">
        <f>GETPIVOTDATA("Sum of New UG E-Learning",'Pivot Table for Fact Book'!$A$3,"State","AR","type",7,"Type2","Two-Year")</f>
        <v>0</v>
      </c>
      <c r="T27" s="93">
        <f>GETPIVOTDATA("Sum of Old UG E-Learning",'Pivot Table for Fact Book'!$A$3,"State","AR","type",8,"Type2","Two-Year")</f>
        <v>53522</v>
      </c>
      <c r="U27" s="93">
        <f>GETPIVOTDATA("Sum of New UG E-Learning",'Pivot Table for Fact Book'!$A$3,"State","AR","type",8,"Type2","Two-Year")</f>
        <v>112166</v>
      </c>
      <c r="V27" s="93">
        <f>GETPIVOTDATA("Sum of Old UG E-Learning",'Pivot Table for Fact Book'!$A$3,"State","AR","type",9,"Type2","Two-Year")</f>
        <v>70849</v>
      </c>
      <c r="W27" s="93">
        <f>GETPIVOTDATA("Sum of New UG E-Learning",'Pivot Table for Fact Book'!$A$3,"State","AR","type",9,"Type2","Two-Year")</f>
        <v>101503</v>
      </c>
      <c r="X27" s="93">
        <f>GETPIVOTDATA("Sum of Old UG E-Learning",'Pivot Table for Fact Book'!$A$3,"State","AR","type",10,"Type2","Two-Year")</f>
        <v>209135</v>
      </c>
      <c r="Y27" s="93">
        <f>GETPIVOTDATA("Sum of New UG E-Learning",'Pivot Table for Fact Book'!$A$3,"State","AR","type",10,"Type2","Two-Year")</f>
        <v>258278</v>
      </c>
      <c r="Z27" s="95">
        <f>GETPIVOTDATA("Sum of Old UG E-Learning",'Pivot Table for Fact Book'!$A$3,"State","AR","Type2","Two-Year")</f>
        <v>333506</v>
      </c>
      <c r="AA27" s="95">
        <f>GETPIVOTDATA("Sum of New UG E-Learning",'Pivot Table for Fact Book'!$A$3,"State","AR","Type2","Two-Year")</f>
        <v>471947</v>
      </c>
      <c r="AB27" s="92">
        <f>+GETPIVOTDATA("Sum of Old UG E-Learning",'Pivot Table for Fact Book'!$A$3,"State","AR","type",12,"type2","Techncial")</f>
        <v>0</v>
      </c>
      <c r="AC27" s="93">
        <f>+GETPIVOTDATA("Sum of New UG E-Learning",'Pivot Table for Fact Book'!$A$3,"State","AR","type",12,"type2","Techncial")</f>
        <v>0</v>
      </c>
      <c r="AD27" s="93">
        <f>+GETPIVOTDATA("Sum of Old UG E-Learning",'Pivot Table for Fact Book'!$A$3,"State","AR","type",13,"type2","Techncial")</f>
        <v>0</v>
      </c>
      <c r="AE27" s="93">
        <f>+GETPIVOTDATA("Sum of New UG E-Learning",'Pivot Table for Fact Book'!$A$3,"State","AR","type",13,"type2","Techncial")</f>
        <v>0</v>
      </c>
      <c r="AF27" s="97">
        <f>+GETPIVOTDATA("Sum of Old UG E-Learning",'Pivot Table for Fact Book'!$A$3,"State","AR","type2","Techncial")</f>
        <v>0</v>
      </c>
      <c r="AG27" s="97">
        <f>+GETPIVOTDATA("Sum of New UG E-Learning",'Pivot Table for Fact Book'!$A$3,"State","AR","type2","Techncial")</f>
        <v>0</v>
      </c>
    </row>
    <row r="28" spans="1:33">
      <c r="A28" s="105" t="s">
        <v>620</v>
      </c>
      <c r="B28" s="92">
        <f>GETPIVOTDATA("Sum of Old UG E-Learning",'Pivot Table for Fact Book'!$A$3,"State","DE","type",1,"Type2","Four-Year")</f>
        <v>305833</v>
      </c>
      <c r="C28" s="93">
        <f>GETPIVOTDATA("Sum of New UG E-Learning",'Pivot Table for Fact Book'!$A$3,"State","DE","type",1,"Type2","Four-Year")</f>
        <v>358155</v>
      </c>
      <c r="D28" s="92">
        <f>GETPIVOTDATA("Sum of Old UG E-Learning",'Pivot Table for Fact Book'!$A$3,"State","DE","type",2,"Type2","Four-Year")</f>
        <v>0</v>
      </c>
      <c r="E28" s="93">
        <f>GETPIVOTDATA("Sum of New UG E-Learning",'Pivot Table for Fact Book'!$A$3,"State","DE","type",2,"Type2","Four-Year")</f>
        <v>0</v>
      </c>
      <c r="F28" s="92">
        <f>GETPIVOTDATA("Sum of Old UG E-Learning",'Pivot Table for Fact Book'!$A$3,"State","DE","type",3,"Type2","Four-Year")</f>
        <v>27268</v>
      </c>
      <c r="G28" s="93">
        <f>GETPIVOTDATA("Sum of New UG E-Learning",'Pivot Table for Fact Book'!$A$3,"State","DE","type",3,"Type2","Four-Year")</f>
        <v>36250</v>
      </c>
      <c r="H28" s="92">
        <f>GETPIVOTDATA("Sum of Old UG E-Learning",'Pivot Table for Fact Book'!$A$3,"State","DE","type",4,"Type2","Four-Year")</f>
        <v>0</v>
      </c>
      <c r="I28" s="93">
        <f>GETPIVOTDATA("Sum of New UG E-Learning",'Pivot Table for Fact Book'!$A$3,"State","DE","type",4,"Type2","Four-Year")</f>
        <v>0</v>
      </c>
      <c r="J28" s="92">
        <f>GETPIVOTDATA("Sum of Old UG E-Learning",'Pivot Table for Fact Book'!$A$3,"State","DE","type",5,"Type2","Four-Year")</f>
        <v>0</v>
      </c>
      <c r="K28" s="93">
        <f>GETPIVOTDATA("Sum of New UG E-Learning",'Pivot Table for Fact Book'!$A$3,"State","DE","type",5,"Type2","Four-Year")</f>
        <v>0</v>
      </c>
      <c r="L28" s="92">
        <f>GETPIVOTDATA("Sum of Old UG E-Learning",'Pivot Table for Fact Book'!$A$3,"State","DE","type",6,"Type2","Four-Year")</f>
        <v>0</v>
      </c>
      <c r="M28" s="93">
        <f>GETPIVOTDATA("Sum of New UG E-Learning",'Pivot Table for Fact Book'!$A$3,"State","DE","type",6,"Type2","Four-Year")</f>
        <v>0</v>
      </c>
      <c r="N28" s="92">
        <f>GETPIVOTDATA("Sum of Old UG E-Learning",'Pivot Table for Fact Book'!$A$3,"State","DE","type",15,"Type2","Four-Year")</f>
        <v>0</v>
      </c>
      <c r="O28" s="93">
        <f>GETPIVOTDATA("Sum of New UG E-Learning",'Pivot Table for Fact Book'!$A$3,"State","DE","type",15,"Type2","Four-Year")</f>
        <v>0</v>
      </c>
      <c r="P28" s="94">
        <f>GETPIVOTDATA("Sum of Old UG E-Learning",'Pivot Table for Fact Book'!$A$3,"State","DE","Type2","Four-Year")</f>
        <v>333101</v>
      </c>
      <c r="Q28" s="94">
        <f>GETPIVOTDATA("Sum of New UG E-Learning",'Pivot Table for Fact Book'!$A$3,"State","DE","Type2","Four-Year")</f>
        <v>394405</v>
      </c>
      <c r="R28" s="92">
        <f>GETPIVOTDATA("Sum of Old UG E-Learning",'Pivot Table for Fact Book'!$A$3,"State","DE","type",7,"Type2","Two-Year")</f>
        <v>62047</v>
      </c>
      <c r="S28" s="93">
        <f>GETPIVOTDATA("Sum of New UG E-Learning",'Pivot Table for Fact Book'!$A$3,"State","DE","type",7,"Type2","Two-Year")</f>
        <v>210599</v>
      </c>
      <c r="T28" s="93">
        <f>GETPIVOTDATA("Sum of Old UG E-Learning",'Pivot Table for Fact Book'!$A$3,"State","DE","type",8,"Type2","Two-Year")</f>
        <v>0</v>
      </c>
      <c r="U28" s="93">
        <f>GETPIVOTDATA("Sum of New UG E-Learning",'Pivot Table for Fact Book'!$A$3,"State","DE","type",8,"Type2","Two-Year")</f>
        <v>0</v>
      </c>
      <c r="V28" s="93">
        <f>GETPIVOTDATA("Sum of Old UG E-Learning",'Pivot Table for Fact Book'!$A$3,"State","DE","type",9,"Type2","Two-Year")</f>
        <v>0</v>
      </c>
      <c r="W28" s="93">
        <f>GETPIVOTDATA("Sum of New UG E-Learning",'Pivot Table for Fact Book'!$A$3,"State","DE","type",9,"Type2","Two-Year")</f>
        <v>0</v>
      </c>
      <c r="X28" s="93">
        <f>GETPIVOTDATA("Sum of Old UG E-Learning",'Pivot Table for Fact Book'!$A$3,"State","DE","type",10,"Type2","Two-Year")</f>
        <v>0</v>
      </c>
      <c r="Y28" s="93">
        <f>GETPIVOTDATA("Sum of New UG E-Learning",'Pivot Table for Fact Book'!$A$3,"State","DE","type",10,"Type2","Two-Year")</f>
        <v>0</v>
      </c>
      <c r="Z28" s="95">
        <f>GETPIVOTDATA("Sum of Old UG E-Learning",'Pivot Table for Fact Book'!$A$3,"State","DE","Type2","Two-Year")</f>
        <v>62047</v>
      </c>
      <c r="AA28" s="95">
        <f>GETPIVOTDATA("Sum of New UG E-Learning",'Pivot Table for Fact Book'!$A$3,"State","DE","Type2","Two-Year")</f>
        <v>210599</v>
      </c>
      <c r="AB28" s="92">
        <f>+GETPIVOTDATA("Sum of Old UG E-Learning",'Pivot Table for Fact Book'!$A$3,"State","DE","type",12,"type2","Techncial")</f>
        <v>0</v>
      </c>
      <c r="AC28" s="93">
        <f>+GETPIVOTDATA("Sum of New UG E-Learning",'Pivot Table for Fact Book'!$A$3,"State","DE","type",12,"type2","Techncial")</f>
        <v>0</v>
      </c>
      <c r="AD28" s="93">
        <f>+GETPIVOTDATA("Sum of Old UG E-Learning",'Pivot Table for Fact Book'!$A$3,"State","DE","type",13,"type2","Techncial")</f>
        <v>0</v>
      </c>
      <c r="AE28" s="93">
        <f>+GETPIVOTDATA("Sum of New UG E-Learning",'Pivot Table for Fact Book'!$A$3,"State","DE","type",13,"type2","Techncial")</f>
        <v>0</v>
      </c>
      <c r="AF28" s="97">
        <f>+GETPIVOTDATA("Sum of Old UG E-Learning",'Pivot Table for Fact Book'!$A$3,"State","DE","type2","Techncial")</f>
        <v>0</v>
      </c>
      <c r="AG28" s="97">
        <f>+GETPIVOTDATA("Sum of New UG E-Learning",'Pivot Table for Fact Book'!$A$3,"State","DE","type2","Techncial")</f>
        <v>0</v>
      </c>
    </row>
    <row r="29" spans="1:33">
      <c r="A29" s="105" t="s">
        <v>621</v>
      </c>
      <c r="B29" s="92">
        <f>GETPIVOTDATA("Sum of Old UG E-Learning",'Pivot Table for Fact Book'!$A$3,"State","FL","type",1,"Type2","Four-Year")</f>
        <v>0</v>
      </c>
      <c r="C29" s="93">
        <f>GETPIVOTDATA("Sum of New UG E-Learning",'Pivot Table for Fact Book'!$A$3,"State","FL","type",1,"Type2","Four-Year")</f>
        <v>0</v>
      </c>
      <c r="D29" s="92">
        <f>GETPIVOTDATA("Sum of Old UG E-Learning",'Pivot Table for Fact Book'!$A$3,"State","FL","type",2,"Type2","Four-Year")</f>
        <v>0</v>
      </c>
      <c r="E29" s="93">
        <f>GETPIVOTDATA("Sum of New UG E-Learning",'Pivot Table for Fact Book'!$A$3,"State","FL","type",2,"Type2","Four-Year")</f>
        <v>0</v>
      </c>
      <c r="F29" s="92">
        <f>GETPIVOTDATA("Sum of Old UG E-Learning",'Pivot Table for Fact Book'!$A$3,"State","FL","type",3,"Type2","Four-Year")</f>
        <v>0</v>
      </c>
      <c r="G29" s="93">
        <f>GETPIVOTDATA("Sum of New UG E-Learning",'Pivot Table for Fact Book'!$A$3,"State","FL","type",3,"Type2","Four-Year")</f>
        <v>0</v>
      </c>
      <c r="H29" s="92">
        <f>GETPIVOTDATA("Sum of Old UG E-Learning",'Pivot Table for Fact Book'!$A$3,"State","FL","type",4,"Type2","Four-Year")</f>
        <v>0</v>
      </c>
      <c r="I29" s="93">
        <f>GETPIVOTDATA("Sum of New UG E-Learning",'Pivot Table for Fact Book'!$A$3,"State","FL","type",4,"Type2","Four-Year")</f>
        <v>0</v>
      </c>
      <c r="J29" s="92">
        <f>GETPIVOTDATA("Sum of Old UG E-Learning",'Pivot Table for Fact Book'!$A$3,"State","FL","type",5,"Type2","Four-Year")</f>
        <v>0</v>
      </c>
      <c r="K29" s="93">
        <f>GETPIVOTDATA("Sum of New UG E-Learning",'Pivot Table for Fact Book'!$A$3,"State","FL","type",5,"Type2","Four-Year")</f>
        <v>0</v>
      </c>
      <c r="L29" s="92">
        <f>GETPIVOTDATA("Sum of Old UG E-Learning",'Pivot Table for Fact Book'!$A$3,"State","FL","type",6,"Type2","Four-Year")</f>
        <v>0</v>
      </c>
      <c r="M29" s="93">
        <f>GETPIVOTDATA("Sum of New UG E-Learning",'Pivot Table for Fact Book'!$A$3,"State","FL","type",6,"Type2","Four-Year")</f>
        <v>0</v>
      </c>
      <c r="N29" s="92">
        <f>GETPIVOTDATA("Sum of Old UG E-Learning",'Pivot Table for Fact Book'!$A$3,"State","FL","type",15,"Type2","Four-Year")</f>
        <v>0</v>
      </c>
      <c r="O29" s="93">
        <f>GETPIVOTDATA("Sum of New UG E-Learning",'Pivot Table for Fact Book'!$A$3,"State","FL","type",15,"Type2","Four-Year")</f>
        <v>0</v>
      </c>
      <c r="P29" s="94">
        <f>GETPIVOTDATA("Sum of Old UG E-Learning",'Pivot Table for Fact Book'!$A$3,"State","FL","Type2","Four-Year")</f>
        <v>0</v>
      </c>
      <c r="Q29" s="94">
        <f>GETPIVOTDATA("Sum of New UG E-Learning",'Pivot Table for Fact Book'!$A$3,"State","FL","Type2","Four-Year")</f>
        <v>0</v>
      </c>
      <c r="R29" s="92">
        <f>GETPIVOTDATA("Sum of Old UG E-Learning",'Pivot Table for Fact Book'!$A$3,"State","FL","type",7,"Type2","Two-Year")</f>
        <v>4832411</v>
      </c>
      <c r="S29" s="93">
        <f>GETPIVOTDATA("Sum of New UG E-Learning",'Pivot Table for Fact Book'!$A$3,"State","FL","type",7,"Type2","Two-Year")</f>
        <v>5028524</v>
      </c>
      <c r="T29" s="93">
        <f>GETPIVOTDATA("Sum of Old UG E-Learning",'Pivot Table for Fact Book'!$A$3,"State","FL","type",8,"Type2","Two-Year")</f>
        <v>521344</v>
      </c>
      <c r="U29" s="93">
        <f>GETPIVOTDATA("Sum of New UG E-Learning",'Pivot Table for Fact Book'!$A$3,"State","FL","type",8,"Type2","Two-Year")</f>
        <v>580536</v>
      </c>
      <c r="V29" s="93">
        <f>GETPIVOTDATA("Sum of Old UG E-Learning",'Pivot Table for Fact Book'!$A$3,"State","FL","type",9,"Type2","Two-Year")</f>
        <v>0</v>
      </c>
      <c r="W29" s="93">
        <f>GETPIVOTDATA("Sum of New UG E-Learning",'Pivot Table for Fact Book'!$A$3,"State","FL","type",9,"Type2","Two-Year")</f>
        <v>0</v>
      </c>
      <c r="X29" s="93">
        <f>GETPIVOTDATA("Sum of Old UG E-Learning",'Pivot Table for Fact Book'!$A$3,"State","FL","type",10,"Type2","Two-Year")</f>
        <v>24348</v>
      </c>
      <c r="Y29" s="93">
        <f>GETPIVOTDATA("Sum of New UG E-Learning",'Pivot Table for Fact Book'!$A$3,"State","FL","type",10,"Type2","Two-Year")</f>
        <v>25842</v>
      </c>
      <c r="Z29" s="95">
        <f>GETPIVOTDATA("Sum of Old UG E-Learning",'Pivot Table for Fact Book'!$A$3,"State","FL","Type2","Two-Year")</f>
        <v>5378103</v>
      </c>
      <c r="AA29" s="95">
        <f>GETPIVOTDATA("Sum of New UG E-Learning",'Pivot Table for Fact Book'!$A$3,"State","FL","Type2","Two-Year")</f>
        <v>5634902</v>
      </c>
      <c r="AB29" s="92">
        <f>+GETPIVOTDATA("Sum of Old UG E-Learning",'Pivot Table for Fact Book'!$A$3,"State","FL","type",12,"type2","Techncial")</f>
        <v>0</v>
      </c>
      <c r="AC29" s="93">
        <f>+GETPIVOTDATA("Sum of New UG E-Learning",'Pivot Table for Fact Book'!$A$3,"State","FL","type",12,"type2","Techncial")</f>
        <v>0</v>
      </c>
      <c r="AD29" s="93">
        <f>+GETPIVOTDATA("Sum of Old UG E-Learning",'Pivot Table for Fact Book'!$A$3,"State","FL","type",13,"type2","Techncial")</f>
        <v>0</v>
      </c>
      <c r="AE29" s="93">
        <f>+GETPIVOTDATA("Sum of New UG E-Learning",'Pivot Table for Fact Book'!$A$3,"State","FL","type",13,"type2","Techncial")</f>
        <v>0</v>
      </c>
      <c r="AF29" s="97">
        <f>+GETPIVOTDATA("Sum of Old UG E-Learning",'Pivot Table for Fact Book'!$A$3,"State","FL","type2","Techncial")</f>
        <v>0</v>
      </c>
      <c r="AG29" s="97">
        <f>+GETPIVOTDATA("Sum of New UG E-Learning",'Pivot Table for Fact Book'!$A$3,"State","FL","type2","Techncial")</f>
        <v>0</v>
      </c>
    </row>
    <row r="30" spans="1:33">
      <c r="A30" s="105" t="s">
        <v>622</v>
      </c>
      <c r="B30" s="92">
        <f>GETPIVOTDATA("Sum of Old UG E-Learning",'Pivot Table for Fact Book'!$A$3,"State","GA","type",1,"Type2","Four-Year")</f>
        <v>857281</v>
      </c>
      <c r="C30" s="93">
        <f>GETPIVOTDATA("Sum of New UG E-Learning",'Pivot Table for Fact Book'!$A$3,"State","GA","type",1,"Type2","Four-Year")</f>
        <v>870764.5</v>
      </c>
      <c r="D30" s="92">
        <f>GETPIVOTDATA("Sum of Old UG E-Learning",'Pivot Table for Fact Book'!$A$3,"State","GA","type",2,"Type2","Four-Year")</f>
        <v>274488</v>
      </c>
      <c r="E30" s="93">
        <f>GETPIVOTDATA("Sum of New UG E-Learning",'Pivot Table for Fact Book'!$A$3,"State","GA","type",2,"Type2","Four-Year")</f>
        <v>276374</v>
      </c>
      <c r="F30" s="92">
        <f>GETPIVOTDATA("Sum of Old UG E-Learning",'Pivot Table for Fact Book'!$A$3,"State","GA","type",3,"Type2","Four-Year")</f>
        <v>1049946</v>
      </c>
      <c r="G30" s="93">
        <f>GETPIVOTDATA("Sum of New UG E-Learning",'Pivot Table for Fact Book'!$A$3,"State","GA","type",3,"Type2","Four-Year")</f>
        <v>1028183</v>
      </c>
      <c r="H30" s="92">
        <f>GETPIVOTDATA("Sum of Old UG E-Learning",'Pivot Table for Fact Book'!$A$3,"State","GA","type",4,"Type2","Four-Year")</f>
        <v>526811</v>
      </c>
      <c r="I30" s="93">
        <f>GETPIVOTDATA("Sum of New UG E-Learning",'Pivot Table for Fact Book'!$A$3,"State","GA","type",4,"Type2","Four-Year")</f>
        <v>539017</v>
      </c>
      <c r="J30" s="92">
        <f>GETPIVOTDATA("Sum of Old UG E-Learning",'Pivot Table for Fact Book'!$A$3,"State","GA","type",5,"Type2","Four-Year")</f>
        <v>167798</v>
      </c>
      <c r="K30" s="93">
        <f>GETPIVOTDATA("Sum of New UG E-Learning",'Pivot Table for Fact Book'!$A$3,"State","GA","type",5,"Type2","Four-Year")</f>
        <v>167569</v>
      </c>
      <c r="L30" s="92">
        <f>GETPIVOTDATA("Sum of Old UG E-Learning",'Pivot Table for Fact Book'!$A$3,"State","GA","type",6,"Type2","Four-Year")</f>
        <v>249310</v>
      </c>
      <c r="M30" s="93">
        <f>GETPIVOTDATA("Sum of New UG E-Learning",'Pivot Table for Fact Book'!$A$3,"State","GA","type",6,"Type2","Four-Year")</f>
        <v>247397</v>
      </c>
      <c r="N30" s="92">
        <f>GETPIVOTDATA("Sum of Old UG E-Learning",'Pivot Table for Fact Book'!$A$3,"State","GA","type",15,"Type2","Four-Year")</f>
        <v>0</v>
      </c>
      <c r="O30" s="93">
        <f>GETPIVOTDATA("Sum of New UG E-Learning",'Pivot Table for Fact Book'!$A$3,"State","GA","type",15,"Type2","Four-Year")</f>
        <v>0</v>
      </c>
      <c r="P30" s="94">
        <f>GETPIVOTDATA("Sum of Old UG E-Learning",'Pivot Table for Fact Book'!$A$3,"State","GA","Type2","Four-Year")</f>
        <v>3125634</v>
      </c>
      <c r="Q30" s="94">
        <f>GETPIVOTDATA("Sum of New UG E-Learning",'Pivot Table for Fact Book'!$A$3,"State","GA","Type2","Four-Year")</f>
        <v>3129304.5</v>
      </c>
      <c r="R30" s="92">
        <f>GETPIVOTDATA("Sum of Old UG E-Learning",'Pivot Table for Fact Book'!$A$3,"State","GA","type",7,"Type2","Two-Year")</f>
        <v>144634</v>
      </c>
      <c r="S30" s="93">
        <f>GETPIVOTDATA("Sum of New UG E-Learning",'Pivot Table for Fact Book'!$A$3,"State","GA","type",7,"Type2","Two-Year")</f>
        <v>147094</v>
      </c>
      <c r="T30" s="93">
        <f>GETPIVOTDATA("Sum of Old UG E-Learning",'Pivot Table for Fact Book'!$A$3,"State","GA","type",8,"Type2","Two-Year")</f>
        <v>0</v>
      </c>
      <c r="U30" s="93">
        <f>GETPIVOTDATA("Sum of New UG E-Learning",'Pivot Table for Fact Book'!$A$3,"State","GA","type",8,"Type2","Two-Year")</f>
        <v>0</v>
      </c>
      <c r="V30" s="93">
        <f>GETPIVOTDATA("Sum of Old UG E-Learning",'Pivot Table for Fact Book'!$A$3,"State","GA","type",9,"Type2","Two-Year")</f>
        <v>0</v>
      </c>
      <c r="W30" s="93">
        <f>GETPIVOTDATA("Sum of New UG E-Learning",'Pivot Table for Fact Book'!$A$3,"State","GA","type",9,"Type2","Two-Year")</f>
        <v>0</v>
      </c>
      <c r="X30" s="93">
        <f>GETPIVOTDATA("Sum of Old UG E-Learning",'Pivot Table for Fact Book'!$A$3,"State","GA","type",10,"Type2","Two-Year")</f>
        <v>0</v>
      </c>
      <c r="Y30" s="93">
        <f>GETPIVOTDATA("Sum of New UG E-Learning",'Pivot Table for Fact Book'!$A$3,"State","GA","type",10,"Type2","Two-Year")</f>
        <v>0</v>
      </c>
      <c r="Z30" s="95">
        <f>GETPIVOTDATA("Sum of Old UG E-Learning",'Pivot Table for Fact Book'!$A$3,"State","GA","Type2","Two-Year")</f>
        <v>144634</v>
      </c>
      <c r="AA30" s="95">
        <f>GETPIVOTDATA("Sum of New UG E-Learning",'Pivot Table for Fact Book'!$A$3,"State","GA","Type2","Two-Year")</f>
        <v>147094</v>
      </c>
      <c r="AB30" s="92">
        <f>+GETPIVOTDATA("Sum of Old UG E-Learning",'Pivot Table for Fact Book'!$A$3,"State","GA","type",12,"type2","Techncial")</f>
        <v>1090357</v>
      </c>
      <c r="AC30" s="93">
        <f>+GETPIVOTDATA("Sum of New UG E-Learning",'Pivot Table for Fact Book'!$A$3,"State","GA","type",12,"type2","Techncial")</f>
        <v>1084016</v>
      </c>
      <c r="AD30" s="93">
        <f>+GETPIVOTDATA("Sum of Old UG E-Learning",'Pivot Table for Fact Book'!$A$3,"State","GA","type",13,"type2","Techncial")</f>
        <v>0</v>
      </c>
      <c r="AE30" s="93">
        <f>+GETPIVOTDATA("Sum of New UG E-Learning",'Pivot Table for Fact Book'!$A$3,"State","GA","type",13,"type2","Techncial")</f>
        <v>0</v>
      </c>
      <c r="AF30" s="97">
        <f>+GETPIVOTDATA("Sum of Old UG E-Learning",'Pivot Table for Fact Book'!$A$3,"State","GA","type2","Techncial")</f>
        <v>1090357</v>
      </c>
      <c r="AG30" s="97">
        <f>+GETPIVOTDATA("Sum of New UG E-Learning",'Pivot Table for Fact Book'!$A$3,"State","GA","type2","Techncial")</f>
        <v>1084016</v>
      </c>
    </row>
    <row r="31" spans="1:33">
      <c r="A31" s="105" t="s">
        <v>623</v>
      </c>
      <c r="B31" s="92">
        <f>GETPIVOTDATA("Sum of Old UG E-Learning",'Pivot Table for Fact Book'!$A$3,"State","KY","type",1,"Type2","Four-Year")</f>
        <v>390743</v>
      </c>
      <c r="C31" s="93">
        <f>GETPIVOTDATA("Sum of New UG E-Learning",'Pivot Table for Fact Book'!$A$3,"State","KY","type",1,"Type2","Four-Year")</f>
        <v>449968</v>
      </c>
      <c r="D31" s="92">
        <f>GETPIVOTDATA("Sum of Old UG E-Learning",'Pivot Table for Fact Book'!$A$3,"State","KY","type",2,"Type2","Four-Year")</f>
        <v>0</v>
      </c>
      <c r="E31" s="93">
        <f>GETPIVOTDATA("Sum of New UG E-Learning",'Pivot Table for Fact Book'!$A$3,"State","KY","type",2,"Type2","Four-Year")</f>
        <v>0</v>
      </c>
      <c r="F31" s="92">
        <f>GETPIVOTDATA("Sum of Old UG E-Learning",'Pivot Table for Fact Book'!$A$3,"State","KY","type",3,"Type2","Four-Year")</f>
        <v>516956</v>
      </c>
      <c r="G31" s="93">
        <f>GETPIVOTDATA("Sum of New UG E-Learning",'Pivot Table for Fact Book'!$A$3,"State","KY","type",3,"Type2","Four-Year")</f>
        <v>585725</v>
      </c>
      <c r="H31" s="92">
        <f>GETPIVOTDATA("Sum of Old UG E-Learning",'Pivot Table for Fact Book'!$A$3,"State","KY","type",4,"Type2","Four-Year")</f>
        <v>18791</v>
      </c>
      <c r="I31" s="93">
        <f>GETPIVOTDATA("Sum of New UG E-Learning",'Pivot Table for Fact Book'!$A$3,"State","KY","type",4,"Type2","Four-Year")</f>
        <v>33873</v>
      </c>
      <c r="J31" s="92">
        <f>GETPIVOTDATA("Sum of Old UG E-Learning",'Pivot Table for Fact Book'!$A$3,"State","KY","type",5,"Type2","Four-Year")</f>
        <v>0</v>
      </c>
      <c r="K31" s="93">
        <f>GETPIVOTDATA("Sum of New UG E-Learning",'Pivot Table for Fact Book'!$A$3,"State","KY","type",5,"Type2","Four-Year")</f>
        <v>0</v>
      </c>
      <c r="L31" s="92">
        <f>GETPIVOTDATA("Sum of Old UG E-Learning",'Pivot Table for Fact Book'!$A$3,"State","KY","type",6,"Type2","Four-Year")</f>
        <v>0</v>
      </c>
      <c r="M31" s="93">
        <f>GETPIVOTDATA("Sum of New UG E-Learning",'Pivot Table for Fact Book'!$A$3,"State","KY","type",6,"Type2","Four-Year")</f>
        <v>0</v>
      </c>
      <c r="N31" s="92">
        <f>GETPIVOTDATA("Sum of Old UG E-Learning",'Pivot Table for Fact Book'!$A$3,"State","KY","type",15,"Type2","Four-Year")</f>
        <v>0</v>
      </c>
      <c r="O31" s="93">
        <f>GETPIVOTDATA("Sum of New UG E-Learning",'Pivot Table for Fact Book'!$A$3,"State","KY","type",15,"Type2","Four-Year")</f>
        <v>0</v>
      </c>
      <c r="P31" s="94">
        <f>GETPIVOTDATA("Sum of Old UG E-Learning",'Pivot Table for Fact Book'!$A$3,"State","KY","Type2","Four-Year")</f>
        <v>926490</v>
      </c>
      <c r="Q31" s="94">
        <f>GETPIVOTDATA("Sum of New UG E-Learning",'Pivot Table for Fact Book'!$A$3,"State","KY","Type2","Four-Year")</f>
        <v>1069566</v>
      </c>
      <c r="R31" s="92">
        <f>GETPIVOTDATA("Sum of Old UG E-Learning",'Pivot Table for Fact Book'!$A$3,"State","KY","type",7,"Type2","Two-Year")</f>
        <v>0</v>
      </c>
      <c r="S31" s="93">
        <f>GETPIVOTDATA("Sum of New UG E-Learning",'Pivot Table for Fact Book'!$A$3,"State","KY","type",7,"Type2","Two-Year")</f>
        <v>0</v>
      </c>
      <c r="T31" s="93">
        <f>GETPIVOTDATA("Sum of Old UG E-Learning",'Pivot Table for Fact Book'!$A$3,"State","KY","type",8,"Type2","Two-Year")</f>
        <v>182379</v>
      </c>
      <c r="U31" s="93">
        <f>GETPIVOTDATA("Sum of New UG E-Learning",'Pivot Table for Fact Book'!$A$3,"State","KY","type",8,"Type2","Two-Year")</f>
        <v>119129</v>
      </c>
      <c r="V31" s="93">
        <f>GETPIVOTDATA("Sum of Old UG E-Learning",'Pivot Table for Fact Book'!$A$3,"State","KY","type",9,"Type2","Two-Year")</f>
        <v>218484</v>
      </c>
      <c r="W31" s="93">
        <f>GETPIVOTDATA("Sum of New UG E-Learning",'Pivot Table for Fact Book'!$A$3,"State","KY","type",9,"Type2","Two-Year")</f>
        <v>125439</v>
      </c>
      <c r="X31" s="93">
        <f>GETPIVOTDATA("Sum of Old UG E-Learning",'Pivot Table for Fact Book'!$A$3,"State","KY","type",10,"Type2","Two-Year")</f>
        <v>178333</v>
      </c>
      <c r="Y31" s="93">
        <f>GETPIVOTDATA("Sum of New UG E-Learning",'Pivot Table for Fact Book'!$A$3,"State","KY","type",10,"Type2","Two-Year")</f>
        <v>103579</v>
      </c>
      <c r="Z31" s="95">
        <f>GETPIVOTDATA("Sum of Old UG E-Learning",'Pivot Table for Fact Book'!$A$3,"State","KY","Type2","Two-Year")</f>
        <v>579196</v>
      </c>
      <c r="AA31" s="95">
        <f>GETPIVOTDATA("Sum of New UG E-Learning",'Pivot Table for Fact Book'!$A$3,"State","KY","Type2","Two-Year")</f>
        <v>348147</v>
      </c>
      <c r="AB31" s="92">
        <f>+GETPIVOTDATA("Sum of Old UG E-Learning",'Pivot Table for Fact Book'!$A$3,"State","KY","type",12,"type2","Techncial")</f>
        <v>65903</v>
      </c>
      <c r="AC31" s="93">
        <f>+GETPIVOTDATA("Sum of New UG E-Learning",'Pivot Table for Fact Book'!$A$3,"State","KY","type",12,"type2","Techncial")</f>
        <v>59440</v>
      </c>
      <c r="AD31" s="93">
        <f>+GETPIVOTDATA("Sum of Old UG E-Learning",'Pivot Table for Fact Book'!$A$3,"State","KY","type",13,"type2","Techncial")</f>
        <v>0</v>
      </c>
      <c r="AE31" s="93">
        <f>+GETPIVOTDATA("Sum of New UG E-Learning",'Pivot Table for Fact Book'!$A$3,"State","KY","type",13,"type2","Techncial")</f>
        <v>0</v>
      </c>
      <c r="AF31" s="97">
        <f>+GETPIVOTDATA("Sum of Old UG E-Learning",'Pivot Table for Fact Book'!$A$3,"State","KY","type2","Techncial")</f>
        <v>65903</v>
      </c>
      <c r="AG31" s="97">
        <f>+GETPIVOTDATA("Sum of New UG E-Learning",'Pivot Table for Fact Book'!$A$3,"State","KY","type2","Techncial")</f>
        <v>59440</v>
      </c>
    </row>
    <row r="32" spans="1:33">
      <c r="A32" s="105" t="s">
        <v>624</v>
      </c>
      <c r="B32" s="92">
        <f>GETPIVOTDATA("Sum of Old UG E-Learning",'Pivot Table for Fact Book'!$A$3,"State","LA","type",1,"Type2","Four-Year")</f>
        <v>244279.40988299699</v>
      </c>
      <c r="C32" s="93">
        <f>GETPIVOTDATA("Sum of New UG E-Learning",'Pivot Table for Fact Book'!$A$3,"State","LA","type",1,"Type2","Four-Year")</f>
        <v>283512.59377608198</v>
      </c>
      <c r="D32" s="92">
        <f>GETPIVOTDATA("Sum of Old UG E-Learning",'Pivot Table for Fact Book'!$A$3,"State","LA","type",2,"Type2","Four-Year")</f>
        <v>222425.97434551641</v>
      </c>
      <c r="E32" s="93">
        <f>GETPIVOTDATA("Sum of New UG E-Learning",'Pivot Table for Fact Book'!$A$3,"State","LA","type",2,"Type2","Four-Year")</f>
        <v>275569.5980476102</v>
      </c>
      <c r="F32" s="92">
        <f>GETPIVOTDATA("Sum of Old UG E-Learning",'Pivot Table for Fact Book'!$A$3,"State","LA","type",3,"Type2","Four-Year")</f>
        <v>335432.53971201892</v>
      </c>
      <c r="G32" s="93">
        <f>GETPIVOTDATA("Sum of New UG E-Learning",'Pivot Table for Fact Book'!$A$3,"State","LA","type",3,"Type2","Four-Year")</f>
        <v>238753.18359789456</v>
      </c>
      <c r="H32" s="92">
        <f>GETPIVOTDATA("Sum of Old UG E-Learning",'Pivot Table for Fact Book'!$A$3,"State","LA","type",4,"Type2","Four-Year")</f>
        <v>287338.20759294071</v>
      </c>
      <c r="I32" s="93">
        <f>GETPIVOTDATA("Sum of New UG E-Learning",'Pivot Table for Fact Book'!$A$3,"State","LA","type",4,"Type2","Four-Year")</f>
        <v>303250.86201895133</v>
      </c>
      <c r="J32" s="92">
        <f>GETPIVOTDATA("Sum of Old UG E-Learning",'Pivot Table for Fact Book'!$A$3,"State","LA","type",5,"Type2","Four-Year")</f>
        <v>41596</v>
      </c>
      <c r="K32" s="93">
        <f>GETPIVOTDATA("Sum of New UG E-Learning",'Pivot Table for Fact Book'!$A$3,"State","LA","type",5,"Type2","Four-Year")</f>
        <v>36080</v>
      </c>
      <c r="L32" s="92">
        <f>GETPIVOTDATA("Sum of Old UG E-Learning",'Pivot Table for Fact Book'!$A$3,"State","LA","type",6,"Type2","Four-Year")</f>
        <v>39002.3908045977</v>
      </c>
      <c r="M32" s="93">
        <f>GETPIVOTDATA("Sum of New UG E-Learning",'Pivot Table for Fact Book'!$A$3,"State","LA","type",6,"Type2","Four-Year")</f>
        <v>47796.380699088098</v>
      </c>
      <c r="N32" s="92">
        <f>GETPIVOTDATA("Sum of Old UG E-Learning",'Pivot Table for Fact Book'!$A$3,"State","LA","type",15,"Type2","Four-Year")</f>
        <v>0</v>
      </c>
      <c r="O32" s="93">
        <f>GETPIVOTDATA("Sum of New UG E-Learning",'Pivot Table for Fact Book'!$A$3,"State","LA","type",15,"Type2","Four-Year")</f>
        <v>0</v>
      </c>
      <c r="P32" s="94">
        <f>GETPIVOTDATA("Sum of Old UG E-Learning",'Pivot Table for Fact Book'!$A$3,"State","LA","Type2","Four-Year")</f>
        <v>1170074.5223380707</v>
      </c>
      <c r="Q32" s="94">
        <f>GETPIVOTDATA("Sum of New UG E-Learning",'Pivot Table for Fact Book'!$A$3,"State","LA","Type2","Four-Year")</f>
        <v>1184962.618139626</v>
      </c>
      <c r="R32" s="92">
        <f>GETPIVOTDATA("Sum of Old UG E-Learning",'Pivot Table for Fact Book'!$A$3,"State","LA","type",7,"Type2","Two-Year")</f>
        <v>0</v>
      </c>
      <c r="S32" s="93">
        <f>GETPIVOTDATA("Sum of New UG E-Learning",'Pivot Table for Fact Book'!$A$3,"State","LA","type",7,"Type2","Two-Year")</f>
        <v>0</v>
      </c>
      <c r="T32" s="93">
        <f>GETPIVOTDATA("Sum of Old UG E-Learning",'Pivot Table for Fact Book'!$A$3,"State","LA","type",8,"Type2","Two-Year")</f>
        <v>240471.1560552216</v>
      </c>
      <c r="U32" s="93">
        <f>GETPIVOTDATA("Sum of New UG E-Learning",'Pivot Table for Fact Book'!$A$3,"State","LA","type",8,"Type2","Two-Year")</f>
        <v>271406.37318934099</v>
      </c>
      <c r="V32" s="93">
        <f>GETPIVOTDATA("Sum of Old UG E-Learning",'Pivot Table for Fact Book'!$A$3,"State","LA","type",9,"Type2","Two-Year")</f>
        <v>228954.14050504399</v>
      </c>
      <c r="W32" s="93">
        <f>GETPIVOTDATA("Sum of New UG E-Learning",'Pivot Table for Fact Book'!$A$3,"State","LA","type",9,"Type2","Two-Year")</f>
        <v>233389.97918793201</v>
      </c>
      <c r="X32" s="93">
        <f>GETPIVOTDATA("Sum of Old UG E-Learning",'Pivot Table for Fact Book'!$A$3,"State","LA","type",10,"Type2","Two-Year")</f>
        <v>47208.8405226588</v>
      </c>
      <c r="Y32" s="93">
        <f>GETPIVOTDATA("Sum of New UG E-Learning",'Pivot Table for Fact Book'!$A$3,"State","LA","type",10,"Type2","Two-Year")</f>
        <v>43174.3604809709</v>
      </c>
      <c r="Z32" s="95">
        <f>GETPIVOTDATA("Sum of Old UG E-Learning",'Pivot Table for Fact Book'!$A$3,"State","LA","Type2","Two-Year")</f>
        <v>516634.13708292437</v>
      </c>
      <c r="AA32" s="95">
        <f>GETPIVOTDATA("Sum of New UG E-Learning",'Pivot Table for Fact Book'!$A$3,"State","LA","Type2","Two-Year")</f>
        <v>547970.71285824385</v>
      </c>
      <c r="AB32" s="92">
        <f>+GETPIVOTDATA("Sum of Old UG E-Learning",'Pivot Table for Fact Book'!$A$3,"State","LA","type",12,"type2","Techncial")</f>
        <v>68705.088199322898</v>
      </c>
      <c r="AC32" s="93">
        <f>+GETPIVOTDATA("Sum of New UG E-Learning",'Pivot Table for Fact Book'!$A$3,"State","LA","type",12,"type2","Techncial")</f>
        <v>73968.779208558</v>
      </c>
      <c r="AD32" s="93">
        <f>+GETPIVOTDATA("Sum of Old UG E-Learning",'Pivot Table for Fact Book'!$A$3,"State","LA","type",13,"type2","Techncial")</f>
        <v>1964.8940397351</v>
      </c>
      <c r="AE32" s="93">
        <f>+GETPIVOTDATA("Sum of New UG E-Learning",'Pivot Table for Fact Book'!$A$3,"State","LA","type",13,"type2","Techncial")</f>
        <v>905.35053763440897</v>
      </c>
      <c r="AF32" s="97">
        <f>+GETPIVOTDATA("Sum of Old UG E-Learning",'Pivot Table for Fact Book'!$A$3,"State","LA","type2","Techncial")</f>
        <v>70669.982239057994</v>
      </c>
      <c r="AG32" s="97">
        <f>+GETPIVOTDATA("Sum of New UG E-Learning",'Pivot Table for Fact Book'!$A$3,"State","LA","type2","Techncial")</f>
        <v>74874.129746192411</v>
      </c>
    </row>
    <row r="33" spans="1:33">
      <c r="A33" s="105" t="s">
        <v>625</v>
      </c>
      <c r="B33" s="92">
        <f>GETPIVOTDATA("Sum of Old UG E-Learning",'Pivot Table for Fact Book'!$A$3,"State","MD","type",1,"Type2","Four-Year")</f>
        <v>439834</v>
      </c>
      <c r="C33" s="93">
        <f>GETPIVOTDATA("Sum of New UG E-Learning",'Pivot Table for Fact Book'!$A$3,"State","MD","type",1,"Type2","Four-Year")</f>
        <v>451475</v>
      </c>
      <c r="D33" s="92">
        <f>GETPIVOTDATA("Sum of Old UG E-Learning",'Pivot Table for Fact Book'!$A$3,"State","MD","type",2,"Type2","Four-Year")</f>
        <v>225845.5</v>
      </c>
      <c r="E33" s="93">
        <f>GETPIVOTDATA("Sum of New UG E-Learning",'Pivot Table for Fact Book'!$A$3,"State","MD","type",2,"Type2","Four-Year")</f>
        <v>282771</v>
      </c>
      <c r="F33" s="92">
        <f>GETPIVOTDATA("Sum of Old UG E-Learning",'Pivot Table for Fact Book'!$A$3,"State","MD","type",3,"Type2","Four-Year")</f>
        <v>263448</v>
      </c>
      <c r="G33" s="93">
        <f>GETPIVOTDATA("Sum of New UG E-Learning",'Pivot Table for Fact Book'!$A$3,"State","MD","type",3,"Type2","Four-Year")</f>
        <v>306615</v>
      </c>
      <c r="H33" s="92">
        <f>GETPIVOTDATA("Sum of Old UG E-Learning",'Pivot Table for Fact Book'!$A$3,"State","MD","type",4,"Type2","Four-Year")</f>
        <v>263724.5</v>
      </c>
      <c r="I33" s="93">
        <f>GETPIVOTDATA("Sum of New UG E-Learning",'Pivot Table for Fact Book'!$A$3,"State","MD","type",4,"Type2","Four-Year")</f>
        <v>275292</v>
      </c>
      <c r="J33" s="92">
        <f>GETPIVOTDATA("Sum of Old UG E-Learning",'Pivot Table for Fact Book'!$A$3,"State","MD","type",5,"Type2","Four-Year")</f>
        <v>14126</v>
      </c>
      <c r="K33" s="93">
        <f>GETPIVOTDATA("Sum of New UG E-Learning",'Pivot Table for Fact Book'!$A$3,"State","MD","type",5,"Type2","Four-Year")</f>
        <v>13823</v>
      </c>
      <c r="L33" s="92">
        <f>GETPIVOTDATA("Sum of Old UG E-Learning",'Pivot Table for Fact Book'!$A$3,"State","MD","type",6,"Type2","Four-Year")</f>
        <v>10473</v>
      </c>
      <c r="M33" s="93">
        <f>GETPIVOTDATA("Sum of New UG E-Learning",'Pivot Table for Fact Book'!$A$3,"State","MD","type",6,"Type2","Four-Year")</f>
        <v>13383</v>
      </c>
      <c r="N33" s="92">
        <f>GETPIVOTDATA("Sum of Old UG E-Learning",'Pivot Table for Fact Book'!$A$3,"State","MD","type",15,"Type2","Four-Year")</f>
        <v>843051</v>
      </c>
      <c r="O33" s="93">
        <f>GETPIVOTDATA("Sum of New UG E-Learning",'Pivot Table for Fact Book'!$A$3,"State","MD","type",15,"Type2","Four-Year")</f>
        <v>862349</v>
      </c>
      <c r="P33" s="94">
        <f>GETPIVOTDATA("Sum of Old UG E-Learning",'Pivot Table for Fact Book'!$A$3,"State","MD","Type2","Four-Year")</f>
        <v>2060502</v>
      </c>
      <c r="Q33" s="94">
        <f>GETPIVOTDATA("Sum of New UG E-Learning",'Pivot Table for Fact Book'!$A$3,"State","MD","Type2","Four-Year")</f>
        <v>2205708</v>
      </c>
      <c r="R33" s="92">
        <f>GETPIVOTDATA("Sum of Old UG E-Learning",'Pivot Table for Fact Book'!$A$3,"State","MD","type",7,"Type2","Two-Year")</f>
        <v>0</v>
      </c>
      <c r="S33" s="93">
        <f>GETPIVOTDATA("Sum of New UG E-Learning",'Pivot Table for Fact Book'!$A$3,"State","MD","type",7,"Type2","Two-Year")</f>
        <v>0</v>
      </c>
      <c r="T33" s="93">
        <f>GETPIVOTDATA("Sum of Old UG E-Learning",'Pivot Table for Fact Book'!$A$3,"State","MD","type",8,"Type2","Two-Year")</f>
        <v>1133536</v>
      </c>
      <c r="U33" s="93">
        <f>GETPIVOTDATA("Sum of New UG E-Learning",'Pivot Table for Fact Book'!$A$3,"State","MD","type",8,"Type2","Two-Year")</f>
        <v>1200682</v>
      </c>
      <c r="V33" s="93">
        <f>GETPIVOTDATA("Sum of Old UG E-Learning",'Pivot Table for Fact Book'!$A$3,"State","MD","type",9,"Type2","Two-Year")</f>
        <v>315118.5</v>
      </c>
      <c r="W33" s="93">
        <f>GETPIVOTDATA("Sum of New UG E-Learning",'Pivot Table for Fact Book'!$A$3,"State","MD","type",9,"Type2","Two-Year")</f>
        <v>391223</v>
      </c>
      <c r="X33" s="93">
        <f>GETPIVOTDATA("Sum of Old UG E-Learning",'Pivot Table for Fact Book'!$A$3,"State","MD","type",10,"Type2","Two-Year")</f>
        <v>92804.5</v>
      </c>
      <c r="Y33" s="93">
        <f>GETPIVOTDATA("Sum of New UG E-Learning",'Pivot Table for Fact Book'!$A$3,"State","MD","type",10,"Type2","Two-Year")</f>
        <v>103108</v>
      </c>
      <c r="Z33" s="95">
        <f>GETPIVOTDATA("Sum of Old UG E-Learning",'Pivot Table for Fact Book'!$A$3,"State","MD","Type2","Two-Year")</f>
        <v>1541459</v>
      </c>
      <c r="AA33" s="95">
        <f>GETPIVOTDATA("Sum of New UG E-Learning",'Pivot Table for Fact Book'!$A$3,"State","MD","Type2","Two-Year")</f>
        <v>1695013</v>
      </c>
      <c r="AB33" s="92">
        <f>+GETPIVOTDATA("Sum of Old UG E-Learning",'Pivot Table for Fact Book'!$A$3,"State","MD","type",12,"type2","Techncial")</f>
        <v>0</v>
      </c>
      <c r="AC33" s="93">
        <f>+GETPIVOTDATA("Sum of New UG E-Learning",'Pivot Table for Fact Book'!$A$3,"State","MD","type",12,"type2","Techncial")</f>
        <v>0</v>
      </c>
      <c r="AD33" s="93">
        <f>+GETPIVOTDATA("Sum of Old UG E-Learning",'Pivot Table for Fact Book'!$A$3,"State","MD","type",13,"type2","Techncial")</f>
        <v>0</v>
      </c>
      <c r="AE33" s="93">
        <f>+GETPIVOTDATA("Sum of New UG E-Learning",'Pivot Table for Fact Book'!$A$3,"State","MD","type",13,"type2","Techncial")</f>
        <v>0</v>
      </c>
      <c r="AF33" s="97">
        <f>+GETPIVOTDATA("Sum of Old UG E-Learning",'Pivot Table for Fact Book'!$A$3,"State","MD","type2","Techncial")</f>
        <v>0</v>
      </c>
      <c r="AG33" s="97">
        <f>+GETPIVOTDATA("Sum of New UG E-Learning",'Pivot Table for Fact Book'!$A$3,"State","MD","type2","Techncial")</f>
        <v>0</v>
      </c>
    </row>
    <row r="34" spans="1:33">
      <c r="A34" s="105" t="s">
        <v>626</v>
      </c>
      <c r="B34" s="92">
        <f>GETPIVOTDATA("Sum of Old UG E-Learning",'Pivot Table for Fact Book'!$A$3,"State","MS","type",1,"Type2","Four-Year")</f>
        <v>621572</v>
      </c>
      <c r="C34" s="93">
        <f>GETPIVOTDATA("Sum of New UG E-Learning",'Pivot Table for Fact Book'!$A$3,"State","MS","type",1,"Type2","Four-Year")</f>
        <v>604815</v>
      </c>
      <c r="D34" s="92">
        <f>GETPIVOTDATA("Sum of Old UG E-Learning",'Pivot Table for Fact Book'!$A$3,"State","MS","type",2,"Type2","Four-Year")</f>
        <v>84155.5</v>
      </c>
      <c r="E34" s="93">
        <f>GETPIVOTDATA("Sum of New UG E-Learning",'Pivot Table for Fact Book'!$A$3,"State","MS","type",2,"Type2","Four-Year")</f>
        <v>90168.5</v>
      </c>
      <c r="F34" s="92">
        <f>GETPIVOTDATA("Sum of Old UG E-Learning",'Pivot Table for Fact Book'!$A$3,"State","MS","type",3,"Type2","Four-Year")</f>
        <v>0</v>
      </c>
      <c r="G34" s="93">
        <f>GETPIVOTDATA("Sum of New UG E-Learning",'Pivot Table for Fact Book'!$A$3,"State","MS","type",3,"Type2","Four-Year")</f>
        <v>0</v>
      </c>
      <c r="H34" s="92">
        <f>GETPIVOTDATA("Sum of Old UG E-Learning",'Pivot Table for Fact Book'!$A$3,"State","MS","type",4,"Type2","Four-Year")</f>
        <v>117319</v>
      </c>
      <c r="I34" s="93">
        <f>GETPIVOTDATA("Sum of New UG E-Learning",'Pivot Table for Fact Book'!$A$3,"State","MS","type",4,"Type2","Four-Year")</f>
        <v>111792</v>
      </c>
      <c r="J34" s="92">
        <f>GETPIVOTDATA("Sum of Old UG E-Learning",'Pivot Table for Fact Book'!$A$3,"State","MS","type",5,"Type2","Four-Year")</f>
        <v>0</v>
      </c>
      <c r="K34" s="93">
        <f>GETPIVOTDATA("Sum of New UG E-Learning",'Pivot Table for Fact Book'!$A$3,"State","MS","type",5,"Type2","Four-Year")</f>
        <v>0</v>
      </c>
      <c r="L34" s="92">
        <f>GETPIVOTDATA("Sum of Old UG E-Learning",'Pivot Table for Fact Book'!$A$3,"State","MS","type",6,"Type2","Four-Year")</f>
        <v>0</v>
      </c>
      <c r="M34" s="93">
        <f>GETPIVOTDATA("Sum of New UG E-Learning",'Pivot Table for Fact Book'!$A$3,"State","MS","type",6,"Type2","Four-Year")</f>
        <v>0</v>
      </c>
      <c r="N34" s="92">
        <f>GETPIVOTDATA("Sum of Old UG E-Learning",'Pivot Table for Fact Book'!$A$3,"State","MS","type",15,"Type2","Four-Year")</f>
        <v>0</v>
      </c>
      <c r="O34" s="93">
        <f>GETPIVOTDATA("Sum of New UG E-Learning",'Pivot Table for Fact Book'!$A$3,"State","MS","type",15,"Type2","Four-Year")</f>
        <v>0</v>
      </c>
      <c r="P34" s="94">
        <f>GETPIVOTDATA("Sum of Old UG E-Learning",'Pivot Table for Fact Book'!$A$3,"State","MS","Type2","Four-Year")</f>
        <v>823046.5</v>
      </c>
      <c r="Q34" s="94">
        <f>GETPIVOTDATA("Sum of New UG E-Learning",'Pivot Table for Fact Book'!$A$3,"State","MS","Type2","Four-Year")</f>
        <v>806775.5</v>
      </c>
      <c r="R34" s="92">
        <f>GETPIVOTDATA("Sum of Old UG E-Learning",'Pivot Table for Fact Book'!$A$3,"State","MS","type",7,"Type2","Two-Year")</f>
        <v>0</v>
      </c>
      <c r="S34" s="93">
        <f>GETPIVOTDATA("Sum of New UG E-Learning",'Pivot Table for Fact Book'!$A$3,"State","MS","type",7,"Type2","Two-Year")</f>
        <v>0</v>
      </c>
      <c r="T34" s="93">
        <f>GETPIVOTDATA("Sum of Old UG E-Learning",'Pivot Table for Fact Book'!$A$3,"State","MS","type",8,"Type2","Two-Year")</f>
        <v>320553</v>
      </c>
      <c r="U34" s="93">
        <f>GETPIVOTDATA("Sum of New UG E-Learning",'Pivot Table for Fact Book'!$A$3,"State","MS","type",8,"Type2","Two-Year")</f>
        <v>305259</v>
      </c>
      <c r="V34" s="93">
        <f>GETPIVOTDATA("Sum of Old UG E-Learning",'Pivot Table for Fact Book'!$A$3,"State","MS","type",9,"Type2","Two-Year")</f>
        <v>301070</v>
      </c>
      <c r="W34" s="93">
        <f>GETPIVOTDATA("Sum of New UG E-Learning",'Pivot Table for Fact Book'!$A$3,"State","MS","type",9,"Type2","Two-Year")</f>
        <v>321674</v>
      </c>
      <c r="X34" s="93">
        <f>GETPIVOTDATA("Sum of Old UG E-Learning",'Pivot Table for Fact Book'!$A$3,"State","MS","type",10,"Type2","Two-Year")</f>
        <v>40366</v>
      </c>
      <c r="Y34" s="93">
        <f>GETPIVOTDATA("Sum of New UG E-Learning",'Pivot Table for Fact Book'!$A$3,"State","MS","type",10,"Type2","Two-Year")</f>
        <v>42253</v>
      </c>
      <c r="Z34" s="95">
        <f>GETPIVOTDATA("Sum of Old UG E-Learning",'Pivot Table for Fact Book'!$A$3,"State","MS","Type2","Two-Year")</f>
        <v>661989</v>
      </c>
      <c r="AA34" s="95">
        <f>GETPIVOTDATA("Sum of New UG E-Learning",'Pivot Table for Fact Book'!$A$3,"State","MS","Type2","Two-Year")</f>
        <v>669186</v>
      </c>
      <c r="AB34" s="92">
        <f>+GETPIVOTDATA("Sum of Old UG E-Learning",'Pivot Table for Fact Book'!$A$3,"State","MS","type",12,"type2","Techncial")</f>
        <v>0</v>
      </c>
      <c r="AC34" s="93">
        <f>+GETPIVOTDATA("Sum of New UG E-Learning",'Pivot Table for Fact Book'!$A$3,"State","MS","type",12,"type2","Techncial")</f>
        <v>0</v>
      </c>
      <c r="AD34" s="93">
        <f>+GETPIVOTDATA("Sum of Old UG E-Learning",'Pivot Table for Fact Book'!$A$3,"State","MS","type",13,"type2","Techncial")</f>
        <v>0</v>
      </c>
      <c r="AE34" s="93">
        <f>+GETPIVOTDATA("Sum of New UG E-Learning",'Pivot Table for Fact Book'!$A$3,"State","MS","type",13,"type2","Techncial")</f>
        <v>0</v>
      </c>
      <c r="AF34" s="97">
        <f>+GETPIVOTDATA("Sum of Old UG E-Learning",'Pivot Table for Fact Book'!$A$3,"State","MS","type2","Techncial")</f>
        <v>0</v>
      </c>
      <c r="AG34" s="97">
        <f>+GETPIVOTDATA("Sum of New UG E-Learning",'Pivot Table for Fact Book'!$A$3,"State","MS","type2","Techncial")</f>
        <v>0</v>
      </c>
    </row>
    <row r="35" spans="1:33">
      <c r="A35" s="105" t="s">
        <v>627</v>
      </c>
      <c r="B35" s="92">
        <f>GETPIVOTDATA("Sum of Old UG E-Learning",'Pivot Table for Fact Book'!$A$3,"State","NC","type",1,"Type2","Four-Year")</f>
        <v>1266900</v>
      </c>
      <c r="C35" s="93">
        <f>GETPIVOTDATA("Sum of New UG E-Learning",'Pivot Table for Fact Book'!$A$3,"State","NC","type",1,"Type2","Four-Year")</f>
        <v>1398512.5</v>
      </c>
      <c r="D35" s="92">
        <f>GETPIVOTDATA("Sum of Old UG E-Learning",'Pivot Table for Fact Book'!$A$3,"State","NC","type",2,"Type2","Four-Year")</f>
        <v>471631</v>
      </c>
      <c r="E35" s="93">
        <f>GETPIVOTDATA("Sum of New UG E-Learning",'Pivot Table for Fact Book'!$A$3,"State","NC","type",2,"Type2","Four-Year")</f>
        <v>539713</v>
      </c>
      <c r="F35" s="92">
        <f>GETPIVOTDATA("Sum of Old UG E-Learning",'Pivot Table for Fact Book'!$A$3,"State","NC","type",3,"Type2","Four-Year")</f>
        <v>754541</v>
      </c>
      <c r="G35" s="93">
        <f>GETPIVOTDATA("Sum of New UG E-Learning",'Pivot Table for Fact Book'!$A$3,"State","NC","type",3,"Type2","Four-Year")</f>
        <v>747548</v>
      </c>
      <c r="H35" s="92">
        <f>GETPIVOTDATA("Sum of Old UG E-Learning",'Pivot Table for Fact Book'!$A$3,"State","NC","type",4,"Type2","Four-Year")</f>
        <v>94318</v>
      </c>
      <c r="I35" s="93">
        <f>GETPIVOTDATA("Sum of New UG E-Learning",'Pivot Table for Fact Book'!$A$3,"State","NC","type",4,"Type2","Four-Year")</f>
        <v>111344</v>
      </c>
      <c r="J35" s="92">
        <f>GETPIVOTDATA("Sum of Old UG E-Learning",'Pivot Table for Fact Book'!$A$3,"State","NC","type",5,"Type2","Four-Year")</f>
        <v>161660</v>
      </c>
      <c r="K35" s="93">
        <f>GETPIVOTDATA("Sum of New UG E-Learning",'Pivot Table for Fact Book'!$A$3,"State","NC","type",5,"Type2","Four-Year")</f>
        <v>204614.5</v>
      </c>
      <c r="L35" s="92">
        <f>GETPIVOTDATA("Sum of Old UG E-Learning",'Pivot Table for Fact Book'!$A$3,"State","NC","type",6,"Type2","Four-Year")</f>
        <v>51934</v>
      </c>
      <c r="M35" s="93">
        <f>GETPIVOTDATA("Sum of New UG E-Learning",'Pivot Table for Fact Book'!$A$3,"State","NC","type",6,"Type2","Four-Year")</f>
        <v>61536</v>
      </c>
      <c r="N35" s="92">
        <f>GETPIVOTDATA("Sum of Old UG E-Learning",'Pivot Table for Fact Book'!$A$3,"State","NC","type",15,"Type2","Four-Year")</f>
        <v>5117</v>
      </c>
      <c r="O35" s="93">
        <f>GETPIVOTDATA("Sum of New UG E-Learning",'Pivot Table for Fact Book'!$A$3,"State","NC","type",15,"Type2","Four-Year")</f>
        <v>5130</v>
      </c>
      <c r="P35" s="94">
        <f>GETPIVOTDATA("Sum of Old UG E-Learning",'Pivot Table for Fact Book'!$A$3,"State","NC","Type2","Four-Year")</f>
        <v>2806101</v>
      </c>
      <c r="Q35" s="94">
        <f>GETPIVOTDATA("Sum of New UG E-Learning",'Pivot Table for Fact Book'!$A$3,"State","NC","Type2","Four-Year")</f>
        <v>3068398</v>
      </c>
      <c r="R35" s="92">
        <f>GETPIVOTDATA("Sum of Old UG E-Learning",'Pivot Table for Fact Book'!$A$3,"State","NC","type",7,"Type2","Two-Year")</f>
        <v>0</v>
      </c>
      <c r="S35" s="93">
        <f>GETPIVOTDATA("Sum of New UG E-Learning",'Pivot Table for Fact Book'!$A$3,"State","NC","type",7,"Type2","Two-Year")</f>
        <v>0</v>
      </c>
      <c r="T35" s="93">
        <f>GETPIVOTDATA("Sum of Old UG E-Learning",'Pivot Table for Fact Book'!$A$3,"State","NC","type",8,"Type2","Two-Year")</f>
        <v>1352100</v>
      </c>
      <c r="U35" s="93">
        <f>GETPIVOTDATA("Sum of New UG E-Learning",'Pivot Table for Fact Book'!$A$3,"State","NC","type",8,"Type2","Two-Year")</f>
        <v>1488815</v>
      </c>
      <c r="V35" s="93">
        <f>GETPIVOTDATA("Sum of Old UG E-Learning",'Pivot Table for Fact Book'!$A$3,"State","NC","type",9,"Type2","Two-Year")</f>
        <v>1039726</v>
      </c>
      <c r="W35" s="93">
        <f>GETPIVOTDATA("Sum of New UG E-Learning",'Pivot Table for Fact Book'!$A$3,"State","NC","type",9,"Type2","Two-Year")</f>
        <v>1083777</v>
      </c>
      <c r="X35" s="93">
        <f>GETPIVOTDATA("Sum of Old UG E-Learning",'Pivot Table for Fact Book'!$A$3,"State","NC","type",10,"Type2","Two-Year")</f>
        <v>502735</v>
      </c>
      <c r="Y35" s="93">
        <f>GETPIVOTDATA("Sum of New UG E-Learning",'Pivot Table for Fact Book'!$A$3,"State","NC","type",10,"Type2","Two-Year")</f>
        <v>513863</v>
      </c>
      <c r="Z35" s="95">
        <f>GETPIVOTDATA("Sum of Old UG E-Learning",'Pivot Table for Fact Book'!$A$3,"State","NC","Type2","Two-Year")</f>
        <v>2894561</v>
      </c>
      <c r="AA35" s="95">
        <f>GETPIVOTDATA("Sum of New UG E-Learning",'Pivot Table for Fact Book'!$A$3,"State","NC","Type2","Two-Year")</f>
        <v>3086455</v>
      </c>
      <c r="AB35" s="92">
        <f>+GETPIVOTDATA("Sum of Old UG E-Learning",'Pivot Table for Fact Book'!$A$3,"State","NC","type",12,"type2","Techncial")</f>
        <v>0</v>
      </c>
      <c r="AC35" s="93">
        <f>+GETPIVOTDATA("Sum of New UG E-Learning",'Pivot Table for Fact Book'!$A$3,"State","NC","type",12,"type2","Techncial")</f>
        <v>0</v>
      </c>
      <c r="AD35" s="93">
        <f>+GETPIVOTDATA("Sum of Old UG E-Learning",'Pivot Table for Fact Book'!$A$3,"State","NC","type",13,"type2","Techncial")</f>
        <v>0</v>
      </c>
      <c r="AE35" s="93">
        <f>+GETPIVOTDATA("Sum of New UG E-Learning",'Pivot Table for Fact Book'!$A$3,"State","NC","type",13,"type2","Techncial")</f>
        <v>0</v>
      </c>
      <c r="AF35" s="97">
        <f>+GETPIVOTDATA("Sum of Old UG E-Learning",'Pivot Table for Fact Book'!$A$3,"State","NC","type2","Techncial")</f>
        <v>0</v>
      </c>
      <c r="AG35" s="97">
        <f>+GETPIVOTDATA("Sum of New UG E-Learning",'Pivot Table for Fact Book'!$A$3,"State","NC","type2","Techncial")</f>
        <v>0</v>
      </c>
    </row>
    <row r="36" spans="1:33">
      <c r="A36" s="105" t="s">
        <v>628</v>
      </c>
      <c r="B36" s="92">
        <f>GETPIVOTDATA("Sum of Old UG E-Learning",'Pivot Table for Fact Book'!$A$3,"State","OK","type",1,"Type2","Four-Year")</f>
        <v>0</v>
      </c>
      <c r="C36" s="93">
        <f>GETPIVOTDATA("Sum of New UG E-Learning",'Pivot Table for Fact Book'!$A$3,"State","OK","type",1,"Type2","Four-Year")</f>
        <v>0</v>
      </c>
      <c r="D36" s="92">
        <f>GETPIVOTDATA("Sum of Old UG E-Learning",'Pivot Table for Fact Book'!$A$3,"State","OK","type",2,"Type2","Four-Year")</f>
        <v>0</v>
      </c>
      <c r="E36" s="93">
        <f>GETPIVOTDATA("Sum of New UG E-Learning",'Pivot Table for Fact Book'!$A$3,"State","OK","type",2,"Type2","Four-Year")</f>
        <v>0</v>
      </c>
      <c r="F36" s="92">
        <f>GETPIVOTDATA("Sum of Old UG E-Learning",'Pivot Table for Fact Book'!$A$3,"State","OK","type",3,"Type2","Four-Year")</f>
        <v>0</v>
      </c>
      <c r="G36" s="93">
        <f>GETPIVOTDATA("Sum of New UG E-Learning",'Pivot Table for Fact Book'!$A$3,"State","OK","type",3,"Type2","Four-Year")</f>
        <v>0</v>
      </c>
      <c r="H36" s="92">
        <f>GETPIVOTDATA("Sum of Old UG E-Learning",'Pivot Table for Fact Book'!$A$3,"State","OK","type",4,"Type2","Four-Year")</f>
        <v>0</v>
      </c>
      <c r="I36" s="93">
        <f>GETPIVOTDATA("Sum of New UG E-Learning",'Pivot Table for Fact Book'!$A$3,"State","OK","type",4,"Type2","Four-Year")</f>
        <v>0</v>
      </c>
      <c r="J36" s="92">
        <f>GETPIVOTDATA("Sum of Old UG E-Learning",'Pivot Table for Fact Book'!$A$3,"State","OK","type",5,"Type2","Four-Year")</f>
        <v>0</v>
      </c>
      <c r="K36" s="93">
        <f>GETPIVOTDATA("Sum of New UG E-Learning",'Pivot Table for Fact Book'!$A$3,"State","OK","type",5,"Type2","Four-Year")</f>
        <v>0</v>
      </c>
      <c r="L36" s="92">
        <f>GETPIVOTDATA("Sum of Old UG E-Learning",'Pivot Table for Fact Book'!$A$3,"State","OK","type",6,"Type2","Four-Year")</f>
        <v>0</v>
      </c>
      <c r="M36" s="93">
        <f>GETPIVOTDATA("Sum of New UG E-Learning",'Pivot Table for Fact Book'!$A$3,"State","OK","type",6,"Type2","Four-Year")</f>
        <v>0</v>
      </c>
      <c r="N36" s="92">
        <f>GETPIVOTDATA("Sum of Old UG E-Learning",'Pivot Table for Fact Book'!$A$3,"State","OK","type",15,"Type2","Four-Year")</f>
        <v>0</v>
      </c>
      <c r="O36" s="93">
        <f>GETPIVOTDATA("Sum of New UG E-Learning",'Pivot Table for Fact Book'!$A$3,"State","OK","type",15,"Type2","Four-Year")</f>
        <v>0</v>
      </c>
      <c r="P36" s="94">
        <f>GETPIVOTDATA("Sum of Old UG E-Learning",'Pivot Table for Fact Book'!$A$3,"State","OK","Type2","Four-Year")</f>
        <v>0</v>
      </c>
      <c r="Q36" s="94">
        <f>GETPIVOTDATA("Sum of New UG E-Learning",'Pivot Table for Fact Book'!$A$3,"State","OK","Type2","Four-Year")</f>
        <v>0</v>
      </c>
      <c r="R36" s="92">
        <f>GETPIVOTDATA("Sum of Old UG E-Learning",'Pivot Table for Fact Book'!$A$3,"State","OK","type",7,"Type2","Two-Year")</f>
        <v>0</v>
      </c>
      <c r="S36" s="93">
        <f>GETPIVOTDATA("Sum of New UG E-Learning",'Pivot Table for Fact Book'!$A$3,"State","OK","type",7,"Type2","Two-Year")</f>
        <v>0</v>
      </c>
      <c r="T36" s="93">
        <f>GETPIVOTDATA("Sum of Old UG E-Learning",'Pivot Table for Fact Book'!$A$3,"State","OK","type",8,"Type2","Two-Year")</f>
        <v>0</v>
      </c>
      <c r="U36" s="93">
        <f>GETPIVOTDATA("Sum of New UG E-Learning",'Pivot Table for Fact Book'!$A$3,"State","OK","type",8,"Type2","Two-Year")</f>
        <v>0</v>
      </c>
      <c r="V36" s="93">
        <f>GETPIVOTDATA("Sum of Old UG E-Learning",'Pivot Table for Fact Book'!$A$3,"State","OK","type",9,"Type2","Two-Year")</f>
        <v>0</v>
      </c>
      <c r="W36" s="93">
        <f>GETPIVOTDATA("Sum of New UG E-Learning",'Pivot Table for Fact Book'!$A$3,"State","OK","type",9,"Type2","Two-Year")</f>
        <v>0</v>
      </c>
      <c r="X36" s="93">
        <f>GETPIVOTDATA("Sum of Old UG E-Learning",'Pivot Table for Fact Book'!$A$3,"State","OK","type",10,"Type2","Two-Year")</f>
        <v>0</v>
      </c>
      <c r="Y36" s="93">
        <f>GETPIVOTDATA("Sum of New UG E-Learning",'Pivot Table for Fact Book'!$A$3,"State","OK","type",10,"Type2","Two-Year")</f>
        <v>0</v>
      </c>
      <c r="Z36" s="95">
        <f>GETPIVOTDATA("Sum of Old UG E-Learning",'Pivot Table for Fact Book'!$A$3,"State","OK","Type2","Two-Year")</f>
        <v>0</v>
      </c>
      <c r="AA36" s="95">
        <f>GETPIVOTDATA("Sum of New UG E-Learning",'Pivot Table for Fact Book'!$A$3,"State","OK","Type2","Two-Year")</f>
        <v>0</v>
      </c>
      <c r="AB36" s="92">
        <f>+GETPIVOTDATA("Sum of Old UG E-Learning",'Pivot Table for Fact Book'!$A$3,"State","OK","type",12,"type2","Techncial")</f>
        <v>0</v>
      </c>
      <c r="AC36" s="93">
        <f>+GETPIVOTDATA("Sum of New UG E-Learning",'Pivot Table for Fact Book'!$A$3,"State","OK","type",12,"type2","Techncial")</f>
        <v>0</v>
      </c>
      <c r="AD36" s="93">
        <f>+GETPIVOTDATA("Sum of Old UG E-Learning",'Pivot Table for Fact Book'!$A$3,"State","OK","type",13,"type2","Techncial")</f>
        <v>0</v>
      </c>
      <c r="AE36" s="93">
        <f>+GETPIVOTDATA("Sum of New UG E-Learning",'Pivot Table for Fact Book'!$A$3,"State","OK","type",13,"type2","Techncial")</f>
        <v>0</v>
      </c>
      <c r="AF36" s="97">
        <f>+GETPIVOTDATA("Sum of Old UG E-Learning",'Pivot Table for Fact Book'!$A$3,"State","OK","type2","Techncial")</f>
        <v>0</v>
      </c>
      <c r="AG36" s="97">
        <f>+GETPIVOTDATA("Sum of New UG E-Learning",'Pivot Table for Fact Book'!$A$3,"State","OK","type2","Techncial")</f>
        <v>0</v>
      </c>
    </row>
    <row r="37" spans="1:33">
      <c r="A37" s="105" t="s">
        <v>629</v>
      </c>
      <c r="B37" s="92">
        <f>GETPIVOTDATA("Sum of Old UG E-Learning",'Pivot Table for Fact Book'!$A$3,"State","SC","type",1,"Type2","Four-Year")</f>
        <v>632895</v>
      </c>
      <c r="C37" s="93">
        <f>GETPIVOTDATA("Sum of New UG E-Learning",'Pivot Table for Fact Book'!$A$3,"State","SC","type",1,"Type2","Four-Year")</f>
        <v>701869</v>
      </c>
      <c r="D37" s="92">
        <f>GETPIVOTDATA("Sum of Old UG E-Learning",'Pivot Table for Fact Book'!$A$3,"State","SC","type",2,"Type2","Four-Year")</f>
        <v>0</v>
      </c>
      <c r="E37" s="93">
        <f>GETPIVOTDATA("Sum of New UG E-Learning",'Pivot Table for Fact Book'!$A$3,"State","SC","type",2,"Type2","Four-Year")</f>
        <v>0</v>
      </c>
      <c r="F37" s="92">
        <f>GETPIVOTDATA("Sum of Old UG E-Learning",'Pivot Table for Fact Book'!$A$3,"State","SC","type",3,"Type2","Four-Year")</f>
        <v>152501</v>
      </c>
      <c r="G37" s="93">
        <f>GETPIVOTDATA("Sum of New UG E-Learning",'Pivot Table for Fact Book'!$A$3,"State","SC","type",3,"Type2","Four-Year")</f>
        <v>183784</v>
      </c>
      <c r="H37" s="92">
        <f>GETPIVOTDATA("Sum of Old UG E-Learning",'Pivot Table for Fact Book'!$A$3,"State","SC","type",4,"Type2","Four-Year")</f>
        <v>67335</v>
      </c>
      <c r="I37" s="93">
        <f>GETPIVOTDATA("Sum of New UG E-Learning",'Pivot Table for Fact Book'!$A$3,"State","SC","type",4,"Type2","Four-Year")</f>
        <v>103129</v>
      </c>
      <c r="J37" s="92">
        <f>GETPIVOTDATA("Sum of Old UG E-Learning",'Pivot Table for Fact Book'!$A$3,"State","SC","type",5,"Type2","Four-Year")</f>
        <v>76022</v>
      </c>
      <c r="K37" s="93">
        <f>GETPIVOTDATA("Sum of New UG E-Learning",'Pivot Table for Fact Book'!$A$3,"State","SC","type",5,"Type2","Four-Year")</f>
        <v>77070</v>
      </c>
      <c r="L37" s="92">
        <f>GETPIVOTDATA("Sum of Old UG E-Learning",'Pivot Table for Fact Book'!$A$3,"State","SC","type",6,"Type2","Four-Year")</f>
        <v>140314</v>
      </c>
      <c r="M37" s="93">
        <f>GETPIVOTDATA("Sum of New UG E-Learning",'Pivot Table for Fact Book'!$A$3,"State","SC","type",6,"Type2","Four-Year")</f>
        <v>159494.5</v>
      </c>
      <c r="N37" s="92">
        <f>GETPIVOTDATA("Sum of Old UG E-Learning",'Pivot Table for Fact Book'!$A$3,"State","SC","type",15,"Type2","Four-Year")</f>
        <v>0</v>
      </c>
      <c r="O37" s="93">
        <f>GETPIVOTDATA("Sum of New UG E-Learning",'Pivot Table for Fact Book'!$A$3,"State","SC","type",15,"Type2","Four-Year")</f>
        <v>0</v>
      </c>
      <c r="P37" s="94">
        <f>GETPIVOTDATA("Sum of Old UG E-Learning",'Pivot Table for Fact Book'!$A$3,"State","SC","Type2","Four-Year")</f>
        <v>1069067</v>
      </c>
      <c r="Q37" s="94">
        <f>GETPIVOTDATA("Sum of New UG E-Learning",'Pivot Table for Fact Book'!$A$3,"State","SC","Type2","Four-Year")</f>
        <v>1225346.5</v>
      </c>
      <c r="R37" s="92">
        <f>GETPIVOTDATA("Sum of Old UG E-Learning",'Pivot Table for Fact Book'!$A$3,"State","SC","type",7,"Type2","Two-Year")</f>
        <v>0</v>
      </c>
      <c r="S37" s="93">
        <f>GETPIVOTDATA("Sum of New UG E-Learning",'Pivot Table for Fact Book'!$A$3,"State","SC","type",7,"Type2","Two-Year")</f>
        <v>0</v>
      </c>
      <c r="T37" s="93">
        <f>GETPIVOTDATA("Sum of Old UG E-Learning",'Pivot Table for Fact Book'!$A$3,"State","SC","type",8,"Type2","Two-Year")</f>
        <v>507747</v>
      </c>
      <c r="U37" s="93">
        <f>GETPIVOTDATA("Sum of New UG E-Learning",'Pivot Table for Fact Book'!$A$3,"State","SC","type",8,"Type2","Two-Year")</f>
        <v>582303</v>
      </c>
      <c r="V37" s="93">
        <f>GETPIVOTDATA("Sum of Old UG E-Learning",'Pivot Table for Fact Book'!$A$3,"State","SC","type",9,"Type2","Two-Year")</f>
        <v>361907</v>
      </c>
      <c r="W37" s="93">
        <f>GETPIVOTDATA("Sum of New UG E-Learning",'Pivot Table for Fact Book'!$A$3,"State","SC","type",9,"Type2","Two-Year")</f>
        <v>365528</v>
      </c>
      <c r="X37" s="93">
        <f>GETPIVOTDATA("Sum of Old UG E-Learning",'Pivot Table for Fact Book'!$A$3,"State","SC","type",10,"Type2","Two-Year")</f>
        <v>170375</v>
      </c>
      <c r="Y37" s="93">
        <f>GETPIVOTDATA("Sum of New UG E-Learning",'Pivot Table for Fact Book'!$A$3,"State","SC","type",10,"Type2","Two-Year")</f>
        <v>180278</v>
      </c>
      <c r="Z37" s="95">
        <f>GETPIVOTDATA("Sum of Old UG E-Learning",'Pivot Table for Fact Book'!$A$3,"State","SC","Type2","Two-Year")</f>
        <v>1040029</v>
      </c>
      <c r="AA37" s="95">
        <f>GETPIVOTDATA("Sum of New UG E-Learning",'Pivot Table for Fact Book'!$A$3,"State","SC","Type2","Two-Year")</f>
        <v>1128109</v>
      </c>
      <c r="AB37" s="92">
        <f>+GETPIVOTDATA("Sum of Old UG E-Learning",'Pivot Table for Fact Book'!$A$3,"State","SC","type",12,"type2","Techncial")</f>
        <v>0</v>
      </c>
      <c r="AC37" s="93">
        <f>+GETPIVOTDATA("Sum of New UG E-Learning",'Pivot Table for Fact Book'!$A$3,"State","SC","type",12,"type2","Techncial")</f>
        <v>0</v>
      </c>
      <c r="AD37" s="93">
        <f>+GETPIVOTDATA("Sum of Old UG E-Learning",'Pivot Table for Fact Book'!$A$3,"State","SC","type",13,"type2","Techncial")</f>
        <v>0</v>
      </c>
      <c r="AE37" s="93">
        <f>+GETPIVOTDATA("Sum of New UG E-Learning",'Pivot Table for Fact Book'!$A$3,"State","SC","type",13,"type2","Techncial")</f>
        <v>0</v>
      </c>
      <c r="AF37" s="97">
        <f>+GETPIVOTDATA("Sum of Old UG E-Learning",'Pivot Table for Fact Book'!$A$3,"State","SC","type2","Techncial")</f>
        <v>0</v>
      </c>
      <c r="AG37" s="97">
        <f>+GETPIVOTDATA("Sum of New UG E-Learning",'Pivot Table for Fact Book'!$A$3,"State","SC","type2","Techncial")</f>
        <v>0</v>
      </c>
    </row>
    <row r="38" spans="1:33">
      <c r="A38" s="105" t="s">
        <v>630</v>
      </c>
      <c r="B38" s="92">
        <f>GETPIVOTDATA("Sum of Old UG E-Learning",'Pivot Table for Fact Book'!$A$3,"State","TN","type",1,"Type2","Four-Year")</f>
        <v>241858</v>
      </c>
      <c r="C38" s="93">
        <f>GETPIVOTDATA("Sum of New UG E-Learning",'Pivot Table for Fact Book'!$A$3,"State","TN","type",1,"Type2","Four-Year")</f>
        <v>384890</v>
      </c>
      <c r="D38" s="92">
        <f>GETPIVOTDATA("Sum of Old UG E-Learning",'Pivot Table for Fact Book'!$A$3,"State","TN","type",2,"Type2","Four-Year")</f>
        <v>383652</v>
      </c>
      <c r="E38" s="93">
        <f>GETPIVOTDATA("Sum of New UG E-Learning",'Pivot Table for Fact Book'!$A$3,"State","TN","type",2,"Type2","Four-Year")</f>
        <v>278984</v>
      </c>
      <c r="F38" s="92">
        <f>GETPIVOTDATA("Sum of Old UG E-Learning",'Pivot Table for Fact Book'!$A$3,"State","TN","type",3,"Type2","Four-Year")</f>
        <v>439368</v>
      </c>
      <c r="G38" s="93">
        <f>GETPIVOTDATA("Sum of New UG E-Learning",'Pivot Table for Fact Book'!$A$3,"State","TN","type",3,"Type2","Four-Year")</f>
        <v>427174</v>
      </c>
      <c r="H38" s="92">
        <f>GETPIVOTDATA("Sum of Old UG E-Learning",'Pivot Table for Fact Book'!$A$3,"State","TN","type",4,"Type2","Four-Year")</f>
        <v>71076</v>
      </c>
      <c r="I38" s="93">
        <f>GETPIVOTDATA("Sum of New UG E-Learning",'Pivot Table for Fact Book'!$A$3,"State","TN","type",4,"Type2","Four-Year")</f>
        <v>65000</v>
      </c>
      <c r="J38" s="92">
        <f>GETPIVOTDATA("Sum of Old UG E-Learning",'Pivot Table for Fact Book'!$A$3,"State","TN","type",5,"Type2","Four-Year")</f>
        <v>0</v>
      </c>
      <c r="K38" s="93">
        <f>GETPIVOTDATA("Sum of New UG E-Learning",'Pivot Table for Fact Book'!$A$3,"State","TN","type",5,"Type2","Four-Year")</f>
        <v>0</v>
      </c>
      <c r="L38" s="92">
        <f>GETPIVOTDATA("Sum of Old UG E-Learning",'Pivot Table for Fact Book'!$A$3,"State","TN","type",6,"Type2","Four-Year")</f>
        <v>0</v>
      </c>
      <c r="M38" s="93">
        <f>GETPIVOTDATA("Sum of New UG E-Learning",'Pivot Table for Fact Book'!$A$3,"State","TN","type",6,"Type2","Four-Year")</f>
        <v>0</v>
      </c>
      <c r="N38" s="92">
        <f>GETPIVOTDATA("Sum of Old UG E-Learning",'Pivot Table for Fact Book'!$A$3,"State","TN","type",15,"Type2","Four-Year")</f>
        <v>0</v>
      </c>
      <c r="O38" s="93">
        <f>GETPIVOTDATA("Sum of New UG E-Learning",'Pivot Table for Fact Book'!$A$3,"State","TN","type",15,"Type2","Four-Year")</f>
        <v>0</v>
      </c>
      <c r="P38" s="94">
        <f>GETPIVOTDATA("Sum of Old UG E-Learning",'Pivot Table for Fact Book'!$A$3,"State","TN","Type2","Four-Year")</f>
        <v>1135954</v>
      </c>
      <c r="Q38" s="94">
        <f>GETPIVOTDATA("Sum of New UG E-Learning",'Pivot Table for Fact Book'!$A$3,"State","TN","Type2","Four-Year")</f>
        <v>1156048</v>
      </c>
      <c r="R38" s="92">
        <f>GETPIVOTDATA("Sum of Old UG E-Learning",'Pivot Table for Fact Book'!$A$3,"State","TN","type",7,"Type2","Two-Year")</f>
        <v>0</v>
      </c>
      <c r="S38" s="93">
        <f>GETPIVOTDATA("Sum of New UG E-Learning",'Pivot Table for Fact Book'!$A$3,"State","TN","type",7,"Type2","Two-Year")</f>
        <v>0</v>
      </c>
      <c r="T38" s="93">
        <f>GETPIVOTDATA("Sum of Old UG E-Learning",'Pivot Table for Fact Book'!$A$3,"State","TN","type",8,"Type2","Two-Year")</f>
        <v>500563</v>
      </c>
      <c r="U38" s="93">
        <f>GETPIVOTDATA("Sum of New UG E-Learning",'Pivot Table for Fact Book'!$A$3,"State","TN","type",8,"Type2","Two-Year")</f>
        <v>495020</v>
      </c>
      <c r="V38" s="93">
        <f>GETPIVOTDATA("Sum of Old UG E-Learning",'Pivot Table for Fact Book'!$A$3,"State","TN","type",9,"Type2","Two-Year")</f>
        <v>370828</v>
      </c>
      <c r="W38" s="93">
        <f>GETPIVOTDATA("Sum of New UG E-Learning",'Pivot Table for Fact Book'!$A$3,"State","TN","type",9,"Type2","Two-Year")</f>
        <v>376885</v>
      </c>
      <c r="X38" s="93">
        <f>GETPIVOTDATA("Sum of Old UG E-Learning",'Pivot Table for Fact Book'!$A$3,"State","TN","type",10,"Type2","Two-Year")</f>
        <v>20366</v>
      </c>
      <c r="Y38" s="93">
        <f>GETPIVOTDATA("Sum of New UG E-Learning",'Pivot Table for Fact Book'!$A$3,"State","TN","type",10,"Type2","Two-Year")</f>
        <v>20285</v>
      </c>
      <c r="Z38" s="95">
        <f>GETPIVOTDATA("Sum of Old UG E-Learning",'Pivot Table for Fact Book'!$A$3,"State","TN","Type2","Two-Year")</f>
        <v>891757</v>
      </c>
      <c r="AA38" s="95">
        <f>GETPIVOTDATA("Sum of New UG E-Learning",'Pivot Table for Fact Book'!$A$3,"State","TN","Type2","Two-Year")</f>
        <v>892190</v>
      </c>
      <c r="AB38" s="92">
        <f>+GETPIVOTDATA("Sum of Old UG E-Learning",'Pivot Table for Fact Book'!$A$3,"State","TN","type",12,"type2","Techncial")</f>
        <v>0</v>
      </c>
      <c r="AC38" s="93">
        <f>+GETPIVOTDATA("Sum of New UG E-Learning",'Pivot Table for Fact Book'!$A$3,"State","TN","type",12,"type2","Techncial")</f>
        <v>0</v>
      </c>
      <c r="AD38" s="93">
        <f>+GETPIVOTDATA("Sum of Old UG E-Learning",'Pivot Table for Fact Book'!$A$3,"State","TN","type",13,"type2","Techncial")</f>
        <v>0</v>
      </c>
      <c r="AE38" s="93">
        <f>+GETPIVOTDATA("Sum of New UG E-Learning",'Pivot Table for Fact Book'!$A$3,"State","TN","type",13,"type2","Techncial")</f>
        <v>0</v>
      </c>
      <c r="AF38" s="97">
        <f>+GETPIVOTDATA("Sum of Old UG E-Learning",'Pivot Table for Fact Book'!$A$3,"State","TN","type2","Techncial")</f>
        <v>0</v>
      </c>
      <c r="AG38" s="97">
        <f>+GETPIVOTDATA("Sum of New UG E-Learning",'Pivot Table for Fact Book'!$A$3,"State","TN","type2","Techncial")</f>
        <v>0</v>
      </c>
    </row>
    <row r="39" spans="1:33">
      <c r="A39" s="105" t="s">
        <v>631</v>
      </c>
      <c r="B39" s="92">
        <f>GETPIVOTDATA("Sum of Old UG E-Learning",'Pivot Table for Fact Book'!$A$3,"State","TX","type",1,"Type2","Four-Year")</f>
        <v>3978755</v>
      </c>
      <c r="C39" s="93">
        <f>GETPIVOTDATA("Sum of New UG E-Learning",'Pivot Table for Fact Book'!$A$3,"State","TX","type",1,"Type2","Four-Year")</f>
        <v>3904269</v>
      </c>
      <c r="D39" s="92">
        <f>GETPIVOTDATA("Sum of Old UG E-Learning",'Pivot Table for Fact Book'!$A$3,"State","TX","type",2,"Type2","Four-Year")</f>
        <v>852464</v>
      </c>
      <c r="E39" s="93">
        <f>GETPIVOTDATA("Sum of New UG E-Learning",'Pivot Table for Fact Book'!$A$3,"State","TX","type",2,"Type2","Four-Year")</f>
        <v>898430</v>
      </c>
      <c r="F39" s="92">
        <f>GETPIVOTDATA("Sum of Old UG E-Learning",'Pivot Table for Fact Book'!$A$3,"State","TX","type",3,"Type2","Four-Year")</f>
        <v>2375118</v>
      </c>
      <c r="G39" s="93">
        <f>GETPIVOTDATA("Sum of New UG E-Learning",'Pivot Table for Fact Book'!$A$3,"State","TX","type",3,"Type2","Four-Year")</f>
        <v>2354934</v>
      </c>
      <c r="H39" s="92">
        <f>GETPIVOTDATA("Sum of Old UG E-Learning",'Pivot Table for Fact Book'!$A$3,"State","TX","type",4,"Type2","Four-Year")</f>
        <v>457862</v>
      </c>
      <c r="I39" s="93">
        <f>GETPIVOTDATA("Sum of New UG E-Learning",'Pivot Table for Fact Book'!$A$3,"State","TX","type",4,"Type2","Four-Year")</f>
        <v>499034</v>
      </c>
      <c r="J39" s="92">
        <f>GETPIVOTDATA("Sum of Old UG E-Learning",'Pivot Table for Fact Book'!$A$3,"State","TX","type",5,"Type2","Four-Year")</f>
        <v>30061</v>
      </c>
      <c r="K39" s="93">
        <f>GETPIVOTDATA("Sum of New UG E-Learning",'Pivot Table for Fact Book'!$A$3,"State","TX","type",5,"Type2","Four-Year")</f>
        <v>16578</v>
      </c>
      <c r="L39" s="92">
        <f>GETPIVOTDATA("Sum of Old UG E-Learning",'Pivot Table for Fact Book'!$A$3,"State","TX","type",6,"Type2","Four-Year")</f>
        <v>0</v>
      </c>
      <c r="M39" s="93">
        <f>GETPIVOTDATA("Sum of New UG E-Learning",'Pivot Table for Fact Book'!$A$3,"State","TX","type",6,"Type2","Four-Year")</f>
        <v>0</v>
      </c>
      <c r="N39" s="92">
        <f>GETPIVOTDATA("Sum of Old UG E-Learning",'Pivot Table for Fact Book'!$A$3,"State","TX","type",15,"Type2","Four-Year")</f>
        <v>0</v>
      </c>
      <c r="O39" s="93">
        <f>GETPIVOTDATA("Sum of New UG E-Learning",'Pivot Table for Fact Book'!$A$3,"State","TX","type",15,"Type2","Four-Year")</f>
        <v>0</v>
      </c>
      <c r="P39" s="94">
        <f>GETPIVOTDATA("Sum of Old UG E-Learning",'Pivot Table for Fact Book'!$A$3,"State","TX","Type2","Four-Year")</f>
        <v>7694260</v>
      </c>
      <c r="Q39" s="94">
        <f>GETPIVOTDATA("Sum of New UG E-Learning",'Pivot Table for Fact Book'!$A$3,"State","TX","Type2","Four-Year")</f>
        <v>7673245</v>
      </c>
      <c r="R39" s="92">
        <f>GETPIVOTDATA("Sum of Old UG E-Learning",'Pivot Table for Fact Book'!$A$3,"State","TX","type",7,"Type2","Two-Year")</f>
        <v>469874</v>
      </c>
      <c r="S39" s="93">
        <f>GETPIVOTDATA("Sum of New UG E-Learning",'Pivot Table for Fact Book'!$A$3,"State","TX","type",7,"Type2","Two-Year")</f>
        <v>501078</v>
      </c>
      <c r="T39" s="93">
        <f>GETPIVOTDATA("Sum of Old UG E-Learning",'Pivot Table for Fact Book'!$A$3,"State","TX","type",8,"Type2","Two-Year")</f>
        <v>5786112</v>
      </c>
      <c r="U39" s="93">
        <f>GETPIVOTDATA("Sum of New UG E-Learning",'Pivot Table for Fact Book'!$A$3,"State","TX","type",8,"Type2","Two-Year")</f>
        <v>7217395</v>
      </c>
      <c r="V39" s="93">
        <f>GETPIVOTDATA("Sum of Old UG E-Learning",'Pivot Table for Fact Book'!$A$3,"State","TX","type",9,"Type2","Two-Year")</f>
        <v>1395479</v>
      </c>
      <c r="W39" s="93">
        <f>GETPIVOTDATA("Sum of New UG E-Learning",'Pivot Table for Fact Book'!$A$3,"State","TX","type",9,"Type2","Two-Year")</f>
        <v>1322806</v>
      </c>
      <c r="X39" s="93">
        <f>GETPIVOTDATA("Sum of Old UG E-Learning",'Pivot Table for Fact Book'!$A$3,"State","TX","type",10,"Type2","Two-Year")</f>
        <v>236953</v>
      </c>
      <c r="Y39" s="93">
        <f>GETPIVOTDATA("Sum of New UG E-Learning",'Pivot Table for Fact Book'!$A$3,"State","TX","type",10,"Type2","Two-Year")</f>
        <v>252359</v>
      </c>
      <c r="Z39" s="95">
        <f>GETPIVOTDATA("Sum of Old UG E-Learning",'Pivot Table for Fact Book'!$A$3,"State","TX","Type2","Two-Year")</f>
        <v>7888418</v>
      </c>
      <c r="AA39" s="95">
        <f>GETPIVOTDATA("Sum of New UG E-Learning",'Pivot Table for Fact Book'!$A$3,"State","TX","Type2","Two-Year")</f>
        <v>9293638</v>
      </c>
      <c r="AB39" s="92">
        <f>+GETPIVOTDATA("Sum of Old UG E-Learning",'Pivot Table for Fact Book'!$A$3,"State","TX","type",12,"type2","Techncial")</f>
        <v>0</v>
      </c>
      <c r="AC39" s="93">
        <f>+GETPIVOTDATA("Sum of New UG E-Learning",'Pivot Table for Fact Book'!$A$3,"State","TX","type",12,"type2","Techncial")</f>
        <v>0</v>
      </c>
      <c r="AD39" s="93">
        <f>+GETPIVOTDATA("Sum of Old UG E-Learning",'Pivot Table for Fact Book'!$A$3,"State","TX","type",13,"type2","Techncial")</f>
        <v>0</v>
      </c>
      <c r="AE39" s="93">
        <f>+GETPIVOTDATA("Sum of New UG E-Learning",'Pivot Table for Fact Book'!$A$3,"State","TX","type",13,"type2","Techncial")</f>
        <v>0</v>
      </c>
      <c r="AF39" s="97">
        <f>+GETPIVOTDATA("Sum of Old UG E-Learning",'Pivot Table for Fact Book'!$A$3,"State","TX","type2","Techncial")</f>
        <v>0</v>
      </c>
      <c r="AG39" s="97">
        <f>+GETPIVOTDATA("Sum of New UG E-Learning",'Pivot Table for Fact Book'!$A$3,"State","TX","type2","Techncial")</f>
        <v>0</v>
      </c>
    </row>
    <row r="40" spans="1:33">
      <c r="A40" s="105" t="s">
        <v>632</v>
      </c>
      <c r="B40" s="92">
        <f>GETPIVOTDATA("Sum of Old UG E-Learning",'Pivot Table for Fact Book'!$A$3,"State","VA","type",1,"Type2","Four-Year")</f>
        <v>1462620.5</v>
      </c>
      <c r="C40" s="93">
        <f>GETPIVOTDATA("Sum of New UG E-Learning",'Pivot Table for Fact Book'!$A$3,"State","VA","type",1,"Type2","Four-Year")</f>
        <v>1885232.5</v>
      </c>
      <c r="D40" s="92">
        <f>GETPIVOTDATA("Sum of Old UG E-Learning",'Pivot Table for Fact Book'!$A$3,"State","VA","type",2,"Type2","Four-Year")</f>
        <v>78805.5</v>
      </c>
      <c r="E40" s="93">
        <f>GETPIVOTDATA("Sum of New UG E-Learning",'Pivot Table for Fact Book'!$A$3,"State","VA","type",2,"Type2","Four-Year")</f>
        <v>86598</v>
      </c>
      <c r="F40" s="92">
        <f>GETPIVOTDATA("Sum of Old UG E-Learning",'Pivot Table for Fact Book'!$A$3,"State","VA","type",3,"Type2","Four-Year")</f>
        <v>374726</v>
      </c>
      <c r="G40" s="93">
        <f>GETPIVOTDATA("Sum of New UG E-Learning",'Pivot Table for Fact Book'!$A$3,"State","VA","type",3,"Type2","Four-Year")</f>
        <v>429498</v>
      </c>
      <c r="H40" s="92">
        <f>GETPIVOTDATA("Sum of Old UG E-Learning",'Pivot Table for Fact Book'!$A$3,"State","VA","type",4,"Type2","Four-Year")</f>
        <v>43499</v>
      </c>
      <c r="I40" s="93">
        <f>GETPIVOTDATA("Sum of New UG E-Learning",'Pivot Table for Fact Book'!$A$3,"State","VA","type",4,"Type2","Four-Year")</f>
        <v>64468</v>
      </c>
      <c r="J40" s="92">
        <f>GETPIVOTDATA("Sum of Old UG E-Learning",'Pivot Table for Fact Book'!$A$3,"State","VA","type",5,"Type2","Four-Year")</f>
        <v>121901</v>
      </c>
      <c r="K40" s="93">
        <f>GETPIVOTDATA("Sum of New UG E-Learning",'Pivot Table for Fact Book'!$A$3,"State","VA","type",5,"Type2","Four-Year")</f>
        <v>111900</v>
      </c>
      <c r="L40" s="92">
        <f>GETPIVOTDATA("Sum of Old UG E-Learning",'Pivot Table for Fact Book'!$A$3,"State","VA","type",6,"Type2","Four-Year")</f>
        <v>12396</v>
      </c>
      <c r="M40" s="93">
        <f>GETPIVOTDATA("Sum of New UG E-Learning",'Pivot Table for Fact Book'!$A$3,"State","VA","type",6,"Type2","Four-Year")</f>
        <v>12917</v>
      </c>
      <c r="N40" s="92">
        <f>GETPIVOTDATA("Sum of Old UG E-Learning",'Pivot Table for Fact Book'!$A$3,"State","VA","type",15,"Type2","Four-Year")</f>
        <v>0</v>
      </c>
      <c r="O40" s="93">
        <f>GETPIVOTDATA("Sum of New UG E-Learning",'Pivot Table for Fact Book'!$A$3,"State","VA","type",15,"Type2","Four-Year")</f>
        <v>0</v>
      </c>
      <c r="P40" s="94">
        <f>GETPIVOTDATA("Sum of Old UG E-Learning",'Pivot Table for Fact Book'!$A$3,"State","VA","Type2","Four-Year")</f>
        <v>2093948</v>
      </c>
      <c r="Q40" s="94">
        <f>GETPIVOTDATA("Sum of New UG E-Learning",'Pivot Table for Fact Book'!$A$3,"State","VA","Type2","Four-Year")</f>
        <v>2590613.5</v>
      </c>
      <c r="R40" s="92">
        <f>GETPIVOTDATA("Sum of Old UG E-Learning",'Pivot Table for Fact Book'!$A$3,"State","VA","type",7,"Type2","Two-Year")</f>
        <v>0</v>
      </c>
      <c r="S40" s="93">
        <f>GETPIVOTDATA("Sum of New UG E-Learning",'Pivot Table for Fact Book'!$A$3,"State","VA","type",7,"Type2","Two-Year")</f>
        <v>0</v>
      </c>
      <c r="T40" s="93">
        <f>GETPIVOTDATA("Sum of Old UG E-Learning",'Pivot Table for Fact Book'!$A$3,"State","VA","type",8,"Type2","Two-Year")</f>
        <v>877763</v>
      </c>
      <c r="U40" s="93">
        <f>GETPIVOTDATA("Sum of New UG E-Learning",'Pivot Table for Fact Book'!$A$3,"State","VA","type",8,"Type2","Two-Year")</f>
        <v>1110141</v>
      </c>
      <c r="V40" s="93">
        <f>GETPIVOTDATA("Sum of Old UG E-Learning",'Pivot Table for Fact Book'!$A$3,"State","VA","type",9,"Type2","Two-Year")</f>
        <v>460757</v>
      </c>
      <c r="W40" s="93">
        <f>GETPIVOTDATA("Sum of New UG E-Learning",'Pivot Table for Fact Book'!$A$3,"State","VA","type",9,"Type2","Two-Year")</f>
        <v>555957</v>
      </c>
      <c r="X40" s="93">
        <f>GETPIVOTDATA("Sum of Old UG E-Learning",'Pivot Table for Fact Book'!$A$3,"State","VA","type",10,"Type2","Two-Year")</f>
        <v>277583</v>
      </c>
      <c r="Y40" s="93">
        <f>GETPIVOTDATA("Sum of New UG E-Learning",'Pivot Table for Fact Book'!$A$3,"State","VA","type",10,"Type2","Two-Year")</f>
        <v>302102.5</v>
      </c>
      <c r="Z40" s="95">
        <f>GETPIVOTDATA("Sum of Old UG E-Learning",'Pivot Table for Fact Book'!$A$3,"State","VA","Type2","Two-Year")</f>
        <v>1616103</v>
      </c>
      <c r="AA40" s="95">
        <f>GETPIVOTDATA("Sum of New UG E-Learning",'Pivot Table for Fact Book'!$A$3,"State","VA","Type2","Two-Year")</f>
        <v>1968200.5</v>
      </c>
      <c r="AB40" s="92">
        <f>+GETPIVOTDATA("Sum of Old UG E-Learning",'Pivot Table for Fact Book'!$A$3,"State","VA","type",12,"type2","Techncial")</f>
        <v>0</v>
      </c>
      <c r="AC40" s="93">
        <f>+GETPIVOTDATA("Sum of New UG E-Learning",'Pivot Table for Fact Book'!$A$3,"State","VA","type",12,"type2","Techncial")</f>
        <v>0</v>
      </c>
      <c r="AD40" s="93">
        <f>+GETPIVOTDATA("Sum of Old UG E-Learning",'Pivot Table for Fact Book'!$A$3,"State","VA","type",13,"type2","Techncial")</f>
        <v>0</v>
      </c>
      <c r="AE40" s="93">
        <f>+GETPIVOTDATA("Sum of New UG E-Learning",'Pivot Table for Fact Book'!$A$3,"State","VA","type",13,"type2","Techncial")</f>
        <v>0</v>
      </c>
      <c r="AF40" s="97">
        <f>+GETPIVOTDATA("Sum of Old UG E-Learning",'Pivot Table for Fact Book'!$A$3,"State","VA","type2","Techncial")</f>
        <v>0</v>
      </c>
      <c r="AG40" s="97">
        <f>+GETPIVOTDATA("Sum of New UG E-Learning",'Pivot Table for Fact Book'!$A$3,"State","VA","type2","Techncial")</f>
        <v>0</v>
      </c>
    </row>
    <row r="41" spans="1:33">
      <c r="A41" s="126" t="s">
        <v>633</v>
      </c>
      <c r="B41" s="98">
        <f>GETPIVOTDATA("Sum of Old UG E-Learning",'Pivot Table for Fact Book'!$A$3,"State","WV","type",1,"Type2","Four-Year")</f>
        <v>260149</v>
      </c>
      <c r="C41" s="99">
        <f>GETPIVOTDATA("Sum of New UG E-Learning",'Pivot Table for Fact Book'!$A$3,"State","WV","type",1,"Type2","Four-Year")</f>
        <v>276525</v>
      </c>
      <c r="D41" s="98">
        <f>GETPIVOTDATA("Sum of Old UG E-Learning",'Pivot Table for Fact Book'!$A$3,"State","WV","type",2,"Type2","Four-Year")</f>
        <v>0</v>
      </c>
      <c r="E41" s="99">
        <f>GETPIVOTDATA("Sum of New UG E-Learning",'Pivot Table for Fact Book'!$A$3,"State","WV","type",2,"Type2","Four-Year")</f>
        <v>0</v>
      </c>
      <c r="F41" s="98">
        <f>GETPIVOTDATA("Sum of Old UG E-Learning",'Pivot Table for Fact Book'!$A$3,"State","WV","type",3,"Type2","Four-Year")</f>
        <v>114746</v>
      </c>
      <c r="G41" s="99">
        <f>GETPIVOTDATA("Sum of New UG E-Learning",'Pivot Table for Fact Book'!$A$3,"State","WV","type",3,"Type2","Four-Year")</f>
        <v>108947</v>
      </c>
      <c r="H41" s="98">
        <f>GETPIVOTDATA("Sum of Old UG E-Learning",'Pivot Table for Fact Book'!$A$3,"State","WV","type",4,"Type2","Four-Year")</f>
        <v>32994</v>
      </c>
      <c r="I41" s="99">
        <f>GETPIVOTDATA("Sum of New UG E-Learning",'Pivot Table for Fact Book'!$A$3,"State","WV","type",4,"Type2","Four-Year")</f>
        <v>24802</v>
      </c>
      <c r="J41" s="98">
        <f>GETPIVOTDATA("Sum of Old UG E-Learning",'Pivot Table for Fact Book'!$A$3,"State","WV","type",5,"Type2","Four-Year")</f>
        <v>93705</v>
      </c>
      <c r="K41" s="99">
        <f>GETPIVOTDATA("Sum of New UG E-Learning",'Pivot Table for Fact Book'!$A$3,"State","WV","type",5,"Type2","Four-Year")</f>
        <v>103736</v>
      </c>
      <c r="L41" s="98">
        <f>GETPIVOTDATA("Sum of Old UG E-Learning",'Pivot Table for Fact Book'!$A$3,"State","WV","type",6,"Type2","Four-Year")</f>
        <v>41125</v>
      </c>
      <c r="M41" s="99">
        <f>GETPIVOTDATA("Sum of New UG E-Learning",'Pivot Table for Fact Book'!$A$3,"State","WV","type",6,"Type2","Four-Year")</f>
        <v>43793</v>
      </c>
      <c r="N41" s="98">
        <f>GETPIVOTDATA("Sum of Old UG E-Learning",'Pivot Table for Fact Book'!$A$3,"State","WV","type",15,"Type2","Four-Year")</f>
        <v>0</v>
      </c>
      <c r="O41" s="99">
        <f>GETPIVOTDATA("Sum of New UG E-Learning",'Pivot Table for Fact Book'!$A$3,"State","WV","type",15,"Type2","Four-Year")</f>
        <v>0</v>
      </c>
      <c r="P41" s="100">
        <f>GETPIVOTDATA("Sum of Old UG E-Learning",'Pivot Table for Fact Book'!$A$3,"State","WV","Type2","Four-Year")</f>
        <v>542719</v>
      </c>
      <c r="Q41" s="100">
        <f>GETPIVOTDATA("Sum of New UG E-Learning",'Pivot Table for Fact Book'!$A$3,"State","WV","Type2","Four-Year")</f>
        <v>557803</v>
      </c>
      <c r="R41" s="98">
        <f>GETPIVOTDATA("Sum of Old UG E-Learning",'Pivot Table for Fact Book'!$A$3,"State","WV","type",7,"Type2","Two-Year")</f>
        <v>32421</v>
      </c>
      <c r="S41" s="99">
        <f>GETPIVOTDATA("Sum of New UG E-Learning",'Pivot Table for Fact Book'!$A$3,"State","WV","type",7,"Type2","Two-Year")</f>
        <v>36645</v>
      </c>
      <c r="T41" s="99">
        <f>GETPIVOTDATA("Sum of Old UG E-Learning",'Pivot Table for Fact Book'!$A$3,"State","WV","type",8,"Type2","Two-Year")</f>
        <v>0</v>
      </c>
      <c r="U41" s="99">
        <f>GETPIVOTDATA("Sum of New UG E-Learning",'Pivot Table for Fact Book'!$A$3,"State","WV","type",8,"Type2","Two-Year")</f>
        <v>0</v>
      </c>
      <c r="V41" s="99">
        <f>GETPIVOTDATA("Sum of Old UG E-Learning",'Pivot Table for Fact Book'!$A$3,"State","WV","type",9,"Type2","Two-Year")</f>
        <v>28062</v>
      </c>
      <c r="W41" s="99">
        <f>GETPIVOTDATA("Sum of New UG E-Learning",'Pivot Table for Fact Book'!$A$3,"State","WV","type",9,"Type2","Two-Year")</f>
        <v>32180</v>
      </c>
      <c r="X41" s="99">
        <f>GETPIVOTDATA("Sum of Old UG E-Learning",'Pivot Table for Fact Book'!$A$3,"State","WV","type",10,"Type2","Two-Year")</f>
        <v>102350</v>
      </c>
      <c r="Y41" s="99">
        <f>GETPIVOTDATA("Sum of New UG E-Learning",'Pivot Table for Fact Book'!$A$3,"State","WV","type",10,"Type2","Two-Year")</f>
        <v>106035</v>
      </c>
      <c r="Z41" s="101">
        <f>GETPIVOTDATA("Sum of Old UG E-Learning",'Pivot Table for Fact Book'!$A$3,"State","WV","Type2","Two-Year")</f>
        <v>162833</v>
      </c>
      <c r="AA41" s="101">
        <f>GETPIVOTDATA("Sum of New UG E-Learning",'Pivot Table for Fact Book'!$A$3,"State","WV","Type2","Two-Year")</f>
        <v>174860</v>
      </c>
      <c r="AB41" s="98">
        <f>+GETPIVOTDATA("Sum of Old UG E-Learning",'Pivot Table for Fact Book'!$A$3,"State","WV","type",12,"type2","Techncial")</f>
        <v>0</v>
      </c>
      <c r="AC41" s="99">
        <f>+GETPIVOTDATA("Sum of New UG E-Learning",'Pivot Table for Fact Book'!$A$3,"State","WV","type",12,"type2","Techncial")</f>
        <v>0</v>
      </c>
      <c r="AD41" s="99">
        <f>+GETPIVOTDATA("Sum of Old UG E-Learning",'Pivot Table for Fact Book'!$A$3,"State","WV","type",13,"type2","Techncial")</f>
        <v>0</v>
      </c>
      <c r="AE41" s="99">
        <f>+GETPIVOTDATA("Sum of New UG E-Learning",'Pivot Table for Fact Book'!$A$3,"State","WV","type",13,"type2","Techncial")</f>
        <v>0</v>
      </c>
      <c r="AF41" s="103">
        <f>+GETPIVOTDATA("Sum of Old UG E-Learning",'Pivot Table for Fact Book'!$A$3,"State","WV","type2","Techncial")</f>
        <v>0</v>
      </c>
      <c r="AG41" s="103">
        <f>+GETPIVOTDATA("Sum of New UG E-Learning",'Pivot Table for Fact Book'!$A$3,"State","WV","type2","Techncial")</f>
        <v>0</v>
      </c>
    </row>
    <row r="43" spans="1:33">
      <c r="A43" s="104" t="s">
        <v>635</v>
      </c>
    </row>
    <row r="44" spans="1:33">
      <c r="B44" s="106" t="s">
        <v>614</v>
      </c>
      <c r="C44" s="107"/>
      <c r="D44" s="107"/>
      <c r="E44" s="107"/>
      <c r="F44" s="107"/>
      <c r="G44" s="107"/>
      <c r="H44" s="107"/>
      <c r="I44" s="107"/>
      <c r="J44" s="107"/>
      <c r="K44" s="107"/>
      <c r="L44" s="107"/>
      <c r="M44" s="107"/>
      <c r="N44" s="107"/>
      <c r="O44" s="107"/>
      <c r="P44" s="107"/>
      <c r="Q44" s="107"/>
    </row>
    <row r="45" spans="1:33">
      <c r="B45" s="112">
        <v>1</v>
      </c>
      <c r="C45" s="113"/>
      <c r="D45" s="112">
        <v>2</v>
      </c>
      <c r="E45" s="113"/>
      <c r="F45" s="112">
        <v>3</v>
      </c>
      <c r="G45" s="113"/>
      <c r="H45" s="112">
        <v>4</v>
      </c>
      <c r="I45" s="113"/>
      <c r="J45" s="112">
        <v>5</v>
      </c>
      <c r="K45" s="113"/>
      <c r="L45" s="112">
        <v>6</v>
      </c>
      <c r="M45" s="113"/>
      <c r="N45" s="112">
        <v>15</v>
      </c>
      <c r="O45" s="113"/>
      <c r="P45" s="112" t="s">
        <v>617</v>
      </c>
      <c r="Q45" s="114"/>
    </row>
    <row r="46" spans="1:33" s="128" customFormat="1">
      <c r="A46" s="127"/>
      <c r="B46" s="120">
        <v>2019</v>
      </c>
      <c r="C46" s="121">
        <v>2020</v>
      </c>
      <c r="D46" s="120">
        <v>2019</v>
      </c>
      <c r="E46" s="121">
        <v>2020</v>
      </c>
      <c r="F46" s="120">
        <v>2019</v>
      </c>
      <c r="G46" s="121">
        <v>2020</v>
      </c>
      <c r="H46" s="120">
        <v>2019</v>
      </c>
      <c r="I46" s="121">
        <v>2020</v>
      </c>
      <c r="J46" s="120">
        <v>2019</v>
      </c>
      <c r="K46" s="121">
        <v>2020</v>
      </c>
      <c r="L46" s="120">
        <v>2019</v>
      </c>
      <c r="M46" s="121">
        <v>2020</v>
      </c>
      <c r="N46" s="120">
        <v>2019</v>
      </c>
      <c r="O46" s="121">
        <v>2020</v>
      </c>
      <c r="P46" s="120">
        <v>2019</v>
      </c>
      <c r="Q46" s="121">
        <v>2020</v>
      </c>
      <c r="R46" s="122">
        <v>2019</v>
      </c>
      <c r="S46" s="123">
        <v>2020</v>
      </c>
      <c r="T46" s="122">
        <v>2019</v>
      </c>
      <c r="U46" s="123">
        <v>2020</v>
      </c>
      <c r="V46" s="122">
        <v>2019</v>
      </c>
      <c r="W46" s="123">
        <v>2020</v>
      </c>
      <c r="X46" s="122">
        <v>2019</v>
      </c>
      <c r="Y46" s="123">
        <v>2020</v>
      </c>
      <c r="Z46" s="122">
        <v>2019</v>
      </c>
      <c r="AA46" s="123">
        <v>2020</v>
      </c>
      <c r="AB46" s="122">
        <v>2019</v>
      </c>
      <c r="AC46" s="124">
        <v>2020</v>
      </c>
      <c r="AD46" s="122">
        <v>2019</v>
      </c>
      <c r="AE46" s="124">
        <v>2020</v>
      </c>
      <c r="AF46" s="122">
        <v>2019</v>
      </c>
      <c r="AG46" s="124">
        <v>2020</v>
      </c>
    </row>
    <row r="47" spans="1:33">
      <c r="A47" s="105" t="s">
        <v>618</v>
      </c>
      <c r="B47" s="92">
        <f>GETPIVOTDATA("Sum of Old-Tot G SCH Calc",'Pivot Table for Fact Book'!$A$3,"State","AL","type",1,"Type2","Four-Year")</f>
        <v>273769</v>
      </c>
      <c r="C47" s="93">
        <f>GETPIVOTDATA("Sum of New-Tot G SCH Calc",'Pivot Table for Fact Book'!$A$3,"State","AL","type",1,"Type2","Four-Year")</f>
        <v>316180</v>
      </c>
      <c r="D47" s="92">
        <f>GETPIVOTDATA("Sum of Old-Tot G SCH Calc",'Pivot Table for Fact Book'!$A$3,"State","AL","type",2,"Type2","Four-Year")</f>
        <v>50120</v>
      </c>
      <c r="E47" s="93">
        <f>GETPIVOTDATA("Sum of New-Tot G SCH Calc",'Pivot Table for Fact Book'!$A$3,"State","AL","type",2,"Type2","Four-Year")</f>
        <v>52728</v>
      </c>
      <c r="F47" s="92">
        <f>GETPIVOTDATA("Sum of Old-Tot G SCH Calc",'Pivot Table for Fact Book'!$A$3,"State","AL","type",3,"Type2","Four-Year")</f>
        <v>140240</v>
      </c>
      <c r="G47" s="93">
        <f>GETPIVOTDATA("Sum of New-Tot G SCH Calc",'Pivot Table for Fact Book'!$A$3,"State","AL","type",3,"Type2","Four-Year")</f>
        <v>150911</v>
      </c>
      <c r="H47" s="92">
        <f>GETPIVOTDATA("Sum of Old-Tot G SCH Calc",'Pivot Table for Fact Book'!$A$3,"State","AL","type",4,"Type2","Four-Year")</f>
        <v>80213</v>
      </c>
      <c r="I47" s="93">
        <f>GETPIVOTDATA("Sum of New-Tot G SCH Calc",'Pivot Table for Fact Book'!$A$3,"State","AL","type",4,"Type2","Four-Year")</f>
        <v>79845</v>
      </c>
      <c r="J47" s="92">
        <f>GETPIVOTDATA("Sum of Old-Tot G SCH Calc",'Pivot Table for Fact Book'!$A$3,"State","AL","type",5,"Type2","Four-Year")</f>
        <v>9641</v>
      </c>
      <c r="K47" s="93">
        <f>GETPIVOTDATA("Sum of New-Tot G SCH Calc",'Pivot Table for Fact Book'!$A$3,"State","AL","type",5,"Type2","Four-Year")</f>
        <v>11372</v>
      </c>
      <c r="L47" s="92">
        <f>GETPIVOTDATA("Sum of Old-Tot G SCH Calc",'Pivot Table for Fact Book'!$A$3,"State","AL","type",6,"Type2","Four-Year")</f>
        <v>0</v>
      </c>
      <c r="M47" s="93">
        <f>GETPIVOTDATA("Sum of New-Tot G SCH Calc",'Pivot Table for Fact Book'!$A$3,"State","AL","type",6,"Type2","Four-Year")</f>
        <v>0</v>
      </c>
      <c r="N47" s="92">
        <f>GETPIVOTDATA("Sum of Old-Tot G SCH Calc",'Pivot Table for Fact Book'!$A$3,"State","AL","type",15,"Type2","Four-Year")</f>
        <v>0</v>
      </c>
      <c r="O47" s="93">
        <f>GETPIVOTDATA("Sum of New-Tot G SCH Calc",'Pivot Table for Fact Book'!$A$3,"State","AL","type",15,"Type2","Four-Year")</f>
        <v>0</v>
      </c>
      <c r="P47" s="94">
        <f>GETPIVOTDATA("Sum of Old-Tot G SCH Calc",'Pivot Table for Fact Book'!$A$3,"State","AL","Type2","Four-Year")</f>
        <v>553983</v>
      </c>
      <c r="Q47" s="94">
        <f>GETPIVOTDATA("Sum of New-Tot G SCH Calc",'Pivot Table for Fact Book'!$A$3,"State","AL","Type2","Four-Year")</f>
        <v>611036</v>
      </c>
    </row>
    <row r="48" spans="1:33">
      <c r="A48" s="105" t="s">
        <v>619</v>
      </c>
      <c r="B48" s="92">
        <f>GETPIVOTDATA("Sum of Old-Tot G SCH Calc",'Pivot Table for Fact Book'!$A$3,"State","AR","type",1,"Type2","Four-Year")</f>
        <v>79052</v>
      </c>
      <c r="C48" s="93">
        <f>GETPIVOTDATA("Sum of New-Tot G SCH Calc",'Pivot Table for Fact Book'!$A$3,"State","AR","type",1,"Type2","Four-Year")</f>
        <v>86525</v>
      </c>
      <c r="D48" s="92">
        <f>GETPIVOTDATA("Sum of Old-Tot G SCH Calc",'Pivot Table for Fact Book'!$A$3,"State","AR","type",2,"Type2","Four-Year")</f>
        <v>36529</v>
      </c>
      <c r="E48" s="93">
        <f>GETPIVOTDATA("Sum of New-Tot G SCH Calc",'Pivot Table for Fact Book'!$A$3,"State","AR","type",2,"Type2","Four-Year")</f>
        <v>36628</v>
      </c>
      <c r="F48" s="92">
        <f>GETPIVOTDATA("Sum of Old-Tot G SCH Calc",'Pivot Table for Fact Book'!$A$3,"State","AR","type",3,"Type2","Four-Year")</f>
        <v>154623</v>
      </c>
      <c r="G48" s="93">
        <f>GETPIVOTDATA("Sum of New-Tot G SCH Calc",'Pivot Table for Fact Book'!$A$3,"State","AR","type",3,"Type2","Four-Year")</f>
        <v>155640</v>
      </c>
      <c r="H48" s="92">
        <f>GETPIVOTDATA("Sum of Old-Tot G SCH Calc",'Pivot Table for Fact Book'!$A$3,"State","AR","type",4,"Type2","Four-Year")</f>
        <v>31771</v>
      </c>
      <c r="I48" s="93">
        <f>GETPIVOTDATA("Sum of New-Tot G SCH Calc",'Pivot Table for Fact Book'!$A$3,"State","AR","type",4,"Type2","Four-Year")</f>
        <v>33303</v>
      </c>
      <c r="J48" s="92">
        <f>GETPIVOTDATA("Sum of Old-Tot G SCH Calc",'Pivot Table for Fact Book'!$A$3,"State","AR","type",5,"Type2","Four-Year")</f>
        <v>0</v>
      </c>
      <c r="K48" s="93">
        <f>GETPIVOTDATA("Sum of New-Tot G SCH Calc",'Pivot Table for Fact Book'!$A$3,"State","AR","type",5,"Type2","Four-Year")</f>
        <v>0</v>
      </c>
      <c r="L48" s="92">
        <f>GETPIVOTDATA("Sum of Old-Tot G SCH Calc",'Pivot Table for Fact Book'!$A$3,"State","AR","type",6,"Type2","Four-Year")</f>
        <v>2592</v>
      </c>
      <c r="M48" s="93">
        <f>GETPIVOTDATA("Sum of New-Tot G SCH Calc",'Pivot Table for Fact Book'!$A$3,"State","AR","type",6,"Type2","Four-Year")</f>
        <v>3515</v>
      </c>
      <c r="N48" s="92">
        <f>GETPIVOTDATA("Sum of Old-Tot G SCH Calc",'Pivot Table for Fact Book'!$A$3,"State","AR","type",15,"Type2","Four-Year")</f>
        <v>63129</v>
      </c>
      <c r="O48" s="93">
        <f>GETPIVOTDATA("Sum of New-Tot G SCH Calc",'Pivot Table for Fact Book'!$A$3,"State","AR","type",15,"Type2","Four-Year")</f>
        <v>61434</v>
      </c>
      <c r="P48" s="94">
        <f>GETPIVOTDATA("Sum of Old-Tot G SCH Calc",'Pivot Table for Fact Book'!$A$3,"State","AR","Type2","Four-Year")</f>
        <v>367696</v>
      </c>
      <c r="Q48" s="94">
        <f>GETPIVOTDATA("Sum of New-Tot G SCH Calc",'Pivot Table for Fact Book'!$A$3,"State","AR","Type2","Four-Year")</f>
        <v>377045</v>
      </c>
    </row>
    <row r="49" spans="1:17">
      <c r="A49" s="105" t="s">
        <v>620</v>
      </c>
      <c r="B49" s="92">
        <f>GETPIVOTDATA("Sum of Old-Tot G SCH Calc",'Pivot Table for Fact Book'!$A$3,"State","DE","type",1,"Type2","Four-Year")</f>
        <v>74608</v>
      </c>
      <c r="C49" s="93">
        <f>GETPIVOTDATA("Sum of New-Tot G SCH Calc",'Pivot Table for Fact Book'!$A$3,"State","DE","type",1,"Type2","Four-Year")</f>
        <v>65968</v>
      </c>
      <c r="D49" s="92">
        <f>GETPIVOTDATA("Sum of Old-Tot G SCH Calc",'Pivot Table for Fact Book'!$A$3,"State","DE","type",2,"Type2","Four-Year")</f>
        <v>0</v>
      </c>
      <c r="E49" s="93">
        <f>GETPIVOTDATA("Sum of New-Tot G SCH Calc",'Pivot Table for Fact Book'!$A$3,"State","DE","type",2,"Type2","Four-Year")</f>
        <v>0</v>
      </c>
      <c r="F49" s="92">
        <f>GETPIVOTDATA("Sum of Old-Tot G SCH Calc",'Pivot Table for Fact Book'!$A$3,"State","DE","type",3,"Type2","Four-Year")</f>
        <v>9354</v>
      </c>
      <c r="G49" s="93">
        <f>GETPIVOTDATA("Sum of New-Tot G SCH Calc",'Pivot Table for Fact Book'!$A$3,"State","DE","type",3,"Type2","Four-Year")</f>
        <v>14581</v>
      </c>
      <c r="H49" s="92">
        <f>GETPIVOTDATA("Sum of Old-Tot G SCH Calc",'Pivot Table for Fact Book'!$A$3,"State","DE","type",4,"Type2","Four-Year")</f>
        <v>0</v>
      </c>
      <c r="I49" s="93">
        <f>GETPIVOTDATA("Sum of New-Tot G SCH Calc",'Pivot Table for Fact Book'!$A$3,"State","DE","type",4,"Type2","Four-Year")</f>
        <v>0</v>
      </c>
      <c r="J49" s="92">
        <f>GETPIVOTDATA("Sum of Old-Tot G SCH Calc",'Pivot Table for Fact Book'!$A$3,"State","DE","type",5,"Type2","Four-Year")</f>
        <v>0</v>
      </c>
      <c r="K49" s="93">
        <f>GETPIVOTDATA("Sum of New-Tot G SCH Calc",'Pivot Table for Fact Book'!$A$3,"State","DE","type",5,"Type2","Four-Year")</f>
        <v>0</v>
      </c>
      <c r="L49" s="92">
        <f>GETPIVOTDATA("Sum of Old-Tot G SCH Calc",'Pivot Table for Fact Book'!$A$3,"State","DE","type",6,"Type2","Four-Year")</f>
        <v>0</v>
      </c>
      <c r="M49" s="93">
        <f>GETPIVOTDATA("Sum of New-Tot G SCH Calc",'Pivot Table for Fact Book'!$A$3,"State","DE","type",6,"Type2","Four-Year")</f>
        <v>0</v>
      </c>
      <c r="N49" s="92">
        <f>GETPIVOTDATA("Sum of Old-Tot G SCH Calc",'Pivot Table for Fact Book'!$A$3,"State","DE","type",15,"Type2","Four-Year")</f>
        <v>0</v>
      </c>
      <c r="O49" s="93">
        <f>GETPIVOTDATA("Sum of New-Tot G SCH Calc",'Pivot Table for Fact Book'!$A$3,"State","DE","type",15,"Type2","Four-Year")</f>
        <v>0</v>
      </c>
      <c r="P49" s="94">
        <f>GETPIVOTDATA("Sum of Old-Tot G SCH Calc",'Pivot Table for Fact Book'!$A$3,"State","DE","Type2","Four-Year")</f>
        <v>83962</v>
      </c>
      <c r="Q49" s="94">
        <f>GETPIVOTDATA("Sum of New-Tot G SCH Calc",'Pivot Table for Fact Book'!$A$3,"State","DE","Type2","Four-Year")</f>
        <v>80549</v>
      </c>
    </row>
    <row r="50" spans="1:17">
      <c r="A50" s="105" t="s">
        <v>621</v>
      </c>
      <c r="B50" s="92">
        <f>GETPIVOTDATA("Sum of Old-Tot G SCH Calc",'Pivot Table for Fact Book'!$A$3,"State","FL","type",1,"Type2","Four-Year")</f>
        <v>0</v>
      </c>
      <c r="C50" s="93">
        <f>GETPIVOTDATA("Sum of New-Tot G SCH Calc",'Pivot Table for Fact Book'!$A$3,"State","FL","type",1,"Type2","Four-Year")</f>
        <v>0</v>
      </c>
      <c r="D50" s="92">
        <f>GETPIVOTDATA("Sum of Old-Tot G SCH Calc",'Pivot Table for Fact Book'!$A$3,"State","FL","type",2,"Type2","Four-Year")</f>
        <v>0</v>
      </c>
      <c r="E50" s="93">
        <f>GETPIVOTDATA("Sum of New-Tot G SCH Calc",'Pivot Table for Fact Book'!$A$3,"State","FL","type",2,"Type2","Four-Year")</f>
        <v>0</v>
      </c>
      <c r="F50" s="92">
        <f>GETPIVOTDATA("Sum of Old-Tot G SCH Calc",'Pivot Table for Fact Book'!$A$3,"State","FL","type",3,"Type2","Four-Year")</f>
        <v>0</v>
      </c>
      <c r="G50" s="93">
        <f>GETPIVOTDATA("Sum of New-Tot G SCH Calc",'Pivot Table for Fact Book'!$A$3,"State","FL","type",3,"Type2","Four-Year")</f>
        <v>0</v>
      </c>
      <c r="H50" s="92">
        <f>GETPIVOTDATA("Sum of Old-Tot G SCH Calc",'Pivot Table for Fact Book'!$A$3,"State","FL","type",4,"Type2","Four-Year")</f>
        <v>0</v>
      </c>
      <c r="I50" s="93">
        <f>GETPIVOTDATA("Sum of New-Tot G SCH Calc",'Pivot Table for Fact Book'!$A$3,"State","FL","type",4,"Type2","Four-Year")</f>
        <v>0</v>
      </c>
      <c r="J50" s="92">
        <f>GETPIVOTDATA("Sum of Old-Tot G SCH Calc",'Pivot Table for Fact Book'!$A$3,"State","FL","type",5,"Type2","Four-Year")</f>
        <v>0</v>
      </c>
      <c r="K50" s="93">
        <f>GETPIVOTDATA("Sum of New-Tot G SCH Calc",'Pivot Table for Fact Book'!$A$3,"State","FL","type",5,"Type2","Four-Year")</f>
        <v>0</v>
      </c>
      <c r="L50" s="92">
        <f>GETPIVOTDATA("Sum of Old-Tot G SCH Calc",'Pivot Table for Fact Book'!$A$3,"State","FL","type",6,"Type2","Four-Year")</f>
        <v>0</v>
      </c>
      <c r="M50" s="93">
        <f>GETPIVOTDATA("Sum of New-Tot G SCH Calc",'Pivot Table for Fact Book'!$A$3,"State","FL","type",6,"Type2","Four-Year")</f>
        <v>0</v>
      </c>
      <c r="N50" s="92">
        <f>GETPIVOTDATA("Sum of Old-Tot G SCH Calc",'Pivot Table for Fact Book'!$A$3,"State","FL","type",15,"Type2","Four-Year")</f>
        <v>0</v>
      </c>
      <c r="O50" s="93">
        <f>GETPIVOTDATA("Sum of New-Tot G SCH Calc",'Pivot Table for Fact Book'!$A$3,"State","FL","type",15,"Type2","Four-Year")</f>
        <v>0</v>
      </c>
      <c r="P50" s="94">
        <f>GETPIVOTDATA("Sum of Old-Tot G SCH Calc",'Pivot Table for Fact Book'!$A$3,"State","FL","Type2","Four-Year")</f>
        <v>0</v>
      </c>
      <c r="Q50" s="94">
        <f>GETPIVOTDATA("Sum of New-Tot G SCH Calc",'Pivot Table for Fact Book'!$A$3,"State","FL","Type2","Four-Year")</f>
        <v>0</v>
      </c>
    </row>
    <row r="51" spans="1:17">
      <c r="A51" s="105" t="s">
        <v>622</v>
      </c>
      <c r="B51" s="92">
        <f>GETPIVOTDATA("Sum of Old-Tot G SCH Calc",'Pivot Table for Fact Book'!$A$3,"State","GA","type",1,"Type2","Four-Year")</f>
        <v>510578.9</v>
      </c>
      <c r="C51" s="93">
        <f>GETPIVOTDATA("Sum of New-Tot G SCH Calc",'Pivot Table for Fact Book'!$A$3,"State","GA","type",1,"Type2","Four-Year")</f>
        <v>517364.70999999996</v>
      </c>
      <c r="D51" s="92">
        <f>GETPIVOTDATA("Sum of Old-Tot G SCH Calc",'Pivot Table for Fact Book'!$A$3,"State","GA","type",2,"Type2","Four-Year")</f>
        <v>402738.5</v>
      </c>
      <c r="E51" s="93">
        <f>GETPIVOTDATA("Sum of New-Tot G SCH Calc",'Pivot Table for Fact Book'!$A$3,"State","GA","type",2,"Type2","Four-Year")</f>
        <v>441715</v>
      </c>
      <c r="F51" s="92">
        <f>GETPIVOTDATA("Sum of Old-Tot G SCH Calc",'Pivot Table for Fact Book'!$A$3,"State","GA","type",3,"Type2","Four-Year")</f>
        <v>227914</v>
      </c>
      <c r="G51" s="93">
        <f>GETPIVOTDATA("Sum of New-Tot G SCH Calc",'Pivot Table for Fact Book'!$A$3,"State","GA","type",3,"Type2","Four-Year")</f>
        <v>242517</v>
      </c>
      <c r="H51" s="92">
        <f>GETPIVOTDATA("Sum of Old-Tot G SCH Calc",'Pivot Table for Fact Book'!$A$3,"State","GA","type",4,"Type2","Four-Year")</f>
        <v>305038</v>
      </c>
      <c r="I51" s="93">
        <f>GETPIVOTDATA("Sum of New-Tot G SCH Calc",'Pivot Table for Fact Book'!$A$3,"State","GA","type",4,"Type2","Four-Year")</f>
        <v>331926</v>
      </c>
      <c r="J51" s="92">
        <f>GETPIVOTDATA("Sum of Old-Tot G SCH Calc",'Pivot Table for Fact Book'!$A$3,"State","GA","type",5,"Type2","Four-Year")</f>
        <v>16163</v>
      </c>
      <c r="K51" s="93">
        <f>GETPIVOTDATA("Sum of New-Tot G SCH Calc",'Pivot Table for Fact Book'!$A$3,"State","GA","type",5,"Type2","Four-Year")</f>
        <v>17072</v>
      </c>
      <c r="L51" s="92">
        <f>GETPIVOTDATA("Sum of Old-Tot G SCH Calc",'Pivot Table for Fact Book'!$A$3,"State","GA","type",6,"Type2","Four-Year")</f>
        <v>0</v>
      </c>
      <c r="M51" s="93">
        <f>GETPIVOTDATA("Sum of New-Tot G SCH Calc",'Pivot Table for Fact Book'!$A$3,"State","GA","type",6,"Type2","Four-Year")</f>
        <v>0</v>
      </c>
      <c r="N51" s="92">
        <f>GETPIVOTDATA("Sum of Old-Tot G SCH Calc",'Pivot Table for Fact Book'!$A$3,"State","GA","type",15,"Type2","Four-Year")</f>
        <v>0</v>
      </c>
      <c r="O51" s="93">
        <f>GETPIVOTDATA("Sum of New-Tot G SCH Calc",'Pivot Table for Fact Book'!$A$3,"State","GA","type",15,"Type2","Four-Year")</f>
        <v>0</v>
      </c>
      <c r="P51" s="94">
        <f>GETPIVOTDATA("Sum of Old-Tot G SCH Calc",'Pivot Table for Fact Book'!$A$3,"State","GA","Type2","Four-Year")</f>
        <v>1462432.4</v>
      </c>
      <c r="Q51" s="94">
        <f>GETPIVOTDATA("Sum of New-Tot G SCH Calc",'Pivot Table for Fact Book'!$A$3,"State","GA","Type2","Four-Year")</f>
        <v>1550594.71</v>
      </c>
    </row>
    <row r="52" spans="1:17">
      <c r="A52" s="105" t="s">
        <v>623</v>
      </c>
      <c r="B52" s="92">
        <f>GETPIVOTDATA("Sum of Old-Tot G SCH Calc",'Pivot Table for Fact Book'!$A$3,"State","KY","type",1,"Type2","Four-Year")</f>
        <v>169518</v>
      </c>
      <c r="C52" s="93">
        <f>GETPIVOTDATA("Sum of New-Tot G SCH Calc",'Pivot Table for Fact Book'!$A$3,"State","KY","type",1,"Type2","Four-Year")</f>
        <v>194828</v>
      </c>
      <c r="D52" s="92">
        <f>GETPIVOTDATA("Sum of Old-Tot G SCH Calc",'Pivot Table for Fact Book'!$A$3,"State","KY","type",2,"Type2","Four-Year")</f>
        <v>0</v>
      </c>
      <c r="E52" s="93">
        <f>GETPIVOTDATA("Sum of New-Tot G SCH Calc",'Pivot Table for Fact Book'!$A$3,"State","KY","type",2,"Type2","Four-Year")</f>
        <v>0</v>
      </c>
      <c r="F52" s="92">
        <f>GETPIVOTDATA("Sum of Old-Tot G SCH Calc",'Pivot Table for Fact Book'!$A$3,"State","KY","type",3,"Type2","Four-Year")</f>
        <v>185364</v>
      </c>
      <c r="G52" s="93">
        <f>GETPIVOTDATA("Sum of New-Tot G SCH Calc",'Pivot Table for Fact Book'!$A$3,"State","KY","type",3,"Type2","Four-Year")</f>
        <v>193569</v>
      </c>
      <c r="H52" s="92">
        <f>GETPIVOTDATA("Sum of Old-Tot G SCH Calc",'Pivot Table for Fact Book'!$A$3,"State","KY","type",4,"Type2","Four-Year")</f>
        <v>1914</v>
      </c>
      <c r="I52" s="93">
        <f>GETPIVOTDATA("Sum of New-Tot G SCH Calc",'Pivot Table for Fact Book'!$A$3,"State","KY","type",4,"Type2","Four-Year")</f>
        <v>1977</v>
      </c>
      <c r="J52" s="92">
        <f>GETPIVOTDATA("Sum of Old-Tot G SCH Calc",'Pivot Table for Fact Book'!$A$3,"State","KY","type",5,"Type2","Four-Year")</f>
        <v>0</v>
      </c>
      <c r="K52" s="93">
        <f>GETPIVOTDATA("Sum of New-Tot G SCH Calc",'Pivot Table for Fact Book'!$A$3,"State","KY","type",5,"Type2","Four-Year")</f>
        <v>0</v>
      </c>
      <c r="L52" s="92">
        <f>GETPIVOTDATA("Sum of Old-Tot G SCH Calc",'Pivot Table for Fact Book'!$A$3,"State","KY","type",6,"Type2","Four-Year")</f>
        <v>0</v>
      </c>
      <c r="M52" s="93">
        <f>GETPIVOTDATA("Sum of New-Tot G SCH Calc",'Pivot Table for Fact Book'!$A$3,"State","KY","type",6,"Type2","Four-Year")</f>
        <v>0</v>
      </c>
      <c r="N52" s="92">
        <f>GETPIVOTDATA("Sum of Old-Tot G SCH Calc",'Pivot Table for Fact Book'!$A$3,"State","KY","type",15,"Type2","Four-Year")</f>
        <v>0</v>
      </c>
      <c r="O52" s="93">
        <f>GETPIVOTDATA("Sum of New-Tot G SCH Calc",'Pivot Table for Fact Book'!$A$3,"State","KY","type",15,"Type2","Four-Year")</f>
        <v>0</v>
      </c>
      <c r="P52" s="94">
        <f>GETPIVOTDATA("Sum of Old-Tot G SCH Calc",'Pivot Table for Fact Book'!$A$3,"State","KY","Type2","Four-Year")</f>
        <v>356796</v>
      </c>
      <c r="Q52" s="94">
        <f>GETPIVOTDATA("Sum of New-Tot G SCH Calc",'Pivot Table for Fact Book'!$A$3,"State","KY","Type2","Four-Year")</f>
        <v>390374</v>
      </c>
    </row>
    <row r="53" spans="1:17">
      <c r="A53" s="105" t="s">
        <v>624</v>
      </c>
      <c r="B53" s="92">
        <f>GETPIVOTDATA("Sum of Old-Tot G SCH Calc",'Pivot Table for Fact Book'!$A$3,"State","LA","type",1,"Type2","Four-Year")</f>
        <v>150237.00000000041</v>
      </c>
      <c r="C53" s="93">
        <f>GETPIVOTDATA("Sum of New-Tot G SCH Calc",'Pivot Table for Fact Book'!$A$3,"State","LA","type",1,"Type2","Four-Year")</f>
        <v>161972.49999999959</v>
      </c>
      <c r="D53" s="92">
        <f>GETPIVOTDATA("Sum of Old-Tot G SCH Calc",'Pivot Table for Fact Book'!$A$3,"State","LA","type",2,"Type2","Four-Year")</f>
        <v>86146.999999999971</v>
      </c>
      <c r="E53" s="93">
        <f>GETPIVOTDATA("Sum of New-Tot G SCH Calc",'Pivot Table for Fact Book'!$A$3,"State","LA","type",2,"Type2","Four-Year")</f>
        <v>84752</v>
      </c>
      <c r="F53" s="92">
        <f>GETPIVOTDATA("Sum of Old-Tot G SCH Calc",'Pivot Table for Fact Book'!$A$3,"State","LA","type",3,"Type2","Four-Year")</f>
        <v>84497.999999999971</v>
      </c>
      <c r="G53" s="93">
        <f>GETPIVOTDATA("Sum of New-Tot G SCH Calc",'Pivot Table for Fact Book'!$A$3,"State","LA","type",3,"Type2","Four-Year")</f>
        <v>99072.999999999971</v>
      </c>
      <c r="H53" s="92">
        <f>GETPIVOTDATA("Sum of Old-Tot G SCH Calc",'Pivot Table for Fact Book'!$A$3,"State","LA","type",4,"Type2","Four-Year")</f>
        <v>167952.00000000003</v>
      </c>
      <c r="I53" s="93">
        <f>GETPIVOTDATA("Sum of New-Tot G SCH Calc",'Pivot Table for Fact Book'!$A$3,"State","LA","type",4,"Type2","Four-Year")</f>
        <v>166716.99999999953</v>
      </c>
      <c r="J53" s="92">
        <f>GETPIVOTDATA("Sum of Old-Tot G SCH Calc",'Pivot Table for Fact Book'!$A$3,"State","LA","type",5,"Type2","Four-Year")</f>
        <v>7039</v>
      </c>
      <c r="K53" s="93">
        <f>GETPIVOTDATA("Sum of New-Tot G SCH Calc",'Pivot Table for Fact Book'!$A$3,"State","LA","type",5,"Type2","Four-Year")</f>
        <v>6099</v>
      </c>
      <c r="L53" s="92">
        <f>GETPIVOTDATA("Sum of Old-Tot G SCH Calc",'Pivot Table for Fact Book'!$A$3,"State","LA","type",6,"Type2","Four-Year")</f>
        <v>0</v>
      </c>
      <c r="M53" s="93">
        <f>GETPIVOTDATA("Sum of New-Tot G SCH Calc",'Pivot Table for Fact Book'!$A$3,"State","LA","type",6,"Type2","Four-Year")</f>
        <v>0</v>
      </c>
      <c r="N53" s="92">
        <f>GETPIVOTDATA("Sum of Old-Tot G SCH Calc",'Pivot Table for Fact Book'!$A$3,"State","LA","type",15,"Type2","Four-Year")</f>
        <v>21220.000000000051</v>
      </c>
      <c r="O53" s="93">
        <f>GETPIVOTDATA("Sum of New-Tot G SCH Calc",'Pivot Table for Fact Book'!$A$3,"State","LA","type",15,"Type2","Four-Year")</f>
        <v>0</v>
      </c>
      <c r="P53" s="94">
        <f>GETPIVOTDATA("Sum of Old-Tot G SCH Calc",'Pivot Table for Fact Book'!$A$3,"State","LA","Type2","Four-Year")</f>
        <v>517093.00000000041</v>
      </c>
      <c r="Q53" s="94">
        <f>GETPIVOTDATA("Sum of New-Tot G SCH Calc",'Pivot Table for Fact Book'!$A$3,"State","LA","Type2","Four-Year")</f>
        <v>518613.49999999907</v>
      </c>
    </row>
    <row r="54" spans="1:17">
      <c r="A54" s="105" t="s">
        <v>625</v>
      </c>
      <c r="B54" s="92">
        <f>GETPIVOTDATA("Sum of Old-Tot G SCH Calc",'Pivot Table for Fact Book'!$A$3,"State","MD","type",1,"Type2","Four-Year")</f>
        <v>150008</v>
      </c>
      <c r="C54" s="93">
        <f>GETPIVOTDATA("Sum of New-Tot G SCH Calc",'Pivot Table for Fact Book'!$A$3,"State","MD","type",1,"Type2","Four-Year")</f>
        <v>156169</v>
      </c>
      <c r="D54" s="92">
        <f>GETPIVOTDATA("Sum of Old-Tot G SCH Calc",'Pivot Table for Fact Book'!$A$3,"State","MD","type",2,"Type2","Four-Year")</f>
        <v>62178</v>
      </c>
      <c r="E54" s="93">
        <f>GETPIVOTDATA("Sum of New-Tot G SCH Calc",'Pivot Table for Fact Book'!$A$3,"State","MD","type",2,"Type2","Four-Year")</f>
        <v>64688</v>
      </c>
      <c r="F54" s="92">
        <f>GETPIVOTDATA("Sum of Old-Tot G SCH Calc",'Pivot Table for Fact Book'!$A$3,"State","MD","type",3,"Type2","Four-Year")</f>
        <v>84361.5</v>
      </c>
      <c r="G54" s="93">
        <f>GETPIVOTDATA("Sum of New-Tot G SCH Calc",'Pivot Table for Fact Book'!$A$3,"State","MD","type",3,"Type2","Four-Year")</f>
        <v>83080</v>
      </c>
      <c r="H54" s="92">
        <f>GETPIVOTDATA("Sum of Old-Tot G SCH Calc",'Pivot Table for Fact Book'!$A$3,"State","MD","type",4,"Type2","Four-Year")</f>
        <v>60736.5</v>
      </c>
      <c r="I54" s="93">
        <f>GETPIVOTDATA("Sum of New-Tot G SCH Calc",'Pivot Table for Fact Book'!$A$3,"State","MD","type",4,"Type2","Four-Year")</f>
        <v>61848</v>
      </c>
      <c r="J54" s="92">
        <f>GETPIVOTDATA("Sum of Old-Tot G SCH Calc",'Pivot Table for Fact Book'!$A$3,"State","MD","type",5,"Type2","Four-Year")</f>
        <v>3776</v>
      </c>
      <c r="K54" s="93">
        <f>GETPIVOTDATA("Sum of New-Tot G SCH Calc",'Pivot Table for Fact Book'!$A$3,"State","MD","type",5,"Type2","Four-Year")</f>
        <v>3136</v>
      </c>
      <c r="L54" s="92">
        <f>GETPIVOTDATA("Sum of Old-Tot G SCH Calc",'Pivot Table for Fact Book'!$A$3,"State","MD","type",6,"Type2","Four-Year")</f>
        <v>889</v>
      </c>
      <c r="M54" s="93">
        <f>GETPIVOTDATA("Sum of New-Tot G SCH Calc",'Pivot Table for Fact Book'!$A$3,"State","MD","type",6,"Type2","Four-Year")</f>
        <v>985</v>
      </c>
      <c r="N54" s="92">
        <f>GETPIVOTDATA("Sum of Old-Tot G SCH Calc",'Pivot Table for Fact Book'!$A$3,"State","MD","type",15,"Type2","Four-Year")</f>
        <v>267339</v>
      </c>
      <c r="O54" s="93">
        <f>GETPIVOTDATA("Sum of New-Tot G SCH Calc",'Pivot Table for Fact Book'!$A$3,"State","MD","type",15,"Type2","Four-Year")</f>
        <v>237881</v>
      </c>
      <c r="P54" s="94">
        <f>GETPIVOTDATA("Sum of Old-Tot G SCH Calc",'Pivot Table for Fact Book'!$A$3,"State","MD","Type2","Four-Year")</f>
        <v>629288</v>
      </c>
      <c r="Q54" s="94">
        <f>GETPIVOTDATA("Sum of New-Tot G SCH Calc",'Pivot Table for Fact Book'!$A$3,"State","MD","Type2","Four-Year")</f>
        <v>607787</v>
      </c>
    </row>
    <row r="55" spans="1:17">
      <c r="A55" s="105" t="s">
        <v>626</v>
      </c>
      <c r="B55" s="92">
        <f>GETPIVOTDATA("Sum of Old-Tot G SCH Calc",'Pivot Table for Fact Book'!$A$3,"State","MS","type",1,"Type2","Four-Year")</f>
        <v>188336</v>
      </c>
      <c r="C55" s="93">
        <f>GETPIVOTDATA("Sum of New-Tot G SCH Calc",'Pivot Table for Fact Book'!$A$3,"State","MS","type",1,"Type2","Four-Year")</f>
        <v>212450</v>
      </c>
      <c r="D55" s="92">
        <f>GETPIVOTDATA("Sum of Old-Tot G SCH Calc",'Pivot Table for Fact Book'!$A$3,"State","MS","type",2,"Type2","Four-Year")</f>
        <v>34452</v>
      </c>
      <c r="E55" s="93">
        <f>GETPIVOTDATA("Sum of New-Tot G SCH Calc",'Pivot Table for Fact Book'!$A$3,"State","MS","type",2,"Type2","Four-Year")</f>
        <v>38579.5</v>
      </c>
      <c r="F55" s="92">
        <f>GETPIVOTDATA("Sum of Old-Tot G SCH Calc",'Pivot Table for Fact Book'!$A$3,"State","MS","type",3,"Type2","Four-Year")</f>
        <v>0</v>
      </c>
      <c r="G55" s="93">
        <f>GETPIVOTDATA("Sum of New-Tot G SCH Calc",'Pivot Table for Fact Book'!$A$3,"State","MS","type",3,"Type2","Four-Year")</f>
        <v>0</v>
      </c>
      <c r="H55" s="92">
        <f>GETPIVOTDATA("Sum of Old-Tot G SCH Calc",'Pivot Table for Fact Book'!$A$3,"State","MS","type",4,"Type2","Four-Year")</f>
        <v>35177</v>
      </c>
      <c r="I55" s="93">
        <f>GETPIVOTDATA("Sum of New-Tot G SCH Calc",'Pivot Table for Fact Book'!$A$3,"State","MS","type",4,"Type2","Four-Year")</f>
        <v>37466</v>
      </c>
      <c r="J55" s="92">
        <f>GETPIVOTDATA("Sum of Old-Tot G SCH Calc",'Pivot Table for Fact Book'!$A$3,"State","MS","type",5,"Type2","Four-Year")</f>
        <v>0</v>
      </c>
      <c r="K55" s="93">
        <f>GETPIVOTDATA("Sum of New-Tot G SCH Calc",'Pivot Table for Fact Book'!$A$3,"State","MS","type",5,"Type2","Four-Year")</f>
        <v>0</v>
      </c>
      <c r="L55" s="92">
        <f>GETPIVOTDATA("Sum of Old-Tot G SCH Calc",'Pivot Table for Fact Book'!$A$3,"State","MS","type",6,"Type2","Four-Year")</f>
        <v>0</v>
      </c>
      <c r="M55" s="93">
        <f>GETPIVOTDATA("Sum of New-Tot G SCH Calc",'Pivot Table for Fact Book'!$A$3,"State","MS","type",6,"Type2","Four-Year")</f>
        <v>0</v>
      </c>
      <c r="N55" s="92">
        <f>GETPIVOTDATA("Sum of Old-Tot G SCH Calc",'Pivot Table for Fact Book'!$A$3,"State","MS","type",15,"Type2","Four-Year")</f>
        <v>0</v>
      </c>
      <c r="O55" s="93">
        <f>GETPIVOTDATA("Sum of New-Tot G SCH Calc",'Pivot Table for Fact Book'!$A$3,"State","MS","type",15,"Type2","Four-Year")</f>
        <v>0</v>
      </c>
      <c r="P55" s="94">
        <f>GETPIVOTDATA("Sum of Old-Tot G SCH Calc",'Pivot Table for Fact Book'!$A$3,"State","MS","Type2","Four-Year")</f>
        <v>257965</v>
      </c>
      <c r="Q55" s="94">
        <f>GETPIVOTDATA("Sum of New-Tot G SCH Calc",'Pivot Table for Fact Book'!$A$3,"State","MS","Type2","Four-Year")</f>
        <v>288495.5</v>
      </c>
    </row>
    <row r="56" spans="1:17">
      <c r="A56" s="105" t="s">
        <v>627</v>
      </c>
      <c r="B56" s="92">
        <f>GETPIVOTDATA("Sum of Old-Tot G SCH Calc",'Pivot Table for Fact Book'!$A$3,"State","NC","type",1,"Type2","Four-Year")</f>
        <v>513065</v>
      </c>
      <c r="C56" s="93">
        <f>GETPIVOTDATA("Sum of New-Tot G SCH Calc",'Pivot Table for Fact Book'!$A$3,"State","NC","type",1,"Type2","Four-Year")</f>
        <v>545854.5</v>
      </c>
      <c r="D56" s="92">
        <f>GETPIVOTDATA("Sum of Old-Tot G SCH Calc",'Pivot Table for Fact Book'!$A$3,"State","NC","type",2,"Type2","Four-Year")</f>
        <v>115541</v>
      </c>
      <c r="E56" s="93">
        <f>GETPIVOTDATA("Sum of New-Tot G SCH Calc",'Pivot Table for Fact Book'!$A$3,"State","NC","type",2,"Type2","Four-Year")</f>
        <v>118103</v>
      </c>
      <c r="F56" s="92">
        <f>GETPIVOTDATA("Sum of Old-Tot G SCH Calc",'Pivot Table for Fact Book'!$A$3,"State","NC","type",3,"Type2","Four-Year")</f>
        <v>163218</v>
      </c>
      <c r="G56" s="93">
        <f>GETPIVOTDATA("Sum of New-Tot G SCH Calc",'Pivot Table for Fact Book'!$A$3,"State","NC","type",3,"Type2","Four-Year")</f>
        <v>177518.5</v>
      </c>
      <c r="H56" s="92">
        <f>GETPIVOTDATA("Sum of Old-Tot G SCH Calc",'Pivot Table for Fact Book'!$A$3,"State","NC","type",4,"Type2","Four-Year")</f>
        <v>17585</v>
      </c>
      <c r="I56" s="93">
        <f>GETPIVOTDATA("Sum of New-Tot G SCH Calc",'Pivot Table for Fact Book'!$A$3,"State","NC","type",4,"Type2","Four-Year")</f>
        <v>19259</v>
      </c>
      <c r="J56" s="92">
        <f>GETPIVOTDATA("Sum of Old-Tot G SCH Calc",'Pivot Table for Fact Book'!$A$3,"State","NC","type",5,"Type2","Four-Year")</f>
        <v>40640</v>
      </c>
      <c r="K56" s="93">
        <f>GETPIVOTDATA("Sum of New-Tot G SCH Calc",'Pivot Table for Fact Book'!$A$3,"State","NC","type",5,"Type2","Four-Year")</f>
        <v>48681</v>
      </c>
      <c r="L56" s="92">
        <f>GETPIVOTDATA("Sum of Old-Tot G SCH Calc",'Pivot Table for Fact Book'!$A$3,"State","NC","type",6,"Type2","Four-Year")</f>
        <v>1659</v>
      </c>
      <c r="M56" s="93">
        <f>GETPIVOTDATA("Sum of New-Tot G SCH Calc",'Pivot Table for Fact Book'!$A$3,"State","NC","type",6,"Type2","Four-Year")</f>
        <v>1657</v>
      </c>
      <c r="N56" s="92">
        <f>GETPIVOTDATA("Sum of Old-Tot G SCH Calc",'Pivot Table for Fact Book'!$A$3,"State","NC","type",15,"Type2","Four-Year")</f>
        <v>3672</v>
      </c>
      <c r="O56" s="93">
        <f>GETPIVOTDATA("Sum of New-Tot G SCH Calc",'Pivot Table for Fact Book'!$A$3,"State","NC","type",15,"Type2","Four-Year")</f>
        <v>4020</v>
      </c>
      <c r="P56" s="94">
        <f>GETPIVOTDATA("Sum of Old-Tot G SCH Calc",'Pivot Table for Fact Book'!$A$3,"State","NC","Type2","Four-Year")</f>
        <v>855380</v>
      </c>
      <c r="Q56" s="94">
        <f>GETPIVOTDATA("Sum of New-Tot G SCH Calc",'Pivot Table for Fact Book'!$A$3,"State","NC","Type2","Four-Year")</f>
        <v>915093</v>
      </c>
    </row>
    <row r="57" spans="1:17">
      <c r="A57" s="105" t="s">
        <v>628</v>
      </c>
      <c r="B57" s="92">
        <f>GETPIVOTDATA("Sum of Old-Tot G SCH Calc",'Pivot Table for Fact Book'!$A$3,"State","OK","type",1,"Type2","Four-Year")</f>
        <v>0</v>
      </c>
      <c r="C57" s="93">
        <f>GETPIVOTDATA("Sum of New-Tot G SCH Calc",'Pivot Table for Fact Book'!$A$3,"State","OK","type",1,"Type2","Four-Year")</f>
        <v>0</v>
      </c>
      <c r="D57" s="92">
        <f>GETPIVOTDATA("Sum of Old-Tot G SCH Calc",'Pivot Table for Fact Book'!$A$3,"State","OK","type",2,"Type2","Four-Year")</f>
        <v>0</v>
      </c>
      <c r="E57" s="93">
        <f>GETPIVOTDATA("Sum of New-Tot G SCH Calc",'Pivot Table for Fact Book'!$A$3,"State","OK","type",2,"Type2","Four-Year")</f>
        <v>0</v>
      </c>
      <c r="F57" s="92">
        <f>GETPIVOTDATA("Sum of Old-Tot G SCH Calc",'Pivot Table for Fact Book'!$A$3,"State","OK","type",3,"Type2","Four-Year")</f>
        <v>0</v>
      </c>
      <c r="G57" s="93">
        <f>GETPIVOTDATA("Sum of New-Tot G SCH Calc",'Pivot Table for Fact Book'!$A$3,"State","OK","type",3,"Type2","Four-Year")</f>
        <v>0</v>
      </c>
      <c r="H57" s="92">
        <f>GETPIVOTDATA("Sum of Old-Tot G SCH Calc",'Pivot Table for Fact Book'!$A$3,"State","OK","type",4,"Type2","Four-Year")</f>
        <v>0</v>
      </c>
      <c r="I57" s="93">
        <f>GETPIVOTDATA("Sum of New-Tot G SCH Calc",'Pivot Table for Fact Book'!$A$3,"State","OK","type",4,"Type2","Four-Year")</f>
        <v>0</v>
      </c>
      <c r="J57" s="92">
        <f>GETPIVOTDATA("Sum of Old-Tot G SCH Calc",'Pivot Table for Fact Book'!$A$3,"State","OK","type",5,"Type2","Four-Year")</f>
        <v>0</v>
      </c>
      <c r="K57" s="93">
        <f>GETPIVOTDATA("Sum of New-Tot G SCH Calc",'Pivot Table for Fact Book'!$A$3,"State","OK","type",5,"Type2","Four-Year")</f>
        <v>0</v>
      </c>
      <c r="L57" s="92">
        <f>GETPIVOTDATA("Sum of Old-Tot G SCH Calc",'Pivot Table for Fact Book'!$A$3,"State","OK","type",6,"Type2","Four-Year")</f>
        <v>0</v>
      </c>
      <c r="M57" s="93">
        <f>GETPIVOTDATA("Sum of New-Tot G SCH Calc",'Pivot Table for Fact Book'!$A$3,"State","OK","type",6,"Type2","Four-Year")</f>
        <v>0</v>
      </c>
      <c r="N57" s="92">
        <f>GETPIVOTDATA("Sum of Old-Tot G SCH Calc",'Pivot Table for Fact Book'!$A$3,"State","OK","type",15,"Type2","Four-Year")</f>
        <v>0</v>
      </c>
      <c r="O57" s="93">
        <f>GETPIVOTDATA("Sum of New-Tot G SCH Calc",'Pivot Table for Fact Book'!$A$3,"State","OK","type",15,"Type2","Four-Year")</f>
        <v>0</v>
      </c>
      <c r="P57" s="94">
        <f>GETPIVOTDATA("Sum of Old-Tot G SCH Calc",'Pivot Table for Fact Book'!$A$3,"State","OK","Type2","Four-Year")</f>
        <v>0</v>
      </c>
      <c r="Q57" s="94">
        <f>GETPIVOTDATA("Sum of New-Tot G SCH Calc",'Pivot Table for Fact Book'!$A$3,"State","OK","Type2","Four-Year")</f>
        <v>0</v>
      </c>
    </row>
    <row r="58" spans="1:17">
      <c r="A58" s="105" t="s">
        <v>629</v>
      </c>
      <c r="B58" s="92">
        <f>GETPIVOTDATA("Sum of Old-Tot G SCH Calc",'Pivot Table for Fact Book'!$A$3,"State","SC","type",1,"Type2","Four-Year")</f>
        <v>267031</v>
      </c>
      <c r="C58" s="93">
        <f>GETPIVOTDATA("Sum of New-Tot G SCH Calc",'Pivot Table for Fact Book'!$A$3,"State","SC","type",1,"Type2","Four-Year")</f>
        <v>275729</v>
      </c>
      <c r="D58" s="92">
        <f>GETPIVOTDATA("Sum of Old-Tot G SCH Calc",'Pivot Table for Fact Book'!$A$3,"State","SC","type",2,"Type2","Four-Year")</f>
        <v>0</v>
      </c>
      <c r="E58" s="93">
        <f>GETPIVOTDATA("Sum of New-Tot G SCH Calc",'Pivot Table for Fact Book'!$A$3,"State","SC","type",2,"Type2","Four-Year")</f>
        <v>0</v>
      </c>
      <c r="F58" s="92">
        <f>GETPIVOTDATA("Sum of Old-Tot G SCH Calc",'Pivot Table for Fact Book'!$A$3,"State","SC","type",3,"Type2","Four-Year")</f>
        <v>48009</v>
      </c>
      <c r="G58" s="93">
        <f>GETPIVOTDATA("Sum of New-Tot G SCH Calc",'Pivot Table for Fact Book'!$A$3,"State","SC","type",3,"Type2","Four-Year")</f>
        <v>51283</v>
      </c>
      <c r="H58" s="92">
        <f>GETPIVOTDATA("Sum of Old-Tot G SCH Calc",'Pivot Table for Fact Book'!$A$3,"State","SC","type",4,"Type2","Four-Year")</f>
        <v>12670</v>
      </c>
      <c r="I58" s="93">
        <f>GETPIVOTDATA("Sum of New-Tot G SCH Calc",'Pivot Table for Fact Book'!$A$3,"State","SC","type",4,"Type2","Four-Year")</f>
        <v>12629</v>
      </c>
      <c r="J58" s="92">
        <f>GETPIVOTDATA("Sum of Old-Tot G SCH Calc",'Pivot Table for Fact Book'!$A$3,"State","SC","type",5,"Type2","Four-Year")</f>
        <v>22549</v>
      </c>
      <c r="K58" s="93">
        <f>GETPIVOTDATA("Sum of New-Tot G SCH Calc",'Pivot Table for Fact Book'!$A$3,"State","SC","type",5,"Type2","Four-Year")</f>
        <v>24576</v>
      </c>
      <c r="L58" s="92">
        <f>GETPIVOTDATA("Sum of Old-Tot G SCH Calc",'Pivot Table for Fact Book'!$A$3,"State","SC","type",6,"Type2","Four-Year")</f>
        <v>8826</v>
      </c>
      <c r="M58" s="93">
        <f>GETPIVOTDATA("Sum of New-Tot G SCH Calc",'Pivot Table for Fact Book'!$A$3,"State","SC","type",6,"Type2","Four-Year")</f>
        <v>10018</v>
      </c>
      <c r="N58" s="92">
        <f>GETPIVOTDATA("Sum of Old-Tot G SCH Calc",'Pivot Table for Fact Book'!$A$3,"State","SC","type",15,"Type2","Four-Year")</f>
        <v>0</v>
      </c>
      <c r="O58" s="93">
        <f>GETPIVOTDATA("Sum of New-Tot G SCH Calc",'Pivot Table for Fact Book'!$A$3,"State","SC","type",15,"Type2","Four-Year")</f>
        <v>0</v>
      </c>
      <c r="P58" s="94">
        <f>GETPIVOTDATA("Sum of Old-Tot G SCH Calc",'Pivot Table for Fact Book'!$A$3,"State","SC","Type2","Four-Year")</f>
        <v>359085</v>
      </c>
      <c r="Q58" s="94">
        <f>GETPIVOTDATA("Sum of New-Tot G SCH Calc",'Pivot Table for Fact Book'!$A$3,"State","SC","Type2","Four-Year")</f>
        <v>374235</v>
      </c>
    </row>
    <row r="59" spans="1:17">
      <c r="A59" s="105" t="s">
        <v>630</v>
      </c>
      <c r="B59" s="92">
        <f>GETPIVOTDATA("Sum of Old-Tot G SCH Calc",'Pivot Table for Fact Book'!$A$3,"State","TN","type",1,"Type2","Four-Year")</f>
        <v>167581</v>
      </c>
      <c r="C59" s="93">
        <f>GETPIVOTDATA("Sum of New-Tot G SCH Calc",'Pivot Table for Fact Book'!$A$3,"State","TN","type",1,"Type2","Four-Year")</f>
        <v>169402</v>
      </c>
      <c r="D59" s="92">
        <f>GETPIVOTDATA("Sum of Old-Tot G SCH Calc",'Pivot Table for Fact Book'!$A$3,"State","TN","type",2,"Type2","Four-Year")</f>
        <v>101219</v>
      </c>
      <c r="E59" s="93">
        <f>GETPIVOTDATA("Sum of New-Tot G SCH Calc",'Pivot Table for Fact Book'!$A$3,"State","TN","type",2,"Type2","Four-Year")</f>
        <v>98637</v>
      </c>
      <c r="F59" s="92">
        <f>GETPIVOTDATA("Sum of Old-Tot G SCH Calc",'Pivot Table for Fact Book'!$A$3,"State","TN","type",3,"Type2","Four-Year")</f>
        <v>66119</v>
      </c>
      <c r="G59" s="93">
        <f>GETPIVOTDATA("Sum of New-Tot G SCH Calc",'Pivot Table for Fact Book'!$A$3,"State","TN","type",3,"Type2","Four-Year")</f>
        <v>70026</v>
      </c>
      <c r="H59" s="92">
        <f>GETPIVOTDATA("Sum of Old-Tot G SCH Calc",'Pivot Table for Fact Book'!$A$3,"State","TN","type",4,"Type2","Four-Year")</f>
        <v>11662</v>
      </c>
      <c r="I59" s="93">
        <f>GETPIVOTDATA("Sum of New-Tot G SCH Calc",'Pivot Table for Fact Book'!$A$3,"State","TN","type",4,"Type2","Four-Year")</f>
        <v>12352</v>
      </c>
      <c r="J59" s="92">
        <f>GETPIVOTDATA("Sum of Old-Tot G SCH Calc",'Pivot Table for Fact Book'!$A$3,"State","TN","type",5,"Type2","Four-Year")</f>
        <v>0</v>
      </c>
      <c r="K59" s="93">
        <f>GETPIVOTDATA("Sum of New-Tot G SCH Calc",'Pivot Table for Fact Book'!$A$3,"State","TN","type",5,"Type2","Four-Year")</f>
        <v>0</v>
      </c>
      <c r="L59" s="92">
        <f>GETPIVOTDATA("Sum of Old-Tot G SCH Calc",'Pivot Table for Fact Book'!$A$3,"State","TN","type",6,"Type2","Four-Year")</f>
        <v>0</v>
      </c>
      <c r="M59" s="93">
        <f>GETPIVOTDATA("Sum of New-Tot G SCH Calc",'Pivot Table for Fact Book'!$A$3,"State","TN","type",6,"Type2","Four-Year")</f>
        <v>0</v>
      </c>
      <c r="N59" s="92">
        <f>GETPIVOTDATA("Sum of Old-Tot G SCH Calc",'Pivot Table for Fact Book'!$A$3,"State","TN","type",15,"Type2","Four-Year")</f>
        <v>0</v>
      </c>
      <c r="O59" s="93">
        <f>GETPIVOTDATA("Sum of New-Tot G SCH Calc",'Pivot Table for Fact Book'!$A$3,"State","TN","type",15,"Type2","Four-Year")</f>
        <v>0</v>
      </c>
      <c r="P59" s="94">
        <f>GETPIVOTDATA("Sum of Old-Tot G SCH Calc",'Pivot Table for Fact Book'!$A$3,"State","TN","Type2","Four-Year")</f>
        <v>346581</v>
      </c>
      <c r="Q59" s="94">
        <f>GETPIVOTDATA("Sum of New-Tot G SCH Calc",'Pivot Table for Fact Book'!$A$3,"State","TN","Type2","Four-Year")</f>
        <v>350417</v>
      </c>
    </row>
    <row r="60" spans="1:17">
      <c r="A60" s="105" t="s">
        <v>631</v>
      </c>
      <c r="B60" s="92">
        <f>GETPIVOTDATA("Sum of Old-Tot G SCH Calc",'Pivot Table for Fact Book'!$A$3,"State","TX","type",1,"Type2","Four-Year")</f>
        <v>1313776</v>
      </c>
      <c r="C60" s="93">
        <f>GETPIVOTDATA("Sum of New-Tot G SCH Calc",'Pivot Table for Fact Book'!$A$3,"State","TX","type",1,"Type2","Four-Year")</f>
        <v>1347116</v>
      </c>
      <c r="D60" s="92">
        <f>GETPIVOTDATA("Sum of Old-Tot G SCH Calc",'Pivot Table for Fact Book'!$A$3,"State","TX","type",2,"Type2","Four-Year")</f>
        <v>239543</v>
      </c>
      <c r="E60" s="93">
        <f>GETPIVOTDATA("Sum of New-Tot G SCH Calc",'Pivot Table for Fact Book'!$A$3,"State","TX","type",2,"Type2","Four-Year")</f>
        <v>254293</v>
      </c>
      <c r="F60" s="92">
        <f>GETPIVOTDATA("Sum of Old-Tot G SCH Calc",'Pivot Table for Fact Book'!$A$3,"State","TX","type",3,"Type2","Four-Year")</f>
        <v>724450</v>
      </c>
      <c r="G60" s="93">
        <f>GETPIVOTDATA("Sum of New-Tot G SCH Calc",'Pivot Table for Fact Book'!$A$3,"State","TX","type",3,"Type2","Four-Year")</f>
        <v>792696</v>
      </c>
      <c r="H60" s="92">
        <f>GETPIVOTDATA("Sum of Old-Tot G SCH Calc",'Pivot Table for Fact Book'!$A$3,"State","TX","type",4,"Type2","Four-Year")</f>
        <v>85412</v>
      </c>
      <c r="I60" s="93">
        <f>GETPIVOTDATA("Sum of New-Tot G SCH Calc",'Pivot Table for Fact Book'!$A$3,"State","TX","type",4,"Type2","Four-Year")</f>
        <v>79157</v>
      </c>
      <c r="J60" s="92">
        <f>GETPIVOTDATA("Sum of Old-Tot G SCH Calc",'Pivot Table for Fact Book'!$A$3,"State","TX","type",5,"Type2","Four-Year")</f>
        <v>4461</v>
      </c>
      <c r="K60" s="93">
        <f>GETPIVOTDATA("Sum of New-Tot G SCH Calc",'Pivot Table for Fact Book'!$A$3,"State","TX","type",5,"Type2","Four-Year")</f>
        <v>4926</v>
      </c>
      <c r="L60" s="92">
        <f>GETPIVOTDATA("Sum of Old-Tot G SCH Calc",'Pivot Table for Fact Book'!$A$3,"State","TX","type",6,"Type2","Four-Year")</f>
        <v>0</v>
      </c>
      <c r="M60" s="93">
        <f>GETPIVOTDATA("Sum of New-Tot G SCH Calc",'Pivot Table for Fact Book'!$A$3,"State","TX","type",6,"Type2","Four-Year")</f>
        <v>0</v>
      </c>
      <c r="N60" s="92">
        <f>GETPIVOTDATA("Sum of Old-Tot G SCH Calc",'Pivot Table for Fact Book'!$A$3,"State","TX","type",15,"Type2","Four-Year")</f>
        <v>0</v>
      </c>
      <c r="O60" s="93">
        <f>GETPIVOTDATA("Sum of New-Tot G SCH Calc",'Pivot Table for Fact Book'!$A$3,"State","TX","type",15,"Type2","Four-Year")</f>
        <v>0</v>
      </c>
      <c r="P60" s="94">
        <f>GETPIVOTDATA("Sum of Old-Tot G SCH Calc",'Pivot Table for Fact Book'!$A$3,"State","TX","Type2","Four-Year")</f>
        <v>2367642</v>
      </c>
      <c r="Q60" s="94">
        <f>GETPIVOTDATA("Sum of New-Tot G SCH Calc",'Pivot Table for Fact Book'!$A$3,"State","TX","Type2","Four-Year")</f>
        <v>2478188</v>
      </c>
    </row>
    <row r="61" spans="1:17">
      <c r="A61" s="105" t="s">
        <v>632</v>
      </c>
      <c r="B61" s="92">
        <f>GETPIVOTDATA("Sum of Old-Tot G SCH Calc",'Pivot Table for Fact Book'!$A$3,"State","VA","type",1,"Type2","Four-Year")</f>
        <v>720167</v>
      </c>
      <c r="C61" s="93">
        <f>GETPIVOTDATA("Sum of New-Tot G SCH Calc",'Pivot Table for Fact Book'!$A$3,"State","VA","type",1,"Type2","Four-Year")</f>
        <v>752273.5</v>
      </c>
      <c r="D61" s="92">
        <f>GETPIVOTDATA("Sum of Old-Tot G SCH Calc",'Pivot Table for Fact Book'!$A$3,"State","VA","type",2,"Type2","Four-Year")</f>
        <v>62133.5</v>
      </c>
      <c r="E61" s="93">
        <f>GETPIVOTDATA("Sum of New-Tot G SCH Calc",'Pivot Table for Fact Book'!$A$3,"State","VA","type",2,"Type2","Four-Year")</f>
        <v>67359</v>
      </c>
      <c r="F61" s="92">
        <f>GETPIVOTDATA("Sum of Old-Tot G SCH Calc",'Pivot Table for Fact Book'!$A$3,"State","VA","type",3,"Type2","Four-Year")</f>
        <v>82293</v>
      </c>
      <c r="G61" s="93">
        <f>GETPIVOTDATA("Sum of New-Tot G SCH Calc",'Pivot Table for Fact Book'!$A$3,"State","VA","type",3,"Type2","Four-Year")</f>
        <v>81001.2</v>
      </c>
      <c r="H61" s="92">
        <f>GETPIVOTDATA("Sum of Old-Tot G SCH Calc",'Pivot Table for Fact Book'!$A$3,"State","VA","type",4,"Type2","Four-Year")</f>
        <v>8473</v>
      </c>
      <c r="I61" s="93">
        <f>GETPIVOTDATA("Sum of New-Tot G SCH Calc",'Pivot Table for Fact Book'!$A$3,"State","VA","type",4,"Type2","Four-Year")</f>
        <v>8173</v>
      </c>
      <c r="J61" s="92">
        <f>GETPIVOTDATA("Sum of Old-Tot G SCH Calc",'Pivot Table for Fact Book'!$A$3,"State","VA","type",5,"Type2","Four-Year")</f>
        <v>22499.599999999999</v>
      </c>
      <c r="K61" s="93">
        <f>GETPIVOTDATA("Sum of New-Tot G SCH Calc",'Pivot Table for Fact Book'!$A$3,"State","VA","type",5,"Type2","Four-Year")</f>
        <v>28779.8</v>
      </c>
      <c r="L61" s="92">
        <f>GETPIVOTDATA("Sum of Old-Tot G SCH Calc",'Pivot Table for Fact Book'!$A$3,"State","VA","type",6,"Type2","Four-Year")</f>
        <v>0</v>
      </c>
      <c r="M61" s="93">
        <f>GETPIVOTDATA("Sum of New-Tot G SCH Calc",'Pivot Table for Fact Book'!$A$3,"State","VA","type",6,"Type2","Four-Year")</f>
        <v>0</v>
      </c>
      <c r="N61" s="92">
        <f>GETPIVOTDATA("Sum of Old-Tot G SCH Calc",'Pivot Table for Fact Book'!$A$3,"State","VA","type",15,"Type2","Four-Year")</f>
        <v>0</v>
      </c>
      <c r="O61" s="93">
        <f>GETPIVOTDATA("Sum of New-Tot G SCH Calc",'Pivot Table for Fact Book'!$A$3,"State","VA","type",15,"Type2","Four-Year")</f>
        <v>0</v>
      </c>
      <c r="P61" s="94">
        <f>GETPIVOTDATA("Sum of Old-Tot G SCH Calc",'Pivot Table for Fact Book'!$A$3,"State","VA","Type2","Four-Year")</f>
        <v>895566.1</v>
      </c>
      <c r="Q61" s="94">
        <f>GETPIVOTDATA("Sum of New-Tot G SCH Calc",'Pivot Table for Fact Book'!$A$3,"State","VA","Type2","Four-Year")</f>
        <v>937586.5</v>
      </c>
    </row>
    <row r="62" spans="1:17">
      <c r="A62" s="126" t="s">
        <v>633</v>
      </c>
      <c r="B62" s="98">
        <f>GETPIVOTDATA("Sum of Old-Tot G SCH Calc",'Pivot Table for Fact Book'!$A$3,"State","WV","type",1,"Type2","Four-Year")</f>
        <v>88595</v>
      </c>
      <c r="C62" s="99">
        <f>GETPIVOTDATA("Sum of New-Tot G SCH Calc",'Pivot Table for Fact Book'!$A$3,"State","WV","type",1,"Type2","Four-Year")</f>
        <v>90458</v>
      </c>
      <c r="D62" s="98">
        <f>GETPIVOTDATA("Sum of Old-Tot G SCH Calc",'Pivot Table for Fact Book'!$A$3,"State","WV","type",2,"Type2","Four-Year")</f>
        <v>0</v>
      </c>
      <c r="E62" s="99">
        <f>GETPIVOTDATA("Sum of New-Tot G SCH Calc",'Pivot Table for Fact Book'!$A$3,"State","WV","type",2,"Type2","Four-Year")</f>
        <v>0</v>
      </c>
      <c r="F62" s="98">
        <f>GETPIVOTDATA("Sum of Old-Tot G SCH Calc",'Pivot Table for Fact Book'!$A$3,"State","WV","type",3,"Type2","Four-Year")</f>
        <v>61591</v>
      </c>
      <c r="G62" s="99">
        <f>GETPIVOTDATA("Sum of New-Tot G SCH Calc",'Pivot Table for Fact Book'!$A$3,"State","WV","type",3,"Type2","Four-Year")</f>
        <v>61970</v>
      </c>
      <c r="H62" s="98">
        <f>GETPIVOTDATA("Sum of Old-Tot G SCH Calc",'Pivot Table for Fact Book'!$A$3,"State","WV","type",4,"Type2","Four-Year")</f>
        <v>9693</v>
      </c>
      <c r="I62" s="99">
        <f>GETPIVOTDATA("Sum of New-Tot G SCH Calc",'Pivot Table for Fact Book'!$A$3,"State","WV","type",4,"Type2","Four-Year")</f>
        <v>11054</v>
      </c>
      <c r="J62" s="98">
        <f>GETPIVOTDATA("Sum of Old-Tot G SCH Calc",'Pivot Table for Fact Book'!$A$3,"State","WV","type",5,"Type2","Four-Year")</f>
        <v>21804</v>
      </c>
      <c r="K62" s="99">
        <f>GETPIVOTDATA("Sum of New-Tot G SCH Calc",'Pivot Table for Fact Book'!$A$3,"State","WV","type",5,"Type2","Four-Year")</f>
        <v>29075</v>
      </c>
      <c r="L62" s="98">
        <f>GETPIVOTDATA("Sum of Old-Tot G SCH Calc",'Pivot Table for Fact Book'!$A$3,"State","WV","type",6,"Type2","Four-Year")</f>
        <v>0</v>
      </c>
      <c r="M62" s="99">
        <f>GETPIVOTDATA("Sum of New-Tot G SCH Calc",'Pivot Table for Fact Book'!$A$3,"State","WV","type",6,"Type2","Four-Year")</f>
        <v>0</v>
      </c>
      <c r="N62" s="98">
        <f>GETPIVOTDATA("Sum of Old-Tot G SCH Calc",'Pivot Table for Fact Book'!$A$3,"State","WV","type",15,"Type2","Four-Year")</f>
        <v>0</v>
      </c>
      <c r="O62" s="99">
        <f>GETPIVOTDATA("Sum of New-Tot G SCH Calc",'Pivot Table for Fact Book'!$A$3,"State","WV","type",15,"Type2","Four-Year")</f>
        <v>0</v>
      </c>
      <c r="P62" s="100">
        <f>GETPIVOTDATA("Sum of Old-Tot G SCH Calc",'Pivot Table for Fact Book'!$A$3,"State","WV","Type2","Four-Year")</f>
        <v>181683</v>
      </c>
      <c r="Q62" s="100">
        <f>GETPIVOTDATA("Sum of New-Tot G SCH Calc",'Pivot Table for Fact Book'!$A$3,"State","WV","Type2","Four-Year")</f>
        <v>192557</v>
      </c>
    </row>
    <row r="64" spans="1:17">
      <c r="A64" s="104" t="s">
        <v>636</v>
      </c>
    </row>
    <row r="65" spans="1:33">
      <c r="B65" s="106" t="s">
        <v>614</v>
      </c>
      <c r="C65" s="107"/>
      <c r="D65" s="107"/>
      <c r="E65" s="107"/>
      <c r="F65" s="107"/>
      <c r="G65" s="107"/>
      <c r="H65" s="107"/>
      <c r="I65" s="107"/>
      <c r="J65" s="107"/>
      <c r="K65" s="107"/>
      <c r="L65" s="107"/>
      <c r="M65" s="107"/>
      <c r="N65" s="107"/>
      <c r="O65" s="107"/>
      <c r="P65" s="107"/>
      <c r="Q65" s="107"/>
    </row>
    <row r="66" spans="1:33">
      <c r="B66" s="112">
        <v>1</v>
      </c>
      <c r="C66" s="113"/>
      <c r="D66" s="112">
        <v>2</v>
      </c>
      <c r="E66" s="113"/>
      <c r="F66" s="112">
        <v>3</v>
      </c>
      <c r="G66" s="113"/>
      <c r="H66" s="112">
        <v>4</v>
      </c>
      <c r="I66" s="113"/>
      <c r="J66" s="112">
        <v>5</v>
      </c>
      <c r="K66" s="113"/>
      <c r="L66" s="112">
        <v>6</v>
      </c>
      <c r="M66" s="113"/>
      <c r="N66" s="112">
        <v>15</v>
      </c>
      <c r="O66" s="113"/>
      <c r="P66" s="112" t="s">
        <v>617</v>
      </c>
      <c r="Q66" s="114"/>
    </row>
    <row r="67" spans="1:33" s="128" customFormat="1">
      <c r="A67" s="127"/>
      <c r="B67" s="120">
        <v>2019</v>
      </c>
      <c r="C67" s="121">
        <v>2020</v>
      </c>
      <c r="D67" s="120">
        <v>2019</v>
      </c>
      <c r="E67" s="121">
        <v>2020</v>
      </c>
      <c r="F67" s="120">
        <v>2019</v>
      </c>
      <c r="G67" s="121">
        <v>2020</v>
      </c>
      <c r="H67" s="120">
        <v>2019</v>
      </c>
      <c r="I67" s="121">
        <v>2020</v>
      </c>
      <c r="J67" s="120">
        <v>2019</v>
      </c>
      <c r="K67" s="121">
        <v>2020</v>
      </c>
      <c r="L67" s="120">
        <v>2019</v>
      </c>
      <c r="M67" s="121">
        <v>2020</v>
      </c>
      <c r="N67" s="120">
        <v>2019</v>
      </c>
      <c r="O67" s="121">
        <v>2020</v>
      </c>
      <c r="P67" s="120">
        <v>2019</v>
      </c>
      <c r="Q67" s="121">
        <v>2020</v>
      </c>
      <c r="R67" s="122">
        <v>2019</v>
      </c>
      <c r="S67" s="123">
        <v>2020</v>
      </c>
      <c r="T67" s="122">
        <v>2019</v>
      </c>
      <c r="U67" s="123">
        <v>2020</v>
      </c>
      <c r="V67" s="122">
        <v>2019</v>
      </c>
      <c r="W67" s="123">
        <v>2020</v>
      </c>
      <c r="X67" s="122">
        <v>2019</v>
      </c>
      <c r="Y67" s="123">
        <v>2020</v>
      </c>
      <c r="Z67" s="122">
        <v>2019</v>
      </c>
      <c r="AA67" s="123">
        <v>2020</v>
      </c>
      <c r="AB67" s="122">
        <v>2019</v>
      </c>
      <c r="AC67" s="124">
        <v>2020</v>
      </c>
      <c r="AD67" s="122">
        <v>2019</v>
      </c>
      <c r="AE67" s="124">
        <v>2020</v>
      </c>
      <c r="AF67" s="122">
        <v>2019</v>
      </c>
      <c r="AG67" s="124">
        <v>2020</v>
      </c>
    </row>
    <row r="68" spans="1:33">
      <c r="A68" s="105" t="s">
        <v>618</v>
      </c>
      <c r="B68" s="92">
        <f>GETPIVOTDATA("Sum of Old G E-Learning",'Pivot Table for Fact Book'!$A$3,"State","AL","type",1,"Type2","Four-Year")</f>
        <v>91024</v>
      </c>
      <c r="C68" s="93">
        <f>GETPIVOTDATA("Sum of New G E-Learning",'Pivot Table for Fact Book'!$A$3,"State","AL","type",1,"Type2","Four-Year")</f>
        <v>112598</v>
      </c>
      <c r="D68" s="92">
        <f>GETPIVOTDATA("Sum of Old G E-Learning",'Pivot Table for Fact Book'!$A$3,"State","AL","type",2,"Type2","Four-Year")</f>
        <v>23526</v>
      </c>
      <c r="E68" s="93">
        <f>GETPIVOTDATA("Sum of New G E-Learning",'Pivot Table for Fact Book'!$A$3,"State","AL","type",2,"Type2","Four-Year")</f>
        <v>26277</v>
      </c>
      <c r="F68" s="92">
        <f>GETPIVOTDATA("Sum of Old G E-Learning",'Pivot Table for Fact Book'!$A$3,"State","AL","type",3,"Type2","Four-Year")</f>
        <v>111103</v>
      </c>
      <c r="G68" s="93">
        <f>GETPIVOTDATA("Sum of New G E-Learning",'Pivot Table for Fact Book'!$A$3,"State","AL","type",3,"Type2","Four-Year")</f>
        <v>125257</v>
      </c>
      <c r="H68" s="92">
        <f>GETPIVOTDATA("Sum of Old G E-Learning",'Pivot Table for Fact Book'!$A$3,"State","AL","type",4,"Type2","Four-Year")</f>
        <v>73460</v>
      </c>
      <c r="I68" s="93">
        <f>GETPIVOTDATA("Sum of New G E-Learning",'Pivot Table for Fact Book'!$A$3,"State","AL","type",4,"Type2","Four-Year")</f>
        <v>72784</v>
      </c>
      <c r="J68" s="92">
        <f>GETPIVOTDATA("Sum of Old G E-Learning",'Pivot Table for Fact Book'!$A$3,"State","AL","type",5,"Type2","Four-Year")</f>
        <v>5705</v>
      </c>
      <c r="K68" s="93">
        <f>GETPIVOTDATA("Sum of New G E-Learning",'Pivot Table for Fact Book'!$A$3,"State","AL","type",5,"Type2","Four-Year")</f>
        <v>6568</v>
      </c>
      <c r="L68" s="92">
        <f>GETPIVOTDATA("Sum of Old G E-Learning",'Pivot Table for Fact Book'!$A$3,"State","AL","type",6,"Type2","Four-Year")</f>
        <v>0</v>
      </c>
      <c r="M68" s="93">
        <f>GETPIVOTDATA("Sum of New G E-Learning",'Pivot Table for Fact Book'!$A$3,"State","AL","type",6,"Type2","Four-Year")</f>
        <v>0</v>
      </c>
      <c r="N68" s="92">
        <f>GETPIVOTDATA("Sum of Old G E-Learning",'Pivot Table for Fact Book'!$A$3,"State","AL","type",15,"Type2","Four-Year")</f>
        <v>0</v>
      </c>
      <c r="O68" s="93">
        <f>GETPIVOTDATA("Sum of New G E-Learning",'Pivot Table for Fact Book'!$A$3,"State","AL","type",15,"Type2","Four-Year")</f>
        <v>0</v>
      </c>
      <c r="P68" s="94">
        <f>GETPIVOTDATA("Sum of Old G E-Learning",'Pivot Table for Fact Book'!$A$3,"State","AL","Type2","Four-Year")</f>
        <v>304818</v>
      </c>
      <c r="Q68" s="94">
        <f>GETPIVOTDATA("Sum of New G E-Learning",'Pivot Table for Fact Book'!$A$3,"State","AL","Type2","Four-Year")</f>
        <v>343484</v>
      </c>
    </row>
    <row r="69" spans="1:33">
      <c r="A69" s="105" t="s">
        <v>619</v>
      </c>
      <c r="B69" s="92">
        <f>GETPIVOTDATA("Sum of Old G E-Learning",'Pivot Table for Fact Book'!$A$3,"State","AR","type",1,"Type2","Four-Year")</f>
        <v>31621</v>
      </c>
      <c r="C69" s="93">
        <f>GETPIVOTDATA("Sum of New G E-Learning",'Pivot Table for Fact Book'!$A$3,"State","AR","type",1,"Type2","Four-Year")</f>
        <v>54098</v>
      </c>
      <c r="D69" s="92">
        <f>GETPIVOTDATA("Sum of Old G E-Learning",'Pivot Table for Fact Book'!$A$3,"State","AR","type",2,"Type2","Four-Year")</f>
        <v>12172</v>
      </c>
      <c r="E69" s="93">
        <f>GETPIVOTDATA("Sum of New G E-Learning",'Pivot Table for Fact Book'!$A$3,"State","AR","type",2,"Type2","Four-Year")</f>
        <v>18886</v>
      </c>
      <c r="F69" s="92">
        <f>GETPIVOTDATA("Sum of Old G E-Learning",'Pivot Table for Fact Book'!$A$3,"State","AR","type",3,"Type2","Four-Year")</f>
        <v>116305</v>
      </c>
      <c r="G69" s="93">
        <f>GETPIVOTDATA("Sum of New G E-Learning",'Pivot Table for Fact Book'!$A$3,"State","AR","type",3,"Type2","Four-Year")</f>
        <v>131020</v>
      </c>
      <c r="H69" s="92">
        <f>GETPIVOTDATA("Sum of Old G E-Learning",'Pivot Table for Fact Book'!$A$3,"State","AR","type",4,"Type2","Four-Year")</f>
        <v>27314</v>
      </c>
      <c r="I69" s="93">
        <f>GETPIVOTDATA("Sum of New G E-Learning",'Pivot Table for Fact Book'!$A$3,"State","AR","type",4,"Type2","Four-Year")</f>
        <v>30236</v>
      </c>
      <c r="J69" s="92">
        <f>GETPIVOTDATA("Sum of Old G E-Learning",'Pivot Table for Fact Book'!$A$3,"State","AR","type",5,"Type2","Four-Year")</f>
        <v>0</v>
      </c>
      <c r="K69" s="93">
        <f>GETPIVOTDATA("Sum of New G E-Learning",'Pivot Table for Fact Book'!$A$3,"State","AR","type",5,"Type2","Four-Year")</f>
        <v>0</v>
      </c>
      <c r="L69" s="92">
        <f>GETPIVOTDATA("Sum of Old G E-Learning",'Pivot Table for Fact Book'!$A$3,"State","AR","type",6,"Type2","Four-Year")</f>
        <v>1434</v>
      </c>
      <c r="M69" s="93">
        <f>GETPIVOTDATA("Sum of New G E-Learning",'Pivot Table for Fact Book'!$A$3,"State","AR","type",6,"Type2","Four-Year")</f>
        <v>2995</v>
      </c>
      <c r="N69" s="92">
        <f>GETPIVOTDATA("Sum of Old G E-Learning",'Pivot Table for Fact Book'!$A$3,"State","AR","type",15,"Type2","Four-Year")</f>
        <v>15530</v>
      </c>
      <c r="O69" s="93">
        <f>GETPIVOTDATA("Sum of New G E-Learning",'Pivot Table for Fact Book'!$A$3,"State","AR","type",15,"Type2","Four-Year")</f>
        <v>24425</v>
      </c>
      <c r="P69" s="94">
        <f>GETPIVOTDATA("Sum of Old G E-Learning",'Pivot Table for Fact Book'!$A$3,"State","AR","Type2","Four-Year")</f>
        <v>204376</v>
      </c>
      <c r="Q69" s="94">
        <f>GETPIVOTDATA("Sum of New G E-Learning",'Pivot Table for Fact Book'!$A$3,"State","AR","Type2","Four-Year")</f>
        <v>261660</v>
      </c>
    </row>
    <row r="70" spans="1:33">
      <c r="A70" s="105" t="s">
        <v>620</v>
      </c>
      <c r="B70" s="92">
        <f>GETPIVOTDATA("Sum of Old G E-Learning",'Pivot Table for Fact Book'!$A$3,"State","DE","type",1,"Type2","Four-Year")</f>
        <v>37536</v>
      </c>
      <c r="C70" s="93">
        <f>GETPIVOTDATA("Sum of New G E-Learning",'Pivot Table for Fact Book'!$A$3,"State","DE","type",1,"Type2","Four-Year")</f>
        <v>37103</v>
      </c>
      <c r="D70" s="92">
        <f>GETPIVOTDATA("Sum of Old G E-Learning",'Pivot Table for Fact Book'!$A$3,"State","DE","type",2,"Type2","Four-Year")</f>
        <v>0</v>
      </c>
      <c r="E70" s="93">
        <f>GETPIVOTDATA("Sum of New G E-Learning",'Pivot Table for Fact Book'!$A$3,"State","DE","type",2,"Type2","Four-Year")</f>
        <v>0</v>
      </c>
      <c r="F70" s="92">
        <f>GETPIVOTDATA("Sum of Old G E-Learning",'Pivot Table for Fact Book'!$A$3,"State","DE","type",3,"Type2","Four-Year")</f>
        <v>4282</v>
      </c>
      <c r="G70" s="93">
        <f>GETPIVOTDATA("Sum of New G E-Learning",'Pivot Table for Fact Book'!$A$3,"State","DE","type",3,"Type2","Four-Year")</f>
        <v>8485</v>
      </c>
      <c r="H70" s="92">
        <f>GETPIVOTDATA("Sum of Old G E-Learning",'Pivot Table for Fact Book'!$A$3,"State","DE","type",4,"Type2","Four-Year")</f>
        <v>0</v>
      </c>
      <c r="I70" s="93">
        <f>GETPIVOTDATA("Sum of New G E-Learning",'Pivot Table for Fact Book'!$A$3,"State","DE","type",4,"Type2","Four-Year")</f>
        <v>0</v>
      </c>
      <c r="J70" s="92">
        <f>GETPIVOTDATA("Sum of Old G E-Learning",'Pivot Table for Fact Book'!$A$3,"State","DE","type",5,"Type2","Four-Year")</f>
        <v>0</v>
      </c>
      <c r="K70" s="93">
        <f>GETPIVOTDATA("Sum of New G E-Learning",'Pivot Table for Fact Book'!$A$3,"State","DE","type",5,"Type2","Four-Year")</f>
        <v>0</v>
      </c>
      <c r="L70" s="92">
        <f>GETPIVOTDATA("Sum of Old G E-Learning",'Pivot Table for Fact Book'!$A$3,"State","DE","type",6,"Type2","Four-Year")</f>
        <v>0</v>
      </c>
      <c r="M70" s="93">
        <f>GETPIVOTDATA("Sum of New G E-Learning",'Pivot Table for Fact Book'!$A$3,"State","DE","type",6,"Type2","Four-Year")</f>
        <v>0</v>
      </c>
      <c r="N70" s="92">
        <f>GETPIVOTDATA("Sum of Old G E-Learning",'Pivot Table for Fact Book'!$A$3,"State","DE","type",15,"Type2","Four-Year")</f>
        <v>0</v>
      </c>
      <c r="O70" s="93">
        <f>GETPIVOTDATA("Sum of New G E-Learning",'Pivot Table for Fact Book'!$A$3,"State","DE","type",15,"Type2","Four-Year")</f>
        <v>0</v>
      </c>
      <c r="P70" s="94">
        <f>GETPIVOTDATA("Sum of Old G E-Learning",'Pivot Table for Fact Book'!$A$3,"State","DE","Type2","Four-Year")</f>
        <v>41818</v>
      </c>
      <c r="Q70" s="94">
        <f>GETPIVOTDATA("Sum of New G E-Learning",'Pivot Table for Fact Book'!$A$3,"State","DE","Type2","Four-Year")</f>
        <v>45588</v>
      </c>
    </row>
    <row r="71" spans="1:33">
      <c r="A71" s="105" t="s">
        <v>621</v>
      </c>
      <c r="B71" s="92">
        <f>GETPIVOTDATA("Sum of Old G E-Learning",'Pivot Table for Fact Book'!$A$3,"State","FL","type",1,"Type2","Four-Year")</f>
        <v>0</v>
      </c>
      <c r="C71" s="93">
        <f>GETPIVOTDATA("Sum of New G E-Learning",'Pivot Table for Fact Book'!$A$3,"State","FL","type",1,"Type2","Four-Year")</f>
        <v>0</v>
      </c>
      <c r="D71" s="92">
        <f>GETPIVOTDATA("Sum of Old G E-Learning",'Pivot Table for Fact Book'!$A$3,"State","FL","type",2,"Type2","Four-Year")</f>
        <v>0</v>
      </c>
      <c r="E71" s="93">
        <f>GETPIVOTDATA("Sum of New G E-Learning",'Pivot Table for Fact Book'!$A$3,"State","FL","type",2,"Type2","Four-Year")</f>
        <v>0</v>
      </c>
      <c r="F71" s="92">
        <f>GETPIVOTDATA("Sum of Old G E-Learning",'Pivot Table for Fact Book'!$A$3,"State","FL","type",3,"Type2","Four-Year")</f>
        <v>0</v>
      </c>
      <c r="G71" s="93">
        <f>GETPIVOTDATA("Sum of New G E-Learning",'Pivot Table for Fact Book'!$A$3,"State","FL","type",3,"Type2","Four-Year")</f>
        <v>0</v>
      </c>
      <c r="H71" s="92">
        <f>GETPIVOTDATA("Sum of Old G E-Learning",'Pivot Table for Fact Book'!$A$3,"State","FL","type",4,"Type2","Four-Year")</f>
        <v>0</v>
      </c>
      <c r="I71" s="93">
        <f>GETPIVOTDATA("Sum of New G E-Learning",'Pivot Table for Fact Book'!$A$3,"State","FL","type",4,"Type2","Four-Year")</f>
        <v>0</v>
      </c>
      <c r="J71" s="92">
        <f>GETPIVOTDATA("Sum of Old G E-Learning",'Pivot Table for Fact Book'!$A$3,"State","FL","type",5,"Type2","Four-Year")</f>
        <v>0</v>
      </c>
      <c r="K71" s="93">
        <f>GETPIVOTDATA("Sum of New G E-Learning",'Pivot Table for Fact Book'!$A$3,"State","FL","type",5,"Type2","Four-Year")</f>
        <v>0</v>
      </c>
      <c r="L71" s="92">
        <f>GETPIVOTDATA("Sum of Old G E-Learning",'Pivot Table for Fact Book'!$A$3,"State","FL","type",6,"Type2","Four-Year")</f>
        <v>0</v>
      </c>
      <c r="M71" s="93">
        <f>GETPIVOTDATA("Sum of New G E-Learning",'Pivot Table for Fact Book'!$A$3,"State","FL","type",6,"Type2","Four-Year")</f>
        <v>0</v>
      </c>
      <c r="N71" s="92">
        <f>GETPIVOTDATA("Sum of Old G E-Learning",'Pivot Table for Fact Book'!$A$3,"State","FL","type",15,"Type2","Four-Year")</f>
        <v>0</v>
      </c>
      <c r="O71" s="93">
        <f>GETPIVOTDATA("Sum of New G E-Learning",'Pivot Table for Fact Book'!$A$3,"State","FL","type",15,"Type2","Four-Year")</f>
        <v>0</v>
      </c>
      <c r="P71" s="94">
        <f>GETPIVOTDATA("Sum of Old G E-Learning",'Pivot Table for Fact Book'!$A$3,"State","FL","Type2","Four-Year")</f>
        <v>0</v>
      </c>
      <c r="Q71" s="94">
        <f>GETPIVOTDATA("Sum of New G E-Learning",'Pivot Table for Fact Book'!$A$3,"State","FL","Type2","Four-Year")</f>
        <v>0</v>
      </c>
    </row>
    <row r="72" spans="1:33">
      <c r="A72" s="105" t="s">
        <v>622</v>
      </c>
      <c r="B72" s="92">
        <f>GETPIVOTDATA("Sum of Old G E-Learning",'Pivot Table for Fact Book'!$A$3,"State","GA","type",1,"Type2","Four-Year")</f>
        <v>163266.70000000001</v>
      </c>
      <c r="C72" s="93">
        <f>GETPIVOTDATA("Sum of New G E-Learning",'Pivot Table for Fact Book'!$A$3,"State","GA","type",1,"Type2","Four-Year")</f>
        <v>119652</v>
      </c>
      <c r="D72" s="92">
        <f>GETPIVOTDATA("Sum of Old G E-Learning",'Pivot Table for Fact Book'!$A$3,"State","GA","type",2,"Type2","Four-Year")</f>
        <v>243333.5</v>
      </c>
      <c r="E72" s="93">
        <f>GETPIVOTDATA("Sum of New G E-Learning",'Pivot Table for Fact Book'!$A$3,"State","GA","type",2,"Type2","Four-Year")</f>
        <v>238342</v>
      </c>
      <c r="F72" s="92">
        <f>GETPIVOTDATA("Sum of Old G E-Learning",'Pivot Table for Fact Book'!$A$3,"State","GA","type",3,"Type2","Four-Year")</f>
        <v>180275</v>
      </c>
      <c r="G72" s="93">
        <f>GETPIVOTDATA("Sum of New G E-Learning",'Pivot Table for Fact Book'!$A$3,"State","GA","type",3,"Type2","Four-Year")</f>
        <v>189785</v>
      </c>
      <c r="H72" s="92">
        <f>GETPIVOTDATA("Sum of Old G E-Learning",'Pivot Table for Fact Book'!$A$3,"State","GA","type",4,"Type2","Four-Year")</f>
        <v>120134</v>
      </c>
      <c r="I72" s="93">
        <f>GETPIVOTDATA("Sum of New G E-Learning",'Pivot Table for Fact Book'!$A$3,"State","GA","type",4,"Type2","Four-Year")</f>
        <v>127561</v>
      </c>
      <c r="J72" s="92">
        <f>GETPIVOTDATA("Sum of Old G E-Learning",'Pivot Table for Fact Book'!$A$3,"State","GA","type",5,"Type2","Four-Year")</f>
        <v>10707</v>
      </c>
      <c r="K72" s="93">
        <f>GETPIVOTDATA("Sum of New G E-Learning",'Pivot Table for Fact Book'!$A$3,"State","GA","type",5,"Type2","Four-Year")</f>
        <v>12220</v>
      </c>
      <c r="L72" s="92">
        <f>GETPIVOTDATA("Sum of Old G E-Learning",'Pivot Table for Fact Book'!$A$3,"State","GA","type",6,"Type2","Four-Year")</f>
        <v>0</v>
      </c>
      <c r="M72" s="93">
        <f>GETPIVOTDATA("Sum of New G E-Learning",'Pivot Table for Fact Book'!$A$3,"State","GA","type",6,"Type2","Four-Year")</f>
        <v>0</v>
      </c>
      <c r="N72" s="92">
        <f>GETPIVOTDATA("Sum of Old G E-Learning",'Pivot Table for Fact Book'!$A$3,"State","GA","type",15,"Type2","Four-Year")</f>
        <v>0</v>
      </c>
      <c r="O72" s="93">
        <f>GETPIVOTDATA("Sum of New G E-Learning",'Pivot Table for Fact Book'!$A$3,"State","GA","type",15,"Type2","Four-Year")</f>
        <v>0</v>
      </c>
      <c r="P72" s="94">
        <f>GETPIVOTDATA("Sum of Old G E-Learning",'Pivot Table for Fact Book'!$A$3,"State","GA","Type2","Four-Year")</f>
        <v>717716.2</v>
      </c>
      <c r="Q72" s="94">
        <f>GETPIVOTDATA("Sum of New G E-Learning",'Pivot Table for Fact Book'!$A$3,"State","GA","Type2","Four-Year")</f>
        <v>687560</v>
      </c>
    </row>
    <row r="73" spans="1:33">
      <c r="A73" s="105" t="s">
        <v>623</v>
      </c>
      <c r="B73" s="92">
        <f>GETPIVOTDATA("Sum of Old G E-Learning",'Pivot Table for Fact Book'!$A$3,"State","KY","type",1,"Type2","Four-Year")</f>
        <v>87901</v>
      </c>
      <c r="C73" s="93">
        <f>GETPIVOTDATA("Sum of New G E-Learning",'Pivot Table for Fact Book'!$A$3,"State","KY","type",1,"Type2","Four-Year")</f>
        <v>112368</v>
      </c>
      <c r="D73" s="92">
        <f>GETPIVOTDATA("Sum of Old G E-Learning",'Pivot Table for Fact Book'!$A$3,"State","KY","type",2,"Type2","Four-Year")</f>
        <v>0</v>
      </c>
      <c r="E73" s="93">
        <f>GETPIVOTDATA("Sum of New G E-Learning",'Pivot Table for Fact Book'!$A$3,"State","KY","type",2,"Type2","Four-Year")</f>
        <v>0</v>
      </c>
      <c r="F73" s="92">
        <f>GETPIVOTDATA("Sum of Old G E-Learning",'Pivot Table for Fact Book'!$A$3,"State","KY","type",3,"Type2","Four-Year")</f>
        <v>133878</v>
      </c>
      <c r="G73" s="93">
        <f>GETPIVOTDATA("Sum of New G E-Learning",'Pivot Table for Fact Book'!$A$3,"State","KY","type",3,"Type2","Four-Year")</f>
        <v>144177.5</v>
      </c>
      <c r="H73" s="92">
        <f>GETPIVOTDATA("Sum of Old G E-Learning",'Pivot Table for Fact Book'!$A$3,"State","KY","type",4,"Type2","Four-Year")</f>
        <v>819</v>
      </c>
      <c r="I73" s="93">
        <f>GETPIVOTDATA("Sum of New G E-Learning",'Pivot Table for Fact Book'!$A$3,"State","KY","type",4,"Type2","Four-Year")</f>
        <v>1338</v>
      </c>
      <c r="J73" s="92">
        <f>GETPIVOTDATA("Sum of Old G E-Learning",'Pivot Table for Fact Book'!$A$3,"State","KY","type",5,"Type2","Four-Year")</f>
        <v>0</v>
      </c>
      <c r="K73" s="93">
        <f>GETPIVOTDATA("Sum of New G E-Learning",'Pivot Table for Fact Book'!$A$3,"State","KY","type",5,"Type2","Four-Year")</f>
        <v>0</v>
      </c>
      <c r="L73" s="92">
        <f>GETPIVOTDATA("Sum of Old G E-Learning",'Pivot Table for Fact Book'!$A$3,"State","KY","type",6,"Type2","Four-Year")</f>
        <v>0</v>
      </c>
      <c r="M73" s="93">
        <f>GETPIVOTDATA("Sum of New G E-Learning",'Pivot Table for Fact Book'!$A$3,"State","KY","type",6,"Type2","Four-Year")</f>
        <v>0</v>
      </c>
      <c r="N73" s="92">
        <f>GETPIVOTDATA("Sum of Old G E-Learning",'Pivot Table for Fact Book'!$A$3,"State","KY","type",15,"Type2","Four-Year")</f>
        <v>0</v>
      </c>
      <c r="O73" s="93">
        <f>GETPIVOTDATA("Sum of New G E-Learning",'Pivot Table for Fact Book'!$A$3,"State","KY","type",15,"Type2","Four-Year")</f>
        <v>0</v>
      </c>
      <c r="P73" s="94">
        <f>GETPIVOTDATA("Sum of Old G E-Learning",'Pivot Table for Fact Book'!$A$3,"State","KY","Type2","Four-Year")</f>
        <v>222598</v>
      </c>
      <c r="Q73" s="94">
        <f>GETPIVOTDATA("Sum of New G E-Learning",'Pivot Table for Fact Book'!$A$3,"State","KY","Type2","Four-Year")</f>
        <v>257883.5</v>
      </c>
    </row>
    <row r="74" spans="1:33">
      <c r="A74" s="105" t="s">
        <v>624</v>
      </c>
      <c r="B74" s="92">
        <f>GETPIVOTDATA("Sum of Old G E-Learning",'Pivot Table for Fact Book'!$A$3,"State","LA","type",1,"Type2","Four-Year")</f>
        <v>28396.244565217399</v>
      </c>
      <c r="C74" s="93">
        <f>GETPIVOTDATA("Sum of New G E-Learning",'Pivot Table for Fact Book'!$A$3,"State","LA","type",1,"Type2","Four-Year")</f>
        <v>33385.080801238597</v>
      </c>
      <c r="D74" s="92">
        <f>GETPIVOTDATA("Sum of Old G E-Learning",'Pivot Table for Fact Book'!$A$3,"State","LA","type",2,"Type2","Four-Year")</f>
        <v>25215.248722302371</v>
      </c>
      <c r="E74" s="93">
        <f>GETPIVOTDATA("Sum of New G E-Learning",'Pivot Table for Fact Book'!$A$3,"State","LA","type",2,"Type2","Four-Year")</f>
        <v>30449.227356733827</v>
      </c>
      <c r="F74" s="92">
        <f>GETPIVOTDATA("Sum of Old G E-Learning",'Pivot Table for Fact Book'!$A$3,"State","LA","type",3,"Type2","Four-Year")</f>
        <v>50510.734606126061</v>
      </c>
      <c r="G74" s="93">
        <f>GETPIVOTDATA("Sum of New G E-Learning",'Pivot Table for Fact Book'!$A$3,"State","LA","type",3,"Type2","Four-Year")</f>
        <v>45176.082241042794</v>
      </c>
      <c r="H74" s="92">
        <f>GETPIVOTDATA("Sum of Old G E-Learning",'Pivot Table for Fact Book'!$A$3,"State","LA","type",4,"Type2","Four-Year")</f>
        <v>129751.39166646279</v>
      </c>
      <c r="I74" s="93">
        <f>GETPIVOTDATA("Sum of New G E-Learning",'Pivot Table for Fact Book'!$A$3,"State","LA","type",4,"Type2","Four-Year")</f>
        <v>137074.12553183193</v>
      </c>
      <c r="J74" s="92">
        <f>GETPIVOTDATA("Sum of Old G E-Learning",'Pivot Table for Fact Book'!$A$3,"State","LA","type",5,"Type2","Four-Year")</f>
        <v>7039</v>
      </c>
      <c r="K74" s="93">
        <f>GETPIVOTDATA("Sum of New G E-Learning",'Pivot Table for Fact Book'!$A$3,"State","LA","type",5,"Type2","Four-Year")</f>
        <v>6099</v>
      </c>
      <c r="L74" s="92">
        <f>GETPIVOTDATA("Sum of Old G E-Learning",'Pivot Table for Fact Book'!$A$3,"State","LA","type",6,"Type2","Four-Year")</f>
        <v>0</v>
      </c>
      <c r="M74" s="93">
        <f>GETPIVOTDATA("Sum of New G E-Learning",'Pivot Table for Fact Book'!$A$3,"State","LA","type",6,"Type2","Four-Year")</f>
        <v>0</v>
      </c>
      <c r="N74" s="92">
        <f>GETPIVOTDATA("Sum of Old G E-Learning",'Pivot Table for Fact Book'!$A$3,"State","LA","type",15,"Type2","Four-Year")</f>
        <v>1496.84647302905</v>
      </c>
      <c r="O74" s="93">
        <f>GETPIVOTDATA("Sum of New G E-Learning",'Pivot Table for Fact Book'!$A$3,"State","LA","type",15,"Type2","Four-Year")</f>
        <v>0</v>
      </c>
      <c r="P74" s="94">
        <f>GETPIVOTDATA("Sum of Old G E-Learning",'Pivot Table for Fact Book'!$A$3,"State","LA","Type2","Four-Year")</f>
        <v>242409.46603313767</v>
      </c>
      <c r="Q74" s="94">
        <f>GETPIVOTDATA("Sum of New G E-Learning",'Pivot Table for Fact Book'!$A$3,"State","LA","Type2","Four-Year")</f>
        <v>252183.51593084718</v>
      </c>
    </row>
    <row r="75" spans="1:33">
      <c r="A75" s="105" t="s">
        <v>625</v>
      </c>
      <c r="B75" s="92">
        <f>GETPIVOTDATA("Sum of Old G E-Learning",'Pivot Table for Fact Book'!$A$3,"State","MD","type",1,"Type2","Four-Year")</f>
        <v>61470</v>
      </c>
      <c r="C75" s="93">
        <f>GETPIVOTDATA("Sum of New G E-Learning",'Pivot Table for Fact Book'!$A$3,"State","MD","type",1,"Type2","Four-Year")</f>
        <v>53366</v>
      </c>
      <c r="D75" s="92">
        <f>GETPIVOTDATA("Sum of Old G E-Learning",'Pivot Table for Fact Book'!$A$3,"State","MD","type",2,"Type2","Four-Year")</f>
        <v>30080</v>
      </c>
      <c r="E75" s="93">
        <f>GETPIVOTDATA("Sum of New G E-Learning",'Pivot Table for Fact Book'!$A$3,"State","MD","type",2,"Type2","Four-Year")</f>
        <v>38698</v>
      </c>
      <c r="F75" s="92">
        <f>GETPIVOTDATA("Sum of Old G E-Learning",'Pivot Table for Fact Book'!$A$3,"State","MD","type",3,"Type2","Four-Year")</f>
        <v>33937.5</v>
      </c>
      <c r="G75" s="93">
        <f>GETPIVOTDATA("Sum of New G E-Learning",'Pivot Table for Fact Book'!$A$3,"State","MD","type",3,"Type2","Four-Year")</f>
        <v>40527</v>
      </c>
      <c r="H75" s="92">
        <f>GETPIVOTDATA("Sum of Old G E-Learning",'Pivot Table for Fact Book'!$A$3,"State","MD","type",4,"Type2","Four-Year")</f>
        <v>36219.5</v>
      </c>
      <c r="I75" s="93">
        <f>GETPIVOTDATA("Sum of New G E-Learning",'Pivot Table for Fact Book'!$A$3,"State","MD","type",4,"Type2","Four-Year")</f>
        <v>36111</v>
      </c>
      <c r="J75" s="92">
        <f>GETPIVOTDATA("Sum of Old G E-Learning",'Pivot Table for Fact Book'!$A$3,"State","MD","type",5,"Type2","Four-Year")</f>
        <v>730</v>
      </c>
      <c r="K75" s="93">
        <f>GETPIVOTDATA("Sum of New G E-Learning",'Pivot Table for Fact Book'!$A$3,"State","MD","type",5,"Type2","Four-Year")</f>
        <v>931</v>
      </c>
      <c r="L75" s="92">
        <f>GETPIVOTDATA("Sum of Old G E-Learning",'Pivot Table for Fact Book'!$A$3,"State","MD","type",6,"Type2","Four-Year")</f>
        <v>597</v>
      </c>
      <c r="M75" s="93">
        <f>GETPIVOTDATA("Sum of New G E-Learning",'Pivot Table for Fact Book'!$A$3,"State","MD","type",6,"Type2","Four-Year")</f>
        <v>392</v>
      </c>
      <c r="N75" s="92">
        <f>GETPIVOTDATA("Sum of Old G E-Learning",'Pivot Table for Fact Book'!$A$3,"State","MD","type",15,"Type2","Four-Year")</f>
        <v>208196</v>
      </c>
      <c r="O75" s="93">
        <f>GETPIVOTDATA("Sum of New G E-Learning",'Pivot Table for Fact Book'!$A$3,"State","MD","type",15,"Type2","Four-Year")</f>
        <v>227567</v>
      </c>
      <c r="P75" s="94">
        <f>GETPIVOTDATA("Sum of Old G E-Learning",'Pivot Table for Fact Book'!$A$3,"State","MD","Type2","Four-Year")</f>
        <v>371230</v>
      </c>
      <c r="Q75" s="94">
        <f>GETPIVOTDATA("Sum of New G E-Learning",'Pivot Table for Fact Book'!$A$3,"State","MD","Type2","Four-Year")</f>
        <v>397592</v>
      </c>
    </row>
    <row r="76" spans="1:33">
      <c r="A76" s="105" t="s">
        <v>626</v>
      </c>
      <c r="B76" s="92">
        <f>GETPIVOTDATA("Sum of Old G E-Learning",'Pivot Table for Fact Book'!$A$3,"State","MS","type",1,"Type2","Four-Year")</f>
        <v>85203</v>
      </c>
      <c r="C76" s="93">
        <f>GETPIVOTDATA("Sum of New G E-Learning",'Pivot Table for Fact Book'!$A$3,"State","MS","type",1,"Type2","Four-Year")</f>
        <v>100120</v>
      </c>
      <c r="D76" s="92">
        <f>GETPIVOTDATA("Sum of Old G E-Learning",'Pivot Table for Fact Book'!$A$3,"State","MS","type",2,"Type2","Four-Year")</f>
        <v>24062</v>
      </c>
      <c r="E76" s="93">
        <f>GETPIVOTDATA("Sum of New G E-Learning",'Pivot Table for Fact Book'!$A$3,"State","MS","type",2,"Type2","Four-Year")</f>
        <v>28894</v>
      </c>
      <c r="F76" s="92">
        <f>GETPIVOTDATA("Sum of Old G E-Learning",'Pivot Table for Fact Book'!$A$3,"State","MS","type",3,"Type2","Four-Year")</f>
        <v>0</v>
      </c>
      <c r="G76" s="93">
        <f>GETPIVOTDATA("Sum of New G E-Learning",'Pivot Table for Fact Book'!$A$3,"State","MS","type",3,"Type2","Four-Year")</f>
        <v>0</v>
      </c>
      <c r="H76" s="92">
        <f>GETPIVOTDATA("Sum of Old G E-Learning",'Pivot Table for Fact Book'!$A$3,"State","MS","type",4,"Type2","Four-Year")</f>
        <v>28640</v>
      </c>
      <c r="I76" s="93">
        <f>GETPIVOTDATA("Sum of New G E-Learning",'Pivot Table for Fact Book'!$A$3,"State","MS","type",4,"Type2","Four-Year")</f>
        <v>30913</v>
      </c>
      <c r="J76" s="92">
        <f>GETPIVOTDATA("Sum of Old G E-Learning",'Pivot Table for Fact Book'!$A$3,"State","MS","type",5,"Type2","Four-Year")</f>
        <v>0</v>
      </c>
      <c r="K76" s="93">
        <f>GETPIVOTDATA("Sum of New G E-Learning",'Pivot Table for Fact Book'!$A$3,"State","MS","type",5,"Type2","Four-Year")</f>
        <v>0</v>
      </c>
      <c r="L76" s="92">
        <f>GETPIVOTDATA("Sum of Old G E-Learning",'Pivot Table for Fact Book'!$A$3,"State","MS","type",6,"Type2","Four-Year")</f>
        <v>0</v>
      </c>
      <c r="M76" s="93">
        <f>GETPIVOTDATA("Sum of New G E-Learning",'Pivot Table for Fact Book'!$A$3,"State","MS","type",6,"Type2","Four-Year")</f>
        <v>0</v>
      </c>
      <c r="N76" s="92">
        <f>GETPIVOTDATA("Sum of Old G E-Learning",'Pivot Table for Fact Book'!$A$3,"State","MS","type",15,"Type2","Four-Year")</f>
        <v>0</v>
      </c>
      <c r="O76" s="93">
        <f>GETPIVOTDATA("Sum of New G E-Learning",'Pivot Table for Fact Book'!$A$3,"State","MS","type",15,"Type2","Four-Year")</f>
        <v>0</v>
      </c>
      <c r="P76" s="94">
        <f>GETPIVOTDATA("Sum of Old G E-Learning",'Pivot Table for Fact Book'!$A$3,"State","MS","Type2","Four-Year")</f>
        <v>137905</v>
      </c>
      <c r="Q76" s="94">
        <f>GETPIVOTDATA("Sum of New G E-Learning",'Pivot Table for Fact Book'!$A$3,"State","MS","Type2","Four-Year")</f>
        <v>159927</v>
      </c>
    </row>
    <row r="77" spans="1:33">
      <c r="A77" s="105" t="s">
        <v>627</v>
      </c>
      <c r="B77" s="92">
        <f>GETPIVOTDATA("Sum of Old G E-Learning",'Pivot Table for Fact Book'!$A$3,"State","NC","type",1,"Type2","Four-Year")</f>
        <v>238199</v>
      </c>
      <c r="C77" s="93">
        <f>GETPIVOTDATA("Sum of New G E-Learning",'Pivot Table for Fact Book'!$A$3,"State","NC","type",1,"Type2","Four-Year")</f>
        <v>284286.25</v>
      </c>
      <c r="D77" s="92">
        <f>GETPIVOTDATA("Sum of Old G E-Learning",'Pivot Table for Fact Book'!$A$3,"State","NC","type",2,"Type2","Four-Year")</f>
        <v>79123</v>
      </c>
      <c r="E77" s="93">
        <f>GETPIVOTDATA("Sum of New G E-Learning",'Pivot Table for Fact Book'!$A$3,"State","NC","type",2,"Type2","Four-Year")</f>
        <v>78863</v>
      </c>
      <c r="F77" s="92">
        <f>GETPIVOTDATA("Sum of Old G E-Learning",'Pivot Table for Fact Book'!$A$3,"State","NC","type",3,"Type2","Four-Year")</f>
        <v>104351</v>
      </c>
      <c r="G77" s="93">
        <f>GETPIVOTDATA("Sum of New G E-Learning",'Pivot Table for Fact Book'!$A$3,"State","NC","type",3,"Type2","Four-Year")</f>
        <v>112183.5</v>
      </c>
      <c r="H77" s="92">
        <f>GETPIVOTDATA("Sum of Old G E-Learning",'Pivot Table for Fact Book'!$A$3,"State","NC","type",4,"Type2","Four-Year")</f>
        <v>13735</v>
      </c>
      <c r="I77" s="93">
        <f>GETPIVOTDATA("Sum of New G E-Learning",'Pivot Table for Fact Book'!$A$3,"State","NC","type",4,"Type2","Four-Year")</f>
        <v>15402</v>
      </c>
      <c r="J77" s="92">
        <f>GETPIVOTDATA("Sum of Old G E-Learning",'Pivot Table for Fact Book'!$A$3,"State","NC","type",5,"Type2","Four-Year")</f>
        <v>33329</v>
      </c>
      <c r="K77" s="93">
        <f>GETPIVOTDATA("Sum of New G E-Learning",'Pivot Table for Fact Book'!$A$3,"State","NC","type",5,"Type2","Four-Year")</f>
        <v>42109</v>
      </c>
      <c r="L77" s="92">
        <f>GETPIVOTDATA("Sum of Old G E-Learning",'Pivot Table for Fact Book'!$A$3,"State","NC","type",6,"Type2","Four-Year")</f>
        <v>1120</v>
      </c>
      <c r="M77" s="93">
        <f>GETPIVOTDATA("Sum of New G E-Learning",'Pivot Table for Fact Book'!$A$3,"State","NC","type",6,"Type2","Four-Year")</f>
        <v>1298</v>
      </c>
      <c r="N77" s="92">
        <f>GETPIVOTDATA("Sum of Old G E-Learning",'Pivot Table for Fact Book'!$A$3,"State","NC","type",15,"Type2","Four-Year")</f>
        <v>450</v>
      </c>
      <c r="O77" s="93">
        <f>GETPIVOTDATA("Sum of New G E-Learning",'Pivot Table for Fact Book'!$A$3,"State","NC","type",15,"Type2","Four-Year")</f>
        <v>471</v>
      </c>
      <c r="P77" s="94">
        <f>GETPIVOTDATA("Sum of Old G E-Learning",'Pivot Table for Fact Book'!$A$3,"State","NC","Type2","Four-Year")</f>
        <v>470307</v>
      </c>
      <c r="Q77" s="94">
        <f>GETPIVOTDATA("Sum of New G E-Learning",'Pivot Table for Fact Book'!$A$3,"State","NC","Type2","Four-Year")</f>
        <v>534612.75</v>
      </c>
    </row>
    <row r="78" spans="1:33">
      <c r="A78" s="105" t="s">
        <v>628</v>
      </c>
      <c r="B78" s="92">
        <f>GETPIVOTDATA("Sum of Old G E-Learning",'Pivot Table for Fact Book'!$A$3,"State","OK","type",1,"Type2","Four-Year")</f>
        <v>0</v>
      </c>
      <c r="C78" s="93">
        <f>GETPIVOTDATA("Sum of New G E-Learning",'Pivot Table for Fact Book'!$A$3,"State","OK","type",1,"Type2","Four-Year")</f>
        <v>0</v>
      </c>
      <c r="D78" s="92">
        <f>GETPIVOTDATA("Sum of Old G E-Learning",'Pivot Table for Fact Book'!$A$3,"State","OK","type",2,"Type2","Four-Year")</f>
        <v>0</v>
      </c>
      <c r="E78" s="93">
        <f>GETPIVOTDATA("Sum of New G E-Learning",'Pivot Table for Fact Book'!$A$3,"State","OK","type",2,"Type2","Four-Year")</f>
        <v>0</v>
      </c>
      <c r="F78" s="92">
        <f>GETPIVOTDATA("Sum of Old G E-Learning",'Pivot Table for Fact Book'!$A$3,"State","OK","type",3,"Type2","Four-Year")</f>
        <v>0</v>
      </c>
      <c r="G78" s="93">
        <f>GETPIVOTDATA("Sum of New G E-Learning",'Pivot Table for Fact Book'!$A$3,"State","OK","type",3,"Type2","Four-Year")</f>
        <v>0</v>
      </c>
      <c r="H78" s="92">
        <f>GETPIVOTDATA("Sum of Old G E-Learning",'Pivot Table for Fact Book'!$A$3,"State","OK","type",4,"Type2","Four-Year")</f>
        <v>0</v>
      </c>
      <c r="I78" s="93">
        <f>GETPIVOTDATA("Sum of New G E-Learning",'Pivot Table for Fact Book'!$A$3,"State","OK","type",4,"Type2","Four-Year")</f>
        <v>0</v>
      </c>
      <c r="J78" s="92">
        <f>GETPIVOTDATA("Sum of Old G E-Learning",'Pivot Table for Fact Book'!$A$3,"State","OK","type",5,"Type2","Four-Year")</f>
        <v>0</v>
      </c>
      <c r="K78" s="93">
        <f>GETPIVOTDATA("Sum of New G E-Learning",'Pivot Table for Fact Book'!$A$3,"State","OK","type",5,"Type2","Four-Year")</f>
        <v>0</v>
      </c>
      <c r="L78" s="92">
        <f>GETPIVOTDATA("Sum of Old G E-Learning",'Pivot Table for Fact Book'!$A$3,"State","OK","type",6,"Type2","Four-Year")</f>
        <v>0</v>
      </c>
      <c r="M78" s="93">
        <f>GETPIVOTDATA("Sum of New G E-Learning",'Pivot Table for Fact Book'!$A$3,"State","OK","type",6,"Type2","Four-Year")</f>
        <v>0</v>
      </c>
      <c r="N78" s="92">
        <f>GETPIVOTDATA("Sum of Old G E-Learning",'Pivot Table for Fact Book'!$A$3,"State","OK","type",15,"Type2","Four-Year")</f>
        <v>0</v>
      </c>
      <c r="O78" s="93">
        <f>GETPIVOTDATA("Sum of New G E-Learning",'Pivot Table for Fact Book'!$A$3,"State","OK","type",15,"Type2","Four-Year")</f>
        <v>0</v>
      </c>
      <c r="P78" s="94">
        <f>GETPIVOTDATA("Sum of Old G E-Learning",'Pivot Table for Fact Book'!$A$3,"State","OK","Type2","Four-Year")</f>
        <v>0</v>
      </c>
      <c r="Q78" s="94">
        <f>GETPIVOTDATA("Sum of New G E-Learning",'Pivot Table for Fact Book'!$A$3,"State","OK","Type2","Four-Year")</f>
        <v>0</v>
      </c>
    </row>
    <row r="79" spans="1:33">
      <c r="A79" s="105" t="s">
        <v>629</v>
      </c>
      <c r="B79" s="92">
        <f>GETPIVOTDATA("Sum of Old G E-Learning",'Pivot Table for Fact Book'!$A$3,"State","SC","type",1,"Type2","Four-Year")</f>
        <v>118962</v>
      </c>
      <c r="C79" s="93">
        <f>GETPIVOTDATA("Sum of New G E-Learning",'Pivot Table for Fact Book'!$A$3,"State","SC","type",1,"Type2","Four-Year")</f>
        <v>114798</v>
      </c>
      <c r="D79" s="92">
        <f>GETPIVOTDATA("Sum of Old G E-Learning",'Pivot Table for Fact Book'!$A$3,"State","SC","type",2,"Type2","Four-Year")</f>
        <v>0</v>
      </c>
      <c r="E79" s="93">
        <f>GETPIVOTDATA("Sum of New G E-Learning",'Pivot Table for Fact Book'!$A$3,"State","SC","type",2,"Type2","Four-Year")</f>
        <v>0</v>
      </c>
      <c r="F79" s="92">
        <f>GETPIVOTDATA("Sum of Old G E-Learning",'Pivot Table for Fact Book'!$A$3,"State","SC","type",3,"Type2","Four-Year")</f>
        <v>31261</v>
      </c>
      <c r="G79" s="93">
        <f>GETPIVOTDATA("Sum of New G E-Learning",'Pivot Table for Fact Book'!$A$3,"State","SC","type",3,"Type2","Four-Year")</f>
        <v>34101</v>
      </c>
      <c r="H79" s="92">
        <f>GETPIVOTDATA("Sum of Old G E-Learning",'Pivot Table for Fact Book'!$A$3,"State","SC","type",4,"Type2","Four-Year")</f>
        <v>7893</v>
      </c>
      <c r="I79" s="93">
        <f>GETPIVOTDATA("Sum of New G E-Learning",'Pivot Table for Fact Book'!$A$3,"State","SC","type",4,"Type2","Four-Year")</f>
        <v>8711</v>
      </c>
      <c r="J79" s="92">
        <f>GETPIVOTDATA("Sum of Old G E-Learning",'Pivot Table for Fact Book'!$A$3,"State","SC","type",5,"Type2","Four-Year")</f>
        <v>13813</v>
      </c>
      <c r="K79" s="93">
        <f>GETPIVOTDATA("Sum of New G E-Learning",'Pivot Table for Fact Book'!$A$3,"State","SC","type",5,"Type2","Four-Year")</f>
        <v>17368</v>
      </c>
      <c r="L79" s="92">
        <f>GETPIVOTDATA("Sum of Old G E-Learning",'Pivot Table for Fact Book'!$A$3,"State","SC","type",6,"Type2","Four-Year")</f>
        <v>6245</v>
      </c>
      <c r="M79" s="93">
        <f>GETPIVOTDATA("Sum of New G E-Learning",'Pivot Table for Fact Book'!$A$3,"State","SC","type",6,"Type2","Four-Year")</f>
        <v>9407</v>
      </c>
      <c r="N79" s="92">
        <f>GETPIVOTDATA("Sum of Old G E-Learning",'Pivot Table for Fact Book'!$A$3,"State","SC","type",15,"Type2","Four-Year")</f>
        <v>0</v>
      </c>
      <c r="O79" s="93">
        <f>GETPIVOTDATA("Sum of New G E-Learning",'Pivot Table for Fact Book'!$A$3,"State","SC","type",15,"Type2","Four-Year")</f>
        <v>0</v>
      </c>
      <c r="P79" s="94">
        <f>GETPIVOTDATA("Sum of Old G E-Learning",'Pivot Table for Fact Book'!$A$3,"State","SC","Type2","Four-Year")</f>
        <v>178174</v>
      </c>
      <c r="Q79" s="94">
        <f>GETPIVOTDATA("Sum of New G E-Learning",'Pivot Table for Fact Book'!$A$3,"State","SC","Type2","Four-Year")</f>
        <v>184385</v>
      </c>
    </row>
    <row r="80" spans="1:33">
      <c r="A80" s="105" t="s">
        <v>630</v>
      </c>
      <c r="B80" s="92">
        <f>GETPIVOTDATA("Sum of Old G E-Learning",'Pivot Table for Fact Book'!$A$3,"State","TN","type",1,"Type2","Four-Year")</f>
        <v>69959</v>
      </c>
      <c r="C80" s="93">
        <f>GETPIVOTDATA("Sum of New G E-Learning",'Pivot Table for Fact Book'!$A$3,"State","TN","type",1,"Type2","Four-Year")</f>
        <v>83199</v>
      </c>
      <c r="D80" s="92">
        <f>GETPIVOTDATA("Sum of Old G E-Learning",'Pivot Table for Fact Book'!$A$3,"State","TN","type",2,"Type2","Four-Year")</f>
        <v>59960</v>
      </c>
      <c r="E80" s="93">
        <f>GETPIVOTDATA("Sum of New G E-Learning",'Pivot Table for Fact Book'!$A$3,"State","TN","type",2,"Type2","Four-Year")</f>
        <v>61345</v>
      </c>
      <c r="F80" s="92">
        <f>GETPIVOTDATA("Sum of Old G E-Learning",'Pivot Table for Fact Book'!$A$3,"State","TN","type",3,"Type2","Four-Year")</f>
        <v>50900</v>
      </c>
      <c r="G80" s="93">
        <f>GETPIVOTDATA("Sum of New G E-Learning",'Pivot Table for Fact Book'!$A$3,"State","TN","type",3,"Type2","Four-Year")</f>
        <v>51502</v>
      </c>
      <c r="H80" s="92">
        <f>GETPIVOTDATA("Sum of Old G E-Learning",'Pivot Table for Fact Book'!$A$3,"State","TN","type",4,"Type2","Four-Year")</f>
        <v>11100</v>
      </c>
      <c r="I80" s="93">
        <f>GETPIVOTDATA("Sum of New G E-Learning",'Pivot Table for Fact Book'!$A$3,"State","TN","type",4,"Type2","Four-Year")</f>
        <v>11613</v>
      </c>
      <c r="J80" s="92">
        <f>GETPIVOTDATA("Sum of Old G E-Learning",'Pivot Table for Fact Book'!$A$3,"State","TN","type",5,"Type2","Four-Year")</f>
        <v>0</v>
      </c>
      <c r="K80" s="93">
        <f>GETPIVOTDATA("Sum of New G E-Learning",'Pivot Table for Fact Book'!$A$3,"State","TN","type",5,"Type2","Four-Year")</f>
        <v>0</v>
      </c>
      <c r="L80" s="92">
        <f>GETPIVOTDATA("Sum of Old G E-Learning",'Pivot Table for Fact Book'!$A$3,"State","TN","type",6,"Type2","Four-Year")</f>
        <v>0</v>
      </c>
      <c r="M80" s="93">
        <f>GETPIVOTDATA("Sum of New G E-Learning",'Pivot Table for Fact Book'!$A$3,"State","TN","type",6,"Type2","Four-Year")</f>
        <v>0</v>
      </c>
      <c r="N80" s="92">
        <f>GETPIVOTDATA("Sum of Old G E-Learning",'Pivot Table for Fact Book'!$A$3,"State","TN","type",15,"Type2","Four-Year")</f>
        <v>0</v>
      </c>
      <c r="O80" s="93">
        <f>GETPIVOTDATA("Sum of New G E-Learning",'Pivot Table for Fact Book'!$A$3,"State","TN","type",15,"Type2","Four-Year")</f>
        <v>0</v>
      </c>
      <c r="P80" s="94">
        <f>GETPIVOTDATA("Sum of Old G E-Learning",'Pivot Table for Fact Book'!$A$3,"State","TN","Type2","Four-Year")</f>
        <v>191919</v>
      </c>
      <c r="Q80" s="94">
        <f>GETPIVOTDATA("Sum of New G E-Learning",'Pivot Table for Fact Book'!$A$3,"State","TN","Type2","Four-Year")</f>
        <v>207659</v>
      </c>
    </row>
    <row r="81" spans="1:17">
      <c r="A81" s="105" t="s">
        <v>631</v>
      </c>
      <c r="B81" s="92">
        <f>GETPIVOTDATA("Sum of Old G E-Learning",'Pivot Table for Fact Book'!$A$3,"State","TX","type",1,"Type2","Four-Year")</f>
        <v>639326</v>
      </c>
      <c r="C81" s="93">
        <f>GETPIVOTDATA("Sum of New G E-Learning",'Pivot Table for Fact Book'!$A$3,"State","TX","type",1,"Type2","Four-Year")</f>
        <v>662277</v>
      </c>
      <c r="D81" s="92">
        <f>GETPIVOTDATA("Sum of Old G E-Learning",'Pivot Table for Fact Book'!$A$3,"State","TX","type",2,"Type2","Four-Year")</f>
        <v>145395</v>
      </c>
      <c r="E81" s="93">
        <f>GETPIVOTDATA("Sum of New G E-Learning",'Pivot Table for Fact Book'!$A$3,"State","TX","type",2,"Type2","Four-Year")</f>
        <v>161570</v>
      </c>
      <c r="F81" s="92">
        <f>GETPIVOTDATA("Sum of Old G E-Learning",'Pivot Table for Fact Book'!$A$3,"State","TX","type",3,"Type2","Four-Year")</f>
        <v>577542</v>
      </c>
      <c r="G81" s="93">
        <f>GETPIVOTDATA("Sum of New G E-Learning",'Pivot Table for Fact Book'!$A$3,"State","TX","type",3,"Type2","Four-Year")</f>
        <v>653234</v>
      </c>
      <c r="H81" s="92">
        <f>GETPIVOTDATA("Sum of Old G E-Learning",'Pivot Table for Fact Book'!$A$3,"State","TX","type",4,"Type2","Four-Year")</f>
        <v>68996</v>
      </c>
      <c r="I81" s="93">
        <f>GETPIVOTDATA("Sum of New G E-Learning",'Pivot Table for Fact Book'!$A$3,"State","TX","type",4,"Type2","Four-Year")</f>
        <v>63826</v>
      </c>
      <c r="J81" s="92">
        <f>GETPIVOTDATA("Sum of Old G E-Learning",'Pivot Table for Fact Book'!$A$3,"State","TX","type",5,"Type2","Four-Year")</f>
        <v>2680</v>
      </c>
      <c r="K81" s="93">
        <f>GETPIVOTDATA("Sum of New G E-Learning",'Pivot Table for Fact Book'!$A$3,"State","TX","type",5,"Type2","Four-Year")</f>
        <v>2487</v>
      </c>
      <c r="L81" s="92">
        <f>GETPIVOTDATA("Sum of Old G E-Learning",'Pivot Table for Fact Book'!$A$3,"State","TX","type",6,"Type2","Four-Year")</f>
        <v>0</v>
      </c>
      <c r="M81" s="93">
        <f>GETPIVOTDATA("Sum of New G E-Learning",'Pivot Table for Fact Book'!$A$3,"State","TX","type",6,"Type2","Four-Year")</f>
        <v>0</v>
      </c>
      <c r="N81" s="92">
        <f>GETPIVOTDATA("Sum of Old G E-Learning",'Pivot Table for Fact Book'!$A$3,"State","TX","type",15,"Type2","Four-Year")</f>
        <v>0</v>
      </c>
      <c r="O81" s="93">
        <f>GETPIVOTDATA("Sum of New G E-Learning",'Pivot Table for Fact Book'!$A$3,"State","TX","type",15,"Type2","Four-Year")</f>
        <v>0</v>
      </c>
      <c r="P81" s="94">
        <f>GETPIVOTDATA("Sum of Old G E-Learning",'Pivot Table for Fact Book'!$A$3,"State","TX","Type2","Four-Year")</f>
        <v>1433939</v>
      </c>
      <c r="Q81" s="94">
        <f>GETPIVOTDATA("Sum of New G E-Learning",'Pivot Table for Fact Book'!$A$3,"State","TX","Type2","Four-Year")</f>
        <v>1543394</v>
      </c>
    </row>
    <row r="82" spans="1:17">
      <c r="A82" s="105" t="s">
        <v>632</v>
      </c>
      <c r="B82" s="92">
        <f>GETPIVOTDATA("Sum of Old G E-Learning",'Pivot Table for Fact Book'!$A$3,"State","VA","type",1,"Type2","Four-Year")</f>
        <v>279632</v>
      </c>
      <c r="C82" s="93">
        <f>GETPIVOTDATA("Sum of New G E-Learning",'Pivot Table for Fact Book'!$A$3,"State","VA","type",1,"Type2","Four-Year")</f>
        <v>400491</v>
      </c>
      <c r="D82" s="92">
        <f>GETPIVOTDATA("Sum of Old G E-Learning",'Pivot Table for Fact Book'!$A$3,"State","VA","type",2,"Type2","Four-Year")</f>
        <v>30282</v>
      </c>
      <c r="E82" s="93">
        <f>GETPIVOTDATA("Sum of New G E-Learning",'Pivot Table for Fact Book'!$A$3,"State","VA","type",2,"Type2","Four-Year")</f>
        <v>41790.5</v>
      </c>
      <c r="F82" s="92">
        <f>GETPIVOTDATA("Sum of Old G E-Learning",'Pivot Table for Fact Book'!$A$3,"State","VA","type",3,"Type2","Four-Year")</f>
        <v>41215</v>
      </c>
      <c r="G82" s="93">
        <f>GETPIVOTDATA("Sum of New G E-Learning",'Pivot Table for Fact Book'!$A$3,"State","VA","type",3,"Type2","Four-Year")</f>
        <v>43157.2</v>
      </c>
      <c r="H82" s="92">
        <f>GETPIVOTDATA("Sum of Old G E-Learning",'Pivot Table for Fact Book'!$A$3,"State","VA","type",4,"Type2","Four-Year")</f>
        <v>2367</v>
      </c>
      <c r="I82" s="93">
        <f>GETPIVOTDATA("Sum of New G E-Learning",'Pivot Table for Fact Book'!$A$3,"State","VA","type",4,"Type2","Four-Year")</f>
        <v>3567</v>
      </c>
      <c r="J82" s="92">
        <f>GETPIVOTDATA("Sum of Old G E-Learning",'Pivot Table for Fact Book'!$A$3,"State","VA","type",5,"Type2","Four-Year")</f>
        <v>16465</v>
      </c>
      <c r="K82" s="93">
        <f>GETPIVOTDATA("Sum of New G E-Learning",'Pivot Table for Fact Book'!$A$3,"State","VA","type",5,"Type2","Four-Year")</f>
        <v>21649.4</v>
      </c>
      <c r="L82" s="92">
        <f>GETPIVOTDATA("Sum of Old G E-Learning",'Pivot Table for Fact Book'!$A$3,"State","VA","type",6,"Type2","Four-Year")</f>
        <v>0</v>
      </c>
      <c r="M82" s="93">
        <f>GETPIVOTDATA("Sum of New G E-Learning",'Pivot Table for Fact Book'!$A$3,"State","VA","type",6,"Type2","Four-Year")</f>
        <v>0</v>
      </c>
      <c r="N82" s="92">
        <f>GETPIVOTDATA("Sum of Old G E-Learning",'Pivot Table for Fact Book'!$A$3,"State","VA","type",15,"Type2","Four-Year")</f>
        <v>0</v>
      </c>
      <c r="O82" s="93">
        <f>GETPIVOTDATA("Sum of New G E-Learning",'Pivot Table for Fact Book'!$A$3,"State","VA","type",15,"Type2","Four-Year")</f>
        <v>0</v>
      </c>
      <c r="P82" s="94">
        <f>GETPIVOTDATA("Sum of Old G E-Learning",'Pivot Table for Fact Book'!$A$3,"State","VA","Type2","Four-Year")</f>
        <v>369961</v>
      </c>
      <c r="Q82" s="94">
        <f>GETPIVOTDATA("Sum of New G E-Learning",'Pivot Table for Fact Book'!$A$3,"State","VA","Type2","Four-Year")</f>
        <v>510655.10000000003</v>
      </c>
    </row>
    <row r="83" spans="1:17">
      <c r="A83" s="126" t="s">
        <v>633</v>
      </c>
      <c r="B83" s="98">
        <f>GETPIVOTDATA("Sum of Old G E-Learning",'Pivot Table for Fact Book'!$A$3,"State","WV","type",1,"Type2","Four-Year")</f>
        <v>36262</v>
      </c>
      <c r="C83" s="99">
        <f>GETPIVOTDATA("Sum of New G E-Learning",'Pivot Table for Fact Book'!$A$3,"State","WV","type",1,"Type2","Four-Year")</f>
        <v>41350</v>
      </c>
      <c r="D83" s="98">
        <f>GETPIVOTDATA("Sum of Old G E-Learning",'Pivot Table for Fact Book'!$A$3,"State","WV","type",2,"Type2","Four-Year")</f>
        <v>0</v>
      </c>
      <c r="E83" s="99">
        <f>GETPIVOTDATA("Sum of New G E-Learning",'Pivot Table for Fact Book'!$A$3,"State","WV","type",2,"Type2","Four-Year")</f>
        <v>0</v>
      </c>
      <c r="F83" s="98">
        <f>GETPIVOTDATA("Sum of Old G E-Learning",'Pivot Table for Fact Book'!$A$3,"State","WV","type",3,"Type2","Four-Year")</f>
        <v>37721</v>
      </c>
      <c r="G83" s="99">
        <f>GETPIVOTDATA("Sum of New G E-Learning",'Pivot Table for Fact Book'!$A$3,"State","WV","type",3,"Type2","Four-Year")</f>
        <v>29963</v>
      </c>
      <c r="H83" s="98">
        <f>GETPIVOTDATA("Sum of Old G E-Learning",'Pivot Table for Fact Book'!$A$3,"State","WV","type",4,"Type2","Four-Year")</f>
        <v>3617</v>
      </c>
      <c r="I83" s="99">
        <f>GETPIVOTDATA("Sum of New G E-Learning",'Pivot Table for Fact Book'!$A$3,"State","WV","type",4,"Type2","Four-Year")</f>
        <v>3500</v>
      </c>
      <c r="J83" s="98">
        <f>GETPIVOTDATA("Sum of Old G E-Learning",'Pivot Table for Fact Book'!$A$3,"State","WV","type",5,"Type2","Four-Year")</f>
        <v>16878</v>
      </c>
      <c r="K83" s="99">
        <f>GETPIVOTDATA("Sum of New G E-Learning",'Pivot Table for Fact Book'!$A$3,"State","WV","type",5,"Type2","Four-Year")</f>
        <v>26197</v>
      </c>
      <c r="L83" s="98">
        <f>GETPIVOTDATA("Sum of Old G E-Learning",'Pivot Table for Fact Book'!$A$3,"State","WV","type",6,"Type2","Four-Year")</f>
        <v>0</v>
      </c>
      <c r="M83" s="99">
        <f>GETPIVOTDATA("Sum of New G E-Learning",'Pivot Table for Fact Book'!$A$3,"State","WV","type",6,"Type2","Four-Year")</f>
        <v>0</v>
      </c>
      <c r="N83" s="98">
        <f>GETPIVOTDATA("Sum of Old G E-Learning",'Pivot Table for Fact Book'!$A$3,"State","WV","type",15,"Type2","Four-Year")</f>
        <v>0</v>
      </c>
      <c r="O83" s="99">
        <f>GETPIVOTDATA("Sum of New G E-Learning",'Pivot Table for Fact Book'!$A$3,"State","WV","type",15,"Type2","Four-Year")</f>
        <v>0</v>
      </c>
      <c r="P83" s="100">
        <f>GETPIVOTDATA("Sum of Old G E-Learning",'Pivot Table for Fact Book'!$A$3,"State","WV","Type2","Four-Year")</f>
        <v>94478</v>
      </c>
      <c r="Q83" s="100">
        <f>GETPIVOTDATA("Sum of New G E-Learning",'Pivot Table for Fact Book'!$A$3,"State","WV","Type2","Four-Year")</f>
        <v>101010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7CEC5-F4C6-4717-8CD3-55D5A6A6A747}">
  <sheetPr>
    <tabColor rgb="FF006600"/>
  </sheetPr>
  <dimension ref="A1:Z882"/>
  <sheetViews>
    <sheetView workbookViewId="0">
      <selection sqref="A1:XFD1048576"/>
    </sheetView>
  </sheetViews>
  <sheetFormatPr defaultColWidth="8.88671875" defaultRowHeight="15"/>
  <cols>
    <col min="1" max="1" width="5.44140625" style="57" customWidth="1"/>
    <col min="2" max="2" width="25.6640625" style="57" bestFit="1" customWidth="1"/>
    <col min="3" max="9" width="10.44140625" style="57" bestFit="1" customWidth="1"/>
    <col min="10" max="10" width="12.88671875" style="57" bestFit="1" customWidth="1"/>
    <col min="11" max="11" width="5.33203125" style="57" bestFit="1" customWidth="1"/>
    <col min="12" max="12" width="7.21875" style="57" bestFit="1" customWidth="1"/>
    <col min="13" max="16" width="10.109375" style="57" bestFit="1" customWidth="1"/>
    <col min="17" max="17" width="12.5546875" style="57" bestFit="1" customWidth="1"/>
    <col min="18" max="19" width="10.109375" style="57" bestFit="1" customWidth="1"/>
    <col min="20" max="20" width="12.5546875" style="57" bestFit="1" customWidth="1"/>
    <col min="21" max="21" width="8" style="57" bestFit="1" customWidth="1"/>
    <col min="22" max="22" width="10.44140625" style="57" bestFit="1" customWidth="1"/>
    <col min="23" max="23" width="7.88671875" style="57" customWidth="1"/>
    <col min="24" max="25" width="8.6640625" style="57" customWidth="1"/>
    <col min="26" max="26" width="7.88671875" style="57" customWidth="1"/>
    <col min="27" max="16384" width="8.88671875" style="57"/>
  </cols>
  <sheetData>
    <row r="1" spans="1:26">
      <c r="A1" s="57" t="s">
        <v>515</v>
      </c>
    </row>
    <row r="2" spans="1:26">
      <c r="S2" s="58"/>
      <c r="T2" s="58"/>
    </row>
    <row r="3" spans="1:26" ht="15.75">
      <c r="A3" s="654"/>
      <c r="B3" s="655"/>
      <c r="C3" s="654" t="s">
        <v>516</v>
      </c>
      <c r="D3" s="658" t="s">
        <v>21</v>
      </c>
      <c r="E3" s="658"/>
      <c r="F3" s="658"/>
      <c r="G3" s="658"/>
      <c r="H3" s="658"/>
      <c r="I3" s="658"/>
      <c r="J3" s="681"/>
      <c r="K3" s="658"/>
      <c r="L3" s="658"/>
      <c r="M3" s="658"/>
      <c r="N3" s="658"/>
      <c r="O3" s="681"/>
      <c r="P3" s="658"/>
      <c r="Q3" s="658"/>
      <c r="R3" s="681"/>
      <c r="S3" s="658"/>
      <c r="T3" s="658"/>
      <c r="U3" s="658"/>
      <c r="V3" s="659"/>
      <c r="W3"/>
      <c r="X3"/>
      <c r="Y3" s="62"/>
      <c r="Z3" s="62"/>
    </row>
    <row r="4" spans="1:26" ht="15.75">
      <c r="A4" s="656"/>
      <c r="B4" s="657"/>
      <c r="C4" s="654" t="s">
        <v>517</v>
      </c>
      <c r="D4" s="655"/>
      <c r="E4" s="655"/>
      <c r="F4" s="655"/>
      <c r="G4" s="655"/>
      <c r="H4" s="655"/>
      <c r="I4" s="655"/>
      <c r="J4" s="654" t="s">
        <v>518</v>
      </c>
      <c r="K4" s="654">
        <v>14</v>
      </c>
      <c r="L4" s="654" t="s">
        <v>519</v>
      </c>
      <c r="M4" s="654" t="s">
        <v>520</v>
      </c>
      <c r="N4" s="655"/>
      <c r="O4" s="655"/>
      <c r="P4" s="661"/>
      <c r="Q4" s="654" t="s">
        <v>521</v>
      </c>
      <c r="R4" s="654" t="s">
        <v>522</v>
      </c>
      <c r="S4" s="661"/>
      <c r="T4" s="654" t="s">
        <v>523</v>
      </c>
      <c r="U4" s="654" t="s">
        <v>611</v>
      </c>
      <c r="V4" s="660" t="s">
        <v>612</v>
      </c>
      <c r="W4"/>
      <c r="X4"/>
      <c r="Y4" s="62"/>
      <c r="Z4" s="62"/>
    </row>
    <row r="5" spans="1:26" ht="15.75">
      <c r="A5" s="680" t="s">
        <v>14</v>
      </c>
      <c r="B5" s="680" t="s">
        <v>524</v>
      </c>
      <c r="C5" s="654">
        <v>1</v>
      </c>
      <c r="D5" s="661">
        <v>2</v>
      </c>
      <c r="E5" s="661">
        <v>3</v>
      </c>
      <c r="F5" s="661">
        <v>4</v>
      </c>
      <c r="G5" s="661">
        <v>5</v>
      </c>
      <c r="H5" s="661">
        <v>6</v>
      </c>
      <c r="I5" s="661">
        <v>15</v>
      </c>
      <c r="J5" s="662"/>
      <c r="K5" s="654">
        <v>14</v>
      </c>
      <c r="L5" s="662"/>
      <c r="M5" s="654">
        <v>7</v>
      </c>
      <c r="N5" s="661">
        <v>8</v>
      </c>
      <c r="O5" s="661">
        <v>9</v>
      </c>
      <c r="P5" s="661">
        <v>10</v>
      </c>
      <c r="Q5" s="662"/>
      <c r="R5" s="654">
        <v>12</v>
      </c>
      <c r="S5" s="661">
        <v>13</v>
      </c>
      <c r="T5" s="662"/>
      <c r="U5" s="654" t="s">
        <v>611</v>
      </c>
      <c r="V5" s="663"/>
      <c r="W5"/>
      <c r="X5"/>
      <c r="Y5" s="62"/>
      <c r="Z5" s="62"/>
    </row>
    <row r="6" spans="1:26" s="77" customFormat="1" ht="15.75">
      <c r="A6" s="668" t="s">
        <v>50</v>
      </c>
      <c r="B6" s="668" t="s">
        <v>525</v>
      </c>
      <c r="C6" s="668">
        <v>1949406</v>
      </c>
      <c r="D6" s="668">
        <v>451735</v>
      </c>
      <c r="E6" s="668">
        <v>945282</v>
      </c>
      <c r="F6" s="668">
        <v>173450</v>
      </c>
      <c r="G6" s="668">
        <v>127309</v>
      </c>
      <c r="H6" s="668"/>
      <c r="I6" s="668">
        <v>12708</v>
      </c>
      <c r="J6" s="667">
        <v>3659890</v>
      </c>
      <c r="K6" s="667"/>
      <c r="L6" s="667"/>
      <c r="M6" s="667"/>
      <c r="N6" s="668">
        <v>493936</v>
      </c>
      <c r="O6" s="668">
        <v>755028</v>
      </c>
      <c r="P6" s="668">
        <v>290143</v>
      </c>
      <c r="Q6" s="667">
        <v>1539107</v>
      </c>
      <c r="R6" s="667">
        <v>40736</v>
      </c>
      <c r="S6" s="668">
        <v>37178</v>
      </c>
      <c r="T6" s="667">
        <v>77914</v>
      </c>
      <c r="U6" s="667"/>
      <c r="V6" s="669"/>
      <c r="W6"/>
      <c r="X6"/>
      <c r="Y6" s="62"/>
      <c r="Z6" s="62"/>
    </row>
    <row r="7" spans="1:26" s="77" customFormat="1" ht="15.75">
      <c r="A7" s="676"/>
      <c r="B7" s="671" t="s">
        <v>526</v>
      </c>
      <c r="C7" s="671">
        <v>1894441</v>
      </c>
      <c r="D7" s="671">
        <v>428972</v>
      </c>
      <c r="E7" s="671">
        <v>881879</v>
      </c>
      <c r="F7" s="671">
        <v>165953</v>
      </c>
      <c r="G7" s="671">
        <v>122801</v>
      </c>
      <c r="H7" s="671"/>
      <c r="I7" s="671">
        <v>10955</v>
      </c>
      <c r="J7" s="670">
        <v>3505001</v>
      </c>
      <c r="K7" s="670"/>
      <c r="L7" s="670"/>
      <c r="M7" s="670"/>
      <c r="N7" s="671">
        <v>474873</v>
      </c>
      <c r="O7" s="671">
        <v>713464</v>
      </c>
      <c r="P7" s="671">
        <v>274389</v>
      </c>
      <c r="Q7" s="670">
        <v>1462726</v>
      </c>
      <c r="R7" s="670">
        <v>39698</v>
      </c>
      <c r="S7" s="671">
        <v>38198</v>
      </c>
      <c r="T7" s="670">
        <v>77896</v>
      </c>
      <c r="U7" s="670"/>
      <c r="V7" s="672"/>
      <c r="W7"/>
      <c r="X7"/>
      <c r="Y7" s="62"/>
      <c r="Z7" s="62"/>
    </row>
    <row r="8" spans="1:26" s="77" customFormat="1" ht="15.75">
      <c r="A8" s="676"/>
      <c r="B8" s="668" t="s">
        <v>527</v>
      </c>
      <c r="C8" s="668">
        <v>536968</v>
      </c>
      <c r="D8" s="668">
        <v>152599</v>
      </c>
      <c r="E8" s="668">
        <v>458679</v>
      </c>
      <c r="F8" s="668">
        <v>85559</v>
      </c>
      <c r="G8" s="668">
        <v>75897</v>
      </c>
      <c r="H8" s="668">
        <v>0</v>
      </c>
      <c r="I8" s="668">
        <v>812</v>
      </c>
      <c r="J8" s="667">
        <v>1310514</v>
      </c>
      <c r="K8" s="667">
        <v>0</v>
      </c>
      <c r="L8" s="667">
        <v>0</v>
      </c>
      <c r="M8" s="667">
        <v>0</v>
      </c>
      <c r="N8" s="668">
        <v>276294</v>
      </c>
      <c r="O8" s="668">
        <v>330349</v>
      </c>
      <c r="P8" s="668">
        <v>163467</v>
      </c>
      <c r="Q8" s="667">
        <v>770110</v>
      </c>
      <c r="R8" s="667">
        <v>22168</v>
      </c>
      <c r="S8" s="668">
        <v>5744</v>
      </c>
      <c r="T8" s="667">
        <v>27912</v>
      </c>
      <c r="U8" s="667">
        <v>0</v>
      </c>
      <c r="V8" s="669">
        <v>0</v>
      </c>
      <c r="W8"/>
      <c r="X8"/>
      <c r="Y8" s="62"/>
      <c r="Z8" s="62"/>
    </row>
    <row r="9" spans="1:26" s="77" customFormat="1" ht="15.75">
      <c r="A9" s="676"/>
      <c r="B9" s="671" t="s">
        <v>528</v>
      </c>
      <c r="C9" s="671">
        <v>563844</v>
      </c>
      <c r="D9" s="671">
        <v>166143</v>
      </c>
      <c r="E9" s="671">
        <v>456836</v>
      </c>
      <c r="F9" s="671">
        <v>96676</v>
      </c>
      <c r="G9" s="671">
        <v>72464</v>
      </c>
      <c r="H9" s="671">
        <v>0</v>
      </c>
      <c r="I9" s="671">
        <v>843</v>
      </c>
      <c r="J9" s="670">
        <v>1356806</v>
      </c>
      <c r="K9" s="670">
        <v>0</v>
      </c>
      <c r="L9" s="670">
        <v>0</v>
      </c>
      <c r="M9" s="670">
        <v>0</v>
      </c>
      <c r="N9" s="671">
        <v>287741</v>
      </c>
      <c r="O9" s="671">
        <v>320589</v>
      </c>
      <c r="P9" s="671">
        <v>150256</v>
      </c>
      <c r="Q9" s="670">
        <v>758586</v>
      </c>
      <c r="R9" s="670">
        <v>21674</v>
      </c>
      <c r="S9" s="671">
        <v>8489</v>
      </c>
      <c r="T9" s="670">
        <v>30163</v>
      </c>
      <c r="U9" s="670">
        <v>0</v>
      </c>
      <c r="V9" s="672">
        <v>0</v>
      </c>
      <c r="W9"/>
      <c r="X9"/>
      <c r="Y9" s="62"/>
      <c r="Z9" s="62"/>
    </row>
    <row r="10" spans="1:26" s="77" customFormat="1" ht="15.75">
      <c r="A10" s="676"/>
      <c r="B10" s="668" t="s">
        <v>529</v>
      </c>
      <c r="C10" s="668">
        <v>273769</v>
      </c>
      <c r="D10" s="668">
        <v>50120</v>
      </c>
      <c r="E10" s="668">
        <v>140240</v>
      </c>
      <c r="F10" s="668">
        <v>80213</v>
      </c>
      <c r="G10" s="668">
        <v>9641</v>
      </c>
      <c r="H10" s="668"/>
      <c r="I10" s="668">
        <v>0</v>
      </c>
      <c r="J10" s="667">
        <v>553983</v>
      </c>
      <c r="K10" s="667"/>
      <c r="L10" s="667"/>
      <c r="M10" s="667"/>
      <c r="N10" s="668">
        <v>0</v>
      </c>
      <c r="O10" s="668">
        <v>0</v>
      </c>
      <c r="P10" s="668">
        <v>0</v>
      </c>
      <c r="Q10" s="667">
        <v>0</v>
      </c>
      <c r="R10" s="667">
        <v>0</v>
      </c>
      <c r="S10" s="668">
        <v>0</v>
      </c>
      <c r="T10" s="667">
        <v>0</v>
      </c>
      <c r="U10" s="667"/>
      <c r="V10" s="669"/>
      <c r="W10"/>
      <c r="X10"/>
      <c r="Y10" s="62"/>
      <c r="Z10" s="62"/>
    </row>
    <row r="11" spans="1:26" s="77" customFormat="1" ht="15.75">
      <c r="A11" s="676"/>
      <c r="B11" s="671" t="s">
        <v>530</v>
      </c>
      <c r="C11" s="671">
        <v>316180</v>
      </c>
      <c r="D11" s="671">
        <v>52728</v>
      </c>
      <c r="E11" s="671">
        <v>150911</v>
      </c>
      <c r="F11" s="671">
        <v>79845</v>
      </c>
      <c r="G11" s="671">
        <v>11372</v>
      </c>
      <c r="H11" s="671"/>
      <c r="I11" s="671">
        <v>0</v>
      </c>
      <c r="J11" s="670">
        <v>611036</v>
      </c>
      <c r="K11" s="670"/>
      <c r="L11" s="670"/>
      <c r="M11" s="670"/>
      <c r="N11" s="671">
        <v>0</v>
      </c>
      <c r="O11" s="671">
        <v>0</v>
      </c>
      <c r="P11" s="671">
        <v>0</v>
      </c>
      <c r="Q11" s="670">
        <v>0</v>
      </c>
      <c r="R11" s="670">
        <v>0</v>
      </c>
      <c r="S11" s="671">
        <v>0</v>
      </c>
      <c r="T11" s="670">
        <v>0</v>
      </c>
      <c r="U11" s="670"/>
      <c r="V11" s="672"/>
      <c r="W11"/>
      <c r="X11"/>
      <c r="Y11" s="62"/>
      <c r="Z11" s="62"/>
    </row>
    <row r="12" spans="1:26" s="77" customFormat="1" ht="15.75">
      <c r="A12" s="676"/>
      <c r="B12" s="668" t="s">
        <v>531</v>
      </c>
      <c r="C12" s="668">
        <v>91024</v>
      </c>
      <c r="D12" s="668">
        <v>23526</v>
      </c>
      <c r="E12" s="668">
        <v>111103</v>
      </c>
      <c r="F12" s="668">
        <v>73460</v>
      </c>
      <c r="G12" s="668">
        <v>5705</v>
      </c>
      <c r="H12" s="668">
        <v>0</v>
      </c>
      <c r="I12" s="668">
        <v>0</v>
      </c>
      <c r="J12" s="667">
        <v>304818</v>
      </c>
      <c r="K12" s="667">
        <v>0</v>
      </c>
      <c r="L12" s="667">
        <v>0</v>
      </c>
      <c r="M12" s="667">
        <v>0</v>
      </c>
      <c r="N12" s="668">
        <v>0</v>
      </c>
      <c r="O12" s="668">
        <v>0</v>
      </c>
      <c r="P12" s="668">
        <v>0</v>
      </c>
      <c r="Q12" s="667">
        <v>0</v>
      </c>
      <c r="R12" s="667">
        <v>0</v>
      </c>
      <c r="S12" s="668">
        <v>0</v>
      </c>
      <c r="T12" s="667">
        <v>0</v>
      </c>
      <c r="U12" s="667">
        <v>0</v>
      </c>
      <c r="V12" s="669">
        <v>0</v>
      </c>
      <c r="W12"/>
      <c r="X12"/>
      <c r="Y12" s="62"/>
      <c r="Z12" s="62"/>
    </row>
    <row r="13" spans="1:26" s="77" customFormat="1" ht="15.75">
      <c r="A13" s="671"/>
      <c r="B13" s="671" t="s">
        <v>532</v>
      </c>
      <c r="C13" s="671">
        <v>112598</v>
      </c>
      <c r="D13" s="671">
        <v>26277</v>
      </c>
      <c r="E13" s="671">
        <v>125257</v>
      </c>
      <c r="F13" s="671">
        <v>72784</v>
      </c>
      <c r="G13" s="671">
        <v>6568</v>
      </c>
      <c r="H13" s="671">
        <v>0</v>
      </c>
      <c r="I13" s="671">
        <v>0</v>
      </c>
      <c r="J13" s="670">
        <v>343484</v>
      </c>
      <c r="K13" s="670">
        <v>0</v>
      </c>
      <c r="L13" s="670">
        <v>0</v>
      </c>
      <c r="M13" s="670">
        <v>0</v>
      </c>
      <c r="N13" s="671">
        <v>0</v>
      </c>
      <c r="O13" s="671">
        <v>0</v>
      </c>
      <c r="P13" s="671">
        <v>0</v>
      </c>
      <c r="Q13" s="670">
        <v>0</v>
      </c>
      <c r="R13" s="670">
        <v>0</v>
      </c>
      <c r="S13" s="671">
        <v>0</v>
      </c>
      <c r="T13" s="670">
        <v>0</v>
      </c>
      <c r="U13" s="670">
        <v>0</v>
      </c>
      <c r="V13" s="672">
        <v>0</v>
      </c>
      <c r="W13"/>
      <c r="X13"/>
      <c r="Y13" s="62"/>
      <c r="Z13" s="62"/>
    </row>
    <row r="14" spans="1:26" s="77" customFormat="1" ht="15.75">
      <c r="A14" s="677" t="s">
        <v>80</v>
      </c>
      <c r="B14" s="668" t="s">
        <v>525</v>
      </c>
      <c r="C14" s="665">
        <v>657386</v>
      </c>
      <c r="D14" s="665">
        <v>170986</v>
      </c>
      <c r="E14" s="665">
        <v>738023</v>
      </c>
      <c r="F14" s="665">
        <v>253830</v>
      </c>
      <c r="G14" s="665"/>
      <c r="H14" s="665">
        <v>214379</v>
      </c>
      <c r="I14" s="665">
        <v>19701</v>
      </c>
      <c r="J14" s="664">
        <v>2054305</v>
      </c>
      <c r="K14" s="664"/>
      <c r="L14" s="664"/>
      <c r="M14" s="664"/>
      <c r="N14" s="665">
        <v>151510</v>
      </c>
      <c r="O14" s="665">
        <v>190354</v>
      </c>
      <c r="P14" s="665">
        <v>583040</v>
      </c>
      <c r="Q14" s="664">
        <v>924904</v>
      </c>
      <c r="R14" s="664"/>
      <c r="S14" s="665"/>
      <c r="T14" s="664"/>
      <c r="U14" s="664"/>
      <c r="V14" s="666"/>
      <c r="W14"/>
      <c r="X14"/>
      <c r="Y14" s="62"/>
      <c r="Z14" s="62"/>
    </row>
    <row r="15" spans="1:26" s="77" customFormat="1" ht="15.75">
      <c r="A15" s="676"/>
      <c r="B15" s="668" t="s">
        <v>526</v>
      </c>
      <c r="C15" s="668">
        <v>651379</v>
      </c>
      <c r="D15" s="668">
        <v>157112</v>
      </c>
      <c r="E15" s="668">
        <v>688804</v>
      </c>
      <c r="F15" s="668">
        <v>232531</v>
      </c>
      <c r="G15" s="668"/>
      <c r="H15" s="668">
        <v>202691</v>
      </c>
      <c r="I15" s="668">
        <v>24170</v>
      </c>
      <c r="J15" s="667">
        <v>1956687</v>
      </c>
      <c r="K15" s="667"/>
      <c r="L15" s="667"/>
      <c r="M15" s="667"/>
      <c r="N15" s="668">
        <v>131465</v>
      </c>
      <c r="O15" s="668">
        <v>170458</v>
      </c>
      <c r="P15" s="668">
        <v>527076</v>
      </c>
      <c r="Q15" s="667">
        <v>828999</v>
      </c>
      <c r="R15" s="667"/>
      <c r="S15" s="668"/>
      <c r="T15" s="667"/>
      <c r="U15" s="667"/>
      <c r="V15" s="669"/>
      <c r="W15"/>
      <c r="X15"/>
      <c r="Y15" s="62"/>
      <c r="Z15" s="62"/>
    </row>
    <row r="16" spans="1:26" s="77" customFormat="1" ht="15.75">
      <c r="A16" s="676"/>
      <c r="B16" s="668" t="s">
        <v>527</v>
      </c>
      <c r="C16" s="668">
        <v>85199</v>
      </c>
      <c r="D16" s="668">
        <v>77443</v>
      </c>
      <c r="E16" s="668">
        <v>204982</v>
      </c>
      <c r="F16" s="668">
        <v>80683</v>
      </c>
      <c r="G16" s="668">
        <v>0</v>
      </c>
      <c r="H16" s="668">
        <v>62382</v>
      </c>
      <c r="I16" s="668">
        <v>7703</v>
      </c>
      <c r="J16" s="667">
        <v>518392</v>
      </c>
      <c r="K16" s="667">
        <v>0</v>
      </c>
      <c r="L16" s="667">
        <v>0</v>
      </c>
      <c r="M16" s="667">
        <v>0</v>
      </c>
      <c r="N16" s="668">
        <v>53522</v>
      </c>
      <c r="O16" s="668">
        <v>70849</v>
      </c>
      <c r="P16" s="668">
        <v>209135</v>
      </c>
      <c r="Q16" s="667">
        <v>333506</v>
      </c>
      <c r="R16" s="667">
        <v>0</v>
      </c>
      <c r="S16" s="668">
        <v>0</v>
      </c>
      <c r="T16" s="667">
        <v>0</v>
      </c>
      <c r="U16" s="667">
        <v>0</v>
      </c>
      <c r="V16" s="669">
        <v>0</v>
      </c>
      <c r="W16"/>
      <c r="X16"/>
      <c r="Y16" s="62"/>
      <c r="Z16" s="62"/>
    </row>
    <row r="17" spans="1:26" s="77" customFormat="1" ht="15.75">
      <c r="A17" s="676"/>
      <c r="B17" s="668" t="s">
        <v>528</v>
      </c>
      <c r="C17" s="668">
        <v>486341</v>
      </c>
      <c r="D17" s="668">
        <v>139891</v>
      </c>
      <c r="E17" s="668">
        <v>433315</v>
      </c>
      <c r="F17" s="668">
        <v>151073</v>
      </c>
      <c r="G17" s="668">
        <v>0</v>
      </c>
      <c r="H17" s="668">
        <v>167993</v>
      </c>
      <c r="I17" s="668">
        <v>20289</v>
      </c>
      <c r="J17" s="667">
        <v>1398902</v>
      </c>
      <c r="K17" s="667">
        <v>0</v>
      </c>
      <c r="L17" s="667">
        <v>0</v>
      </c>
      <c r="M17" s="667">
        <v>0</v>
      </c>
      <c r="N17" s="668">
        <v>112166</v>
      </c>
      <c r="O17" s="668">
        <v>101503</v>
      </c>
      <c r="P17" s="668">
        <v>258278</v>
      </c>
      <c r="Q17" s="667">
        <v>471947</v>
      </c>
      <c r="R17" s="667">
        <v>0</v>
      </c>
      <c r="S17" s="668">
        <v>0</v>
      </c>
      <c r="T17" s="667">
        <v>0</v>
      </c>
      <c r="U17" s="667">
        <v>0</v>
      </c>
      <c r="V17" s="669">
        <v>0</v>
      </c>
      <c r="W17"/>
      <c r="X17"/>
      <c r="Y17" s="62"/>
      <c r="Z17" s="62"/>
    </row>
    <row r="18" spans="1:26" s="77" customFormat="1" ht="15.75">
      <c r="A18" s="676"/>
      <c r="B18" s="668" t="s">
        <v>529</v>
      </c>
      <c r="C18" s="668">
        <v>79052</v>
      </c>
      <c r="D18" s="668">
        <v>36529</v>
      </c>
      <c r="E18" s="668">
        <v>154623</v>
      </c>
      <c r="F18" s="668">
        <v>31771</v>
      </c>
      <c r="G18" s="668"/>
      <c r="H18" s="668">
        <v>2592</v>
      </c>
      <c r="I18" s="668">
        <v>63129</v>
      </c>
      <c r="J18" s="667">
        <v>367696</v>
      </c>
      <c r="K18" s="667"/>
      <c r="L18" s="667"/>
      <c r="M18" s="667"/>
      <c r="N18" s="668">
        <v>0</v>
      </c>
      <c r="O18" s="668">
        <v>0</v>
      </c>
      <c r="P18" s="668">
        <v>0</v>
      </c>
      <c r="Q18" s="667">
        <v>0</v>
      </c>
      <c r="R18" s="667"/>
      <c r="S18" s="668"/>
      <c r="T18" s="667"/>
      <c r="U18" s="667"/>
      <c r="V18" s="669"/>
      <c r="W18"/>
      <c r="X18"/>
      <c r="Y18" s="62"/>
      <c r="Z18" s="62"/>
    </row>
    <row r="19" spans="1:26" s="77" customFormat="1" ht="15.75">
      <c r="A19" s="676"/>
      <c r="B19" s="668" t="s">
        <v>530</v>
      </c>
      <c r="C19" s="668">
        <v>86525</v>
      </c>
      <c r="D19" s="668">
        <v>36628</v>
      </c>
      <c r="E19" s="668">
        <v>155640</v>
      </c>
      <c r="F19" s="668">
        <v>33303</v>
      </c>
      <c r="G19" s="668"/>
      <c r="H19" s="668">
        <v>3515</v>
      </c>
      <c r="I19" s="668">
        <v>61434</v>
      </c>
      <c r="J19" s="667">
        <v>377045</v>
      </c>
      <c r="K19" s="667"/>
      <c r="L19" s="667"/>
      <c r="M19" s="667"/>
      <c r="N19" s="668">
        <v>0</v>
      </c>
      <c r="O19" s="668">
        <v>0</v>
      </c>
      <c r="P19" s="668">
        <v>0</v>
      </c>
      <c r="Q19" s="667">
        <v>0</v>
      </c>
      <c r="R19" s="667"/>
      <c r="S19" s="668"/>
      <c r="T19" s="667"/>
      <c r="U19" s="667"/>
      <c r="V19" s="669"/>
      <c r="W19"/>
      <c r="X19"/>
      <c r="Y19" s="62"/>
      <c r="Z19" s="62"/>
    </row>
    <row r="20" spans="1:26" s="77" customFormat="1" ht="15.75">
      <c r="A20" s="676"/>
      <c r="B20" s="668" t="s">
        <v>531</v>
      </c>
      <c r="C20" s="668">
        <v>31621</v>
      </c>
      <c r="D20" s="668">
        <v>12172</v>
      </c>
      <c r="E20" s="668">
        <v>116305</v>
      </c>
      <c r="F20" s="668">
        <v>27314</v>
      </c>
      <c r="G20" s="668">
        <v>0</v>
      </c>
      <c r="H20" s="668">
        <v>1434</v>
      </c>
      <c r="I20" s="668">
        <v>15530</v>
      </c>
      <c r="J20" s="667">
        <v>204376</v>
      </c>
      <c r="K20" s="667">
        <v>0</v>
      </c>
      <c r="L20" s="667">
        <v>0</v>
      </c>
      <c r="M20" s="667">
        <v>0</v>
      </c>
      <c r="N20" s="668">
        <v>0</v>
      </c>
      <c r="O20" s="668">
        <v>0</v>
      </c>
      <c r="P20" s="668">
        <v>0</v>
      </c>
      <c r="Q20" s="667">
        <v>0</v>
      </c>
      <c r="R20" s="667">
        <v>0</v>
      </c>
      <c r="S20" s="668">
        <v>0</v>
      </c>
      <c r="T20" s="667">
        <v>0</v>
      </c>
      <c r="U20" s="667">
        <v>0</v>
      </c>
      <c r="V20" s="669">
        <v>0</v>
      </c>
      <c r="W20"/>
      <c r="X20"/>
      <c r="Y20" s="62"/>
      <c r="Z20" s="62"/>
    </row>
    <row r="21" spans="1:26" s="77" customFormat="1" ht="15.75">
      <c r="A21" s="678"/>
      <c r="B21" s="668" t="s">
        <v>532</v>
      </c>
      <c r="C21" s="668">
        <v>54098</v>
      </c>
      <c r="D21" s="668">
        <v>18886</v>
      </c>
      <c r="E21" s="668">
        <v>131020</v>
      </c>
      <c r="F21" s="668">
        <v>30236</v>
      </c>
      <c r="G21" s="668">
        <v>0</v>
      </c>
      <c r="H21" s="668">
        <v>2995</v>
      </c>
      <c r="I21" s="668">
        <v>24425</v>
      </c>
      <c r="J21" s="667">
        <v>261660</v>
      </c>
      <c r="K21" s="667">
        <v>0</v>
      </c>
      <c r="L21" s="667">
        <v>0</v>
      </c>
      <c r="M21" s="667">
        <v>0</v>
      </c>
      <c r="N21" s="668">
        <v>0</v>
      </c>
      <c r="O21" s="668">
        <v>0</v>
      </c>
      <c r="P21" s="668">
        <v>0</v>
      </c>
      <c r="Q21" s="667">
        <v>0</v>
      </c>
      <c r="R21" s="667">
        <v>0</v>
      </c>
      <c r="S21" s="668">
        <v>0</v>
      </c>
      <c r="T21" s="667">
        <v>0</v>
      </c>
      <c r="U21" s="667">
        <v>0</v>
      </c>
      <c r="V21" s="669">
        <v>0</v>
      </c>
      <c r="W21"/>
      <c r="X21"/>
      <c r="Y21" s="62"/>
      <c r="Z21" s="62"/>
    </row>
    <row r="22" spans="1:26" s="77" customFormat="1" ht="15.75">
      <c r="A22" s="665" t="s">
        <v>110</v>
      </c>
      <c r="B22" s="668" t="s">
        <v>525</v>
      </c>
      <c r="C22" s="665">
        <v>600612</v>
      </c>
      <c r="D22" s="665"/>
      <c r="E22" s="665">
        <v>131706</v>
      </c>
      <c r="F22" s="665"/>
      <c r="G22" s="665"/>
      <c r="H22" s="665"/>
      <c r="I22" s="665"/>
      <c r="J22" s="664">
        <v>732318</v>
      </c>
      <c r="K22" s="664"/>
      <c r="L22" s="664"/>
      <c r="M22" s="664">
        <v>240081</v>
      </c>
      <c r="N22" s="665"/>
      <c r="O22" s="665"/>
      <c r="P22" s="665"/>
      <c r="Q22" s="664">
        <v>240081</v>
      </c>
      <c r="R22" s="664"/>
      <c r="S22" s="665"/>
      <c r="T22" s="664"/>
      <c r="U22" s="664"/>
      <c r="V22" s="666"/>
      <c r="W22"/>
      <c r="X22"/>
      <c r="Y22" s="62"/>
      <c r="Z22" s="62"/>
    </row>
    <row r="23" spans="1:26" s="77" customFormat="1" ht="15.75">
      <c r="A23" s="676"/>
      <c r="B23" s="668" t="s">
        <v>526</v>
      </c>
      <c r="C23" s="668">
        <v>595830</v>
      </c>
      <c r="D23" s="668"/>
      <c r="E23" s="668">
        <v>128986</v>
      </c>
      <c r="F23" s="668"/>
      <c r="G23" s="668"/>
      <c r="H23" s="668"/>
      <c r="I23" s="668"/>
      <c r="J23" s="667">
        <v>724816</v>
      </c>
      <c r="K23" s="667"/>
      <c r="L23" s="667"/>
      <c r="M23" s="667">
        <v>228100</v>
      </c>
      <c r="N23" s="668"/>
      <c r="O23" s="668"/>
      <c r="P23" s="668"/>
      <c r="Q23" s="667">
        <v>228100</v>
      </c>
      <c r="R23" s="667"/>
      <c r="S23" s="668"/>
      <c r="T23" s="667"/>
      <c r="U23" s="667"/>
      <c r="V23" s="669"/>
      <c r="W23"/>
      <c r="X23"/>
      <c r="Y23" s="62"/>
      <c r="Z23" s="62"/>
    </row>
    <row r="24" spans="1:26" s="77" customFormat="1" ht="15.75">
      <c r="A24" s="676"/>
      <c r="B24" s="668" t="s">
        <v>527</v>
      </c>
      <c r="C24" s="668">
        <v>305833</v>
      </c>
      <c r="D24" s="668">
        <v>0</v>
      </c>
      <c r="E24" s="668">
        <v>27268</v>
      </c>
      <c r="F24" s="668">
        <v>0</v>
      </c>
      <c r="G24" s="668">
        <v>0</v>
      </c>
      <c r="H24" s="668">
        <v>0</v>
      </c>
      <c r="I24" s="668">
        <v>0</v>
      </c>
      <c r="J24" s="667">
        <v>333101</v>
      </c>
      <c r="K24" s="667">
        <v>0</v>
      </c>
      <c r="L24" s="667">
        <v>0</v>
      </c>
      <c r="M24" s="667">
        <v>62047</v>
      </c>
      <c r="N24" s="668">
        <v>0</v>
      </c>
      <c r="O24" s="668">
        <v>0</v>
      </c>
      <c r="P24" s="668">
        <v>0</v>
      </c>
      <c r="Q24" s="667">
        <v>62047</v>
      </c>
      <c r="R24" s="667">
        <v>0</v>
      </c>
      <c r="S24" s="668">
        <v>0</v>
      </c>
      <c r="T24" s="667">
        <v>0</v>
      </c>
      <c r="U24" s="667">
        <v>0</v>
      </c>
      <c r="V24" s="669">
        <v>0</v>
      </c>
      <c r="W24"/>
      <c r="X24"/>
      <c r="Y24" s="62"/>
      <c r="Z24" s="62"/>
    </row>
    <row r="25" spans="1:26" s="77" customFormat="1" ht="15.75">
      <c r="A25" s="676"/>
      <c r="B25" s="668" t="s">
        <v>528</v>
      </c>
      <c r="C25" s="668">
        <v>358155</v>
      </c>
      <c r="D25" s="668">
        <v>0</v>
      </c>
      <c r="E25" s="668">
        <v>36250</v>
      </c>
      <c r="F25" s="668">
        <v>0</v>
      </c>
      <c r="G25" s="668">
        <v>0</v>
      </c>
      <c r="H25" s="668">
        <v>0</v>
      </c>
      <c r="I25" s="668">
        <v>0</v>
      </c>
      <c r="J25" s="667">
        <v>394405</v>
      </c>
      <c r="K25" s="667">
        <v>0</v>
      </c>
      <c r="L25" s="667">
        <v>0</v>
      </c>
      <c r="M25" s="667">
        <v>210599</v>
      </c>
      <c r="N25" s="668">
        <v>0</v>
      </c>
      <c r="O25" s="668">
        <v>0</v>
      </c>
      <c r="P25" s="668">
        <v>0</v>
      </c>
      <c r="Q25" s="667">
        <v>210599</v>
      </c>
      <c r="R25" s="667">
        <v>0</v>
      </c>
      <c r="S25" s="668">
        <v>0</v>
      </c>
      <c r="T25" s="667">
        <v>0</v>
      </c>
      <c r="U25" s="667">
        <v>0</v>
      </c>
      <c r="V25" s="669">
        <v>0</v>
      </c>
      <c r="W25"/>
      <c r="X25"/>
      <c r="Y25" s="62"/>
      <c r="Z25" s="62"/>
    </row>
    <row r="26" spans="1:26" s="77" customFormat="1" ht="15.75">
      <c r="A26" s="676"/>
      <c r="B26" s="668" t="s">
        <v>529</v>
      </c>
      <c r="C26" s="668">
        <v>74608</v>
      </c>
      <c r="D26" s="668"/>
      <c r="E26" s="668">
        <v>9354</v>
      </c>
      <c r="F26" s="668"/>
      <c r="G26" s="668"/>
      <c r="H26" s="668"/>
      <c r="I26" s="668"/>
      <c r="J26" s="667">
        <v>83962</v>
      </c>
      <c r="K26" s="667"/>
      <c r="L26" s="667"/>
      <c r="M26" s="667">
        <v>0</v>
      </c>
      <c r="N26" s="668"/>
      <c r="O26" s="668"/>
      <c r="P26" s="668"/>
      <c r="Q26" s="667">
        <v>0</v>
      </c>
      <c r="R26" s="667"/>
      <c r="S26" s="668"/>
      <c r="T26" s="667"/>
      <c r="U26" s="667"/>
      <c r="V26" s="669"/>
      <c r="W26"/>
      <c r="X26"/>
      <c r="Y26" s="62"/>
      <c r="Z26" s="62"/>
    </row>
    <row r="27" spans="1:26" s="77" customFormat="1" ht="15.75">
      <c r="A27" s="676"/>
      <c r="B27" s="668" t="s">
        <v>530</v>
      </c>
      <c r="C27" s="668">
        <v>65968</v>
      </c>
      <c r="D27" s="668"/>
      <c r="E27" s="668">
        <v>14581</v>
      </c>
      <c r="F27" s="668"/>
      <c r="G27" s="668"/>
      <c r="H27" s="668"/>
      <c r="I27" s="668"/>
      <c r="J27" s="667">
        <v>80549</v>
      </c>
      <c r="K27" s="667"/>
      <c r="L27" s="667"/>
      <c r="M27" s="667">
        <v>0</v>
      </c>
      <c r="N27" s="668"/>
      <c r="O27" s="668"/>
      <c r="P27" s="668"/>
      <c r="Q27" s="667">
        <v>0</v>
      </c>
      <c r="R27" s="667"/>
      <c r="S27" s="668"/>
      <c r="T27" s="667"/>
      <c r="U27" s="667"/>
      <c r="V27" s="669"/>
      <c r="W27"/>
      <c r="X27"/>
      <c r="Y27" s="62"/>
      <c r="Z27" s="62"/>
    </row>
    <row r="28" spans="1:26" s="77" customFormat="1" ht="15.75">
      <c r="A28" s="676"/>
      <c r="B28" s="668" t="s">
        <v>531</v>
      </c>
      <c r="C28" s="668">
        <v>37536</v>
      </c>
      <c r="D28" s="668">
        <v>0</v>
      </c>
      <c r="E28" s="668">
        <v>4282</v>
      </c>
      <c r="F28" s="668">
        <v>0</v>
      </c>
      <c r="G28" s="668">
        <v>0</v>
      </c>
      <c r="H28" s="668">
        <v>0</v>
      </c>
      <c r="I28" s="668">
        <v>0</v>
      </c>
      <c r="J28" s="667">
        <v>41818</v>
      </c>
      <c r="K28" s="667">
        <v>0</v>
      </c>
      <c r="L28" s="667">
        <v>0</v>
      </c>
      <c r="M28" s="667">
        <v>0</v>
      </c>
      <c r="N28" s="668">
        <v>0</v>
      </c>
      <c r="O28" s="668">
        <v>0</v>
      </c>
      <c r="P28" s="668">
        <v>0</v>
      </c>
      <c r="Q28" s="667">
        <v>0</v>
      </c>
      <c r="R28" s="667">
        <v>0</v>
      </c>
      <c r="S28" s="668">
        <v>0</v>
      </c>
      <c r="T28" s="667">
        <v>0</v>
      </c>
      <c r="U28" s="667">
        <v>0</v>
      </c>
      <c r="V28" s="669">
        <v>0</v>
      </c>
      <c r="W28"/>
      <c r="X28"/>
      <c r="Y28" s="62"/>
      <c r="Z28" s="62"/>
    </row>
    <row r="29" spans="1:26" s="77" customFormat="1" ht="15.75">
      <c r="A29" s="676"/>
      <c r="B29" s="668" t="s">
        <v>532</v>
      </c>
      <c r="C29" s="668">
        <v>37103</v>
      </c>
      <c r="D29" s="668">
        <v>0</v>
      </c>
      <c r="E29" s="668">
        <v>8485</v>
      </c>
      <c r="F29" s="668">
        <v>0</v>
      </c>
      <c r="G29" s="668">
        <v>0</v>
      </c>
      <c r="H29" s="668">
        <v>0</v>
      </c>
      <c r="I29" s="668">
        <v>0</v>
      </c>
      <c r="J29" s="667">
        <v>45588</v>
      </c>
      <c r="K29" s="667">
        <v>0</v>
      </c>
      <c r="L29" s="667">
        <v>0</v>
      </c>
      <c r="M29" s="667">
        <v>0</v>
      </c>
      <c r="N29" s="668">
        <v>0</v>
      </c>
      <c r="O29" s="668">
        <v>0</v>
      </c>
      <c r="P29" s="668">
        <v>0</v>
      </c>
      <c r="Q29" s="667">
        <v>0</v>
      </c>
      <c r="R29" s="667">
        <v>0</v>
      </c>
      <c r="S29" s="668">
        <v>0</v>
      </c>
      <c r="T29" s="667">
        <v>0</v>
      </c>
      <c r="U29" s="667">
        <v>0</v>
      </c>
      <c r="V29" s="669">
        <v>0</v>
      </c>
      <c r="W29"/>
      <c r="X29"/>
      <c r="Y29" s="62"/>
      <c r="Z29" s="62"/>
    </row>
    <row r="30" spans="1:26" s="77" customFormat="1" ht="15.75">
      <c r="A30" s="677" t="s">
        <v>114</v>
      </c>
      <c r="B30" s="668" t="s">
        <v>525</v>
      </c>
      <c r="C30" s="665"/>
      <c r="D30" s="665"/>
      <c r="E30" s="665"/>
      <c r="F30" s="665"/>
      <c r="G30" s="665"/>
      <c r="H30" s="665"/>
      <c r="I30" s="665"/>
      <c r="J30" s="664"/>
      <c r="K30" s="664"/>
      <c r="L30" s="664"/>
      <c r="M30" s="664">
        <v>7888321</v>
      </c>
      <c r="N30" s="665">
        <v>819310</v>
      </c>
      <c r="O30" s="665"/>
      <c r="P30" s="665">
        <v>42742</v>
      </c>
      <c r="Q30" s="664">
        <v>8750373</v>
      </c>
      <c r="R30" s="664"/>
      <c r="S30" s="665"/>
      <c r="T30" s="664"/>
      <c r="U30" s="664">
        <v>0</v>
      </c>
      <c r="V30" s="666">
        <v>0</v>
      </c>
      <c r="W30"/>
      <c r="X30"/>
      <c r="Y30" s="62"/>
      <c r="Z30" s="62"/>
    </row>
    <row r="31" spans="1:26" s="77" customFormat="1" ht="15.75">
      <c r="A31" s="676"/>
      <c r="B31" s="668" t="s">
        <v>526</v>
      </c>
      <c r="C31" s="668"/>
      <c r="D31" s="668"/>
      <c r="E31" s="668"/>
      <c r="F31" s="668"/>
      <c r="G31" s="668"/>
      <c r="H31" s="668"/>
      <c r="I31" s="668"/>
      <c r="J31" s="667"/>
      <c r="K31" s="667"/>
      <c r="L31" s="667"/>
      <c r="M31" s="667">
        <v>7196110</v>
      </c>
      <c r="N31" s="668">
        <v>788424</v>
      </c>
      <c r="O31" s="668"/>
      <c r="P31" s="668">
        <v>43730</v>
      </c>
      <c r="Q31" s="667">
        <v>8028264</v>
      </c>
      <c r="R31" s="667"/>
      <c r="S31" s="668"/>
      <c r="T31" s="667"/>
      <c r="U31" s="667">
        <v>0</v>
      </c>
      <c r="V31" s="669">
        <v>0</v>
      </c>
      <c r="W31"/>
      <c r="X31"/>
      <c r="Y31" s="62"/>
      <c r="Z31" s="62"/>
    </row>
    <row r="32" spans="1:26" s="77" customFormat="1" ht="15.75">
      <c r="A32" s="676"/>
      <c r="B32" s="668" t="s">
        <v>527</v>
      </c>
      <c r="C32" s="668">
        <v>0</v>
      </c>
      <c r="D32" s="668">
        <v>0</v>
      </c>
      <c r="E32" s="668">
        <v>0</v>
      </c>
      <c r="F32" s="668">
        <v>0</v>
      </c>
      <c r="G32" s="668">
        <v>0</v>
      </c>
      <c r="H32" s="668">
        <v>0</v>
      </c>
      <c r="I32" s="668">
        <v>0</v>
      </c>
      <c r="J32" s="667">
        <v>0</v>
      </c>
      <c r="K32" s="667">
        <v>0</v>
      </c>
      <c r="L32" s="667">
        <v>0</v>
      </c>
      <c r="M32" s="667">
        <v>4832411</v>
      </c>
      <c r="N32" s="668">
        <v>521344</v>
      </c>
      <c r="O32" s="668">
        <v>0</v>
      </c>
      <c r="P32" s="668">
        <v>24348</v>
      </c>
      <c r="Q32" s="667">
        <v>5378103</v>
      </c>
      <c r="R32" s="667">
        <v>0</v>
      </c>
      <c r="S32" s="668">
        <v>0</v>
      </c>
      <c r="T32" s="667">
        <v>0</v>
      </c>
      <c r="U32" s="667">
        <v>0</v>
      </c>
      <c r="V32" s="669">
        <v>0</v>
      </c>
      <c r="W32"/>
      <c r="X32"/>
      <c r="Y32" s="62"/>
      <c r="Z32" s="62"/>
    </row>
    <row r="33" spans="1:26" s="77" customFormat="1" ht="15.75">
      <c r="A33" s="676"/>
      <c r="B33" s="668" t="s">
        <v>528</v>
      </c>
      <c r="C33" s="668">
        <v>0</v>
      </c>
      <c r="D33" s="668">
        <v>0</v>
      </c>
      <c r="E33" s="668">
        <v>0</v>
      </c>
      <c r="F33" s="668">
        <v>0</v>
      </c>
      <c r="G33" s="668">
        <v>0</v>
      </c>
      <c r="H33" s="668">
        <v>0</v>
      </c>
      <c r="I33" s="668">
        <v>0</v>
      </c>
      <c r="J33" s="667">
        <v>0</v>
      </c>
      <c r="K33" s="667">
        <v>0</v>
      </c>
      <c r="L33" s="667">
        <v>0</v>
      </c>
      <c r="M33" s="667">
        <v>5028524</v>
      </c>
      <c r="N33" s="668">
        <v>580536</v>
      </c>
      <c r="O33" s="668">
        <v>0</v>
      </c>
      <c r="P33" s="668">
        <v>25842</v>
      </c>
      <c r="Q33" s="667">
        <v>5634902</v>
      </c>
      <c r="R33" s="667">
        <v>0</v>
      </c>
      <c r="S33" s="668">
        <v>0</v>
      </c>
      <c r="T33" s="667">
        <v>0</v>
      </c>
      <c r="U33" s="667">
        <v>0</v>
      </c>
      <c r="V33" s="669">
        <v>0</v>
      </c>
      <c r="W33"/>
      <c r="X33"/>
      <c r="Y33" s="62"/>
      <c r="Z33" s="62"/>
    </row>
    <row r="34" spans="1:26" s="77" customFormat="1" ht="15.75">
      <c r="A34" s="676"/>
      <c r="B34" s="668" t="s">
        <v>529</v>
      </c>
      <c r="C34" s="668"/>
      <c r="D34" s="668"/>
      <c r="E34" s="668"/>
      <c r="F34" s="668"/>
      <c r="G34" s="668"/>
      <c r="H34" s="668"/>
      <c r="I34" s="668"/>
      <c r="J34" s="667"/>
      <c r="K34" s="667"/>
      <c r="L34" s="667"/>
      <c r="M34" s="667">
        <v>0</v>
      </c>
      <c r="N34" s="668">
        <v>0</v>
      </c>
      <c r="O34" s="668"/>
      <c r="P34" s="668">
        <v>0</v>
      </c>
      <c r="Q34" s="667">
        <v>0</v>
      </c>
      <c r="R34" s="667"/>
      <c r="S34" s="668"/>
      <c r="T34" s="667"/>
      <c r="U34" s="667">
        <v>0</v>
      </c>
      <c r="V34" s="669">
        <v>0</v>
      </c>
      <c r="W34"/>
      <c r="X34"/>
      <c r="Y34" s="62"/>
      <c r="Z34" s="62"/>
    </row>
    <row r="35" spans="1:26" s="77" customFormat="1" ht="15.75">
      <c r="A35" s="676"/>
      <c r="B35" s="668" t="s">
        <v>530</v>
      </c>
      <c r="C35" s="668"/>
      <c r="D35" s="668"/>
      <c r="E35" s="668"/>
      <c r="F35" s="668"/>
      <c r="G35" s="668"/>
      <c r="H35" s="668"/>
      <c r="I35" s="668"/>
      <c r="J35" s="667"/>
      <c r="K35" s="667"/>
      <c r="L35" s="667"/>
      <c r="M35" s="667">
        <v>0</v>
      </c>
      <c r="N35" s="668">
        <v>0</v>
      </c>
      <c r="O35" s="668"/>
      <c r="P35" s="668">
        <v>0</v>
      </c>
      <c r="Q35" s="667">
        <v>0</v>
      </c>
      <c r="R35" s="667"/>
      <c r="S35" s="668"/>
      <c r="T35" s="667"/>
      <c r="U35" s="667">
        <v>0</v>
      </c>
      <c r="V35" s="669">
        <v>0</v>
      </c>
      <c r="W35"/>
      <c r="X35"/>
      <c r="Y35" s="62"/>
      <c r="Z35" s="62"/>
    </row>
    <row r="36" spans="1:26" s="77" customFormat="1" ht="15.75">
      <c r="A36" s="676"/>
      <c r="B36" s="668" t="s">
        <v>531</v>
      </c>
      <c r="C36" s="668">
        <v>0</v>
      </c>
      <c r="D36" s="668">
        <v>0</v>
      </c>
      <c r="E36" s="668">
        <v>0</v>
      </c>
      <c r="F36" s="668">
        <v>0</v>
      </c>
      <c r="G36" s="668">
        <v>0</v>
      </c>
      <c r="H36" s="668">
        <v>0</v>
      </c>
      <c r="I36" s="668">
        <v>0</v>
      </c>
      <c r="J36" s="667">
        <v>0</v>
      </c>
      <c r="K36" s="667">
        <v>0</v>
      </c>
      <c r="L36" s="667">
        <v>0</v>
      </c>
      <c r="M36" s="667">
        <v>0</v>
      </c>
      <c r="N36" s="668">
        <v>0</v>
      </c>
      <c r="O36" s="668">
        <v>0</v>
      </c>
      <c r="P36" s="668">
        <v>0</v>
      </c>
      <c r="Q36" s="667">
        <v>0</v>
      </c>
      <c r="R36" s="667">
        <v>0</v>
      </c>
      <c r="S36" s="668">
        <v>0</v>
      </c>
      <c r="T36" s="667">
        <v>0</v>
      </c>
      <c r="U36" s="667">
        <v>0</v>
      </c>
      <c r="V36" s="669">
        <v>0</v>
      </c>
      <c r="W36"/>
      <c r="X36"/>
      <c r="Y36" s="62"/>
      <c r="Z36" s="62"/>
    </row>
    <row r="37" spans="1:26" s="77" customFormat="1" ht="15.75">
      <c r="A37" s="678"/>
      <c r="B37" s="668" t="s">
        <v>532</v>
      </c>
      <c r="C37" s="668">
        <v>0</v>
      </c>
      <c r="D37" s="668">
        <v>0</v>
      </c>
      <c r="E37" s="668">
        <v>0</v>
      </c>
      <c r="F37" s="668">
        <v>0</v>
      </c>
      <c r="G37" s="668">
        <v>0</v>
      </c>
      <c r="H37" s="668">
        <v>0</v>
      </c>
      <c r="I37" s="668">
        <v>0</v>
      </c>
      <c r="J37" s="667">
        <v>0</v>
      </c>
      <c r="K37" s="667">
        <v>0</v>
      </c>
      <c r="L37" s="667">
        <v>0</v>
      </c>
      <c r="M37" s="667">
        <v>0</v>
      </c>
      <c r="N37" s="668">
        <v>0</v>
      </c>
      <c r="O37" s="668">
        <v>0</v>
      </c>
      <c r="P37" s="668">
        <v>0</v>
      </c>
      <c r="Q37" s="667">
        <v>0</v>
      </c>
      <c r="R37" s="667">
        <v>0</v>
      </c>
      <c r="S37" s="668">
        <v>0</v>
      </c>
      <c r="T37" s="667">
        <v>0</v>
      </c>
      <c r="U37" s="667">
        <v>0</v>
      </c>
      <c r="V37" s="669">
        <v>0</v>
      </c>
      <c r="W37"/>
      <c r="X37"/>
      <c r="Y37" s="62"/>
      <c r="Z37" s="62"/>
    </row>
    <row r="38" spans="1:26" s="77" customFormat="1" ht="15.75">
      <c r="A38" s="677" t="s">
        <v>141</v>
      </c>
      <c r="B38" s="668" t="s">
        <v>525</v>
      </c>
      <c r="C38" s="665">
        <v>2036165.5</v>
      </c>
      <c r="D38" s="665">
        <v>481969.97</v>
      </c>
      <c r="E38" s="665">
        <v>2138152</v>
      </c>
      <c r="F38" s="665">
        <v>1339602</v>
      </c>
      <c r="G38" s="665">
        <v>358198</v>
      </c>
      <c r="H38" s="665">
        <v>671934</v>
      </c>
      <c r="I38" s="665"/>
      <c r="J38" s="664">
        <v>7026021.4699999997</v>
      </c>
      <c r="K38" s="664"/>
      <c r="L38" s="664"/>
      <c r="M38" s="664">
        <v>276933</v>
      </c>
      <c r="N38" s="665"/>
      <c r="O38" s="665"/>
      <c r="P38" s="665"/>
      <c r="Q38" s="664">
        <v>276933</v>
      </c>
      <c r="R38" s="664">
        <v>1956370.5</v>
      </c>
      <c r="S38" s="665"/>
      <c r="T38" s="664">
        <v>1956370.5</v>
      </c>
      <c r="U38" s="664"/>
      <c r="V38" s="666"/>
      <c r="W38"/>
      <c r="X38"/>
      <c r="Y38" s="62"/>
      <c r="Z38" s="62"/>
    </row>
    <row r="39" spans="1:26" s="77" customFormat="1" ht="15.75">
      <c r="A39" s="676"/>
      <c r="B39" s="668" t="s">
        <v>526</v>
      </c>
      <c r="C39" s="668">
        <v>1943252.5</v>
      </c>
      <c r="D39" s="668">
        <v>479302</v>
      </c>
      <c r="E39" s="668">
        <v>2147636</v>
      </c>
      <c r="F39" s="668">
        <v>1269195.5</v>
      </c>
      <c r="G39" s="668">
        <v>338671</v>
      </c>
      <c r="H39" s="668">
        <v>619916</v>
      </c>
      <c r="I39" s="668"/>
      <c r="J39" s="667">
        <v>6797973</v>
      </c>
      <c r="K39" s="667"/>
      <c r="L39" s="667"/>
      <c r="M39" s="667">
        <v>237728</v>
      </c>
      <c r="N39" s="668"/>
      <c r="O39" s="668"/>
      <c r="P39" s="668"/>
      <c r="Q39" s="667">
        <v>237728</v>
      </c>
      <c r="R39" s="667">
        <v>1811553.5</v>
      </c>
      <c r="S39" s="668"/>
      <c r="T39" s="667">
        <v>1811553.5</v>
      </c>
      <c r="U39" s="667"/>
      <c r="V39" s="669"/>
      <c r="W39"/>
      <c r="X39"/>
      <c r="Y39" s="62"/>
      <c r="Z39" s="62"/>
    </row>
    <row r="40" spans="1:26" s="77" customFormat="1" ht="15.75">
      <c r="A40" s="676"/>
      <c r="B40" s="668" t="s">
        <v>527</v>
      </c>
      <c r="C40" s="668">
        <v>857281</v>
      </c>
      <c r="D40" s="668">
        <v>274488</v>
      </c>
      <c r="E40" s="668">
        <v>1049946</v>
      </c>
      <c r="F40" s="668">
        <v>526811</v>
      </c>
      <c r="G40" s="668">
        <v>167798</v>
      </c>
      <c r="H40" s="668">
        <v>249310</v>
      </c>
      <c r="I40" s="668">
        <v>0</v>
      </c>
      <c r="J40" s="667">
        <v>3125634</v>
      </c>
      <c r="K40" s="667">
        <v>0</v>
      </c>
      <c r="L40" s="667">
        <v>0</v>
      </c>
      <c r="M40" s="667">
        <v>144634</v>
      </c>
      <c r="N40" s="668">
        <v>0</v>
      </c>
      <c r="O40" s="668">
        <v>0</v>
      </c>
      <c r="P40" s="668">
        <v>0</v>
      </c>
      <c r="Q40" s="667">
        <v>144634</v>
      </c>
      <c r="R40" s="667">
        <v>1090357</v>
      </c>
      <c r="S40" s="668">
        <v>0</v>
      </c>
      <c r="T40" s="667">
        <v>1090357</v>
      </c>
      <c r="U40" s="667">
        <v>0</v>
      </c>
      <c r="V40" s="669">
        <v>0</v>
      </c>
      <c r="W40"/>
      <c r="X40"/>
      <c r="Y40" s="62"/>
      <c r="Z40" s="62"/>
    </row>
    <row r="41" spans="1:26" s="77" customFormat="1" ht="15.75">
      <c r="A41" s="676"/>
      <c r="B41" s="668" t="s">
        <v>528</v>
      </c>
      <c r="C41" s="668">
        <v>870764.5</v>
      </c>
      <c r="D41" s="668">
        <v>276374</v>
      </c>
      <c r="E41" s="668">
        <v>1028183</v>
      </c>
      <c r="F41" s="668">
        <v>539017</v>
      </c>
      <c r="G41" s="668">
        <v>167569</v>
      </c>
      <c r="H41" s="668">
        <v>247397</v>
      </c>
      <c r="I41" s="668">
        <v>0</v>
      </c>
      <c r="J41" s="667">
        <v>3129304.5</v>
      </c>
      <c r="K41" s="667">
        <v>0</v>
      </c>
      <c r="L41" s="667">
        <v>0</v>
      </c>
      <c r="M41" s="667">
        <v>147094</v>
      </c>
      <c r="N41" s="668">
        <v>0</v>
      </c>
      <c r="O41" s="668">
        <v>0</v>
      </c>
      <c r="P41" s="668">
        <v>0</v>
      </c>
      <c r="Q41" s="667">
        <v>147094</v>
      </c>
      <c r="R41" s="667">
        <v>1084016</v>
      </c>
      <c r="S41" s="668">
        <v>0</v>
      </c>
      <c r="T41" s="667">
        <v>1084016</v>
      </c>
      <c r="U41" s="667">
        <v>0</v>
      </c>
      <c r="V41" s="669">
        <v>0</v>
      </c>
      <c r="W41"/>
      <c r="X41"/>
      <c r="Y41" s="62"/>
      <c r="Z41" s="62"/>
    </row>
    <row r="42" spans="1:26" s="77" customFormat="1" ht="15.75">
      <c r="A42" s="676"/>
      <c r="B42" s="668" t="s">
        <v>529</v>
      </c>
      <c r="C42" s="668">
        <v>510578.9</v>
      </c>
      <c r="D42" s="668">
        <v>402738.5</v>
      </c>
      <c r="E42" s="668">
        <v>227914</v>
      </c>
      <c r="F42" s="668">
        <v>305038</v>
      </c>
      <c r="G42" s="668">
        <v>16163</v>
      </c>
      <c r="H42" s="668">
        <v>0</v>
      </c>
      <c r="I42" s="668"/>
      <c r="J42" s="667">
        <v>1462432.4</v>
      </c>
      <c r="K42" s="667"/>
      <c r="L42" s="667"/>
      <c r="M42" s="667">
        <v>0</v>
      </c>
      <c r="N42" s="668"/>
      <c r="O42" s="668"/>
      <c r="P42" s="668"/>
      <c r="Q42" s="667">
        <v>0</v>
      </c>
      <c r="R42" s="667">
        <v>0</v>
      </c>
      <c r="S42" s="668"/>
      <c r="T42" s="667">
        <v>0</v>
      </c>
      <c r="U42" s="667"/>
      <c r="V42" s="669"/>
      <c r="W42"/>
      <c r="X42"/>
      <c r="Y42" s="62"/>
      <c r="Z42" s="62"/>
    </row>
    <row r="43" spans="1:26" s="77" customFormat="1" ht="15.75">
      <c r="A43" s="676"/>
      <c r="B43" s="668" t="s">
        <v>530</v>
      </c>
      <c r="C43" s="668">
        <v>517364.70999999996</v>
      </c>
      <c r="D43" s="668">
        <v>441715</v>
      </c>
      <c r="E43" s="668">
        <v>242517</v>
      </c>
      <c r="F43" s="668">
        <v>331926</v>
      </c>
      <c r="G43" s="668">
        <v>17072</v>
      </c>
      <c r="H43" s="668">
        <v>0</v>
      </c>
      <c r="I43" s="668"/>
      <c r="J43" s="667">
        <v>1550594.71</v>
      </c>
      <c r="K43" s="667"/>
      <c r="L43" s="667"/>
      <c r="M43" s="667">
        <v>0</v>
      </c>
      <c r="N43" s="668"/>
      <c r="O43" s="668"/>
      <c r="P43" s="668"/>
      <c r="Q43" s="667">
        <v>0</v>
      </c>
      <c r="R43" s="667">
        <v>0</v>
      </c>
      <c r="S43" s="668"/>
      <c r="T43" s="667">
        <v>0</v>
      </c>
      <c r="U43" s="667"/>
      <c r="V43" s="669"/>
      <c r="W43"/>
      <c r="X43"/>
      <c r="Y43" s="62"/>
      <c r="Z43" s="62"/>
    </row>
    <row r="44" spans="1:26" s="77" customFormat="1" ht="15.75">
      <c r="A44" s="676"/>
      <c r="B44" s="668" t="s">
        <v>531</v>
      </c>
      <c r="C44" s="668">
        <v>163266.70000000001</v>
      </c>
      <c r="D44" s="668">
        <v>243333.5</v>
      </c>
      <c r="E44" s="668">
        <v>180275</v>
      </c>
      <c r="F44" s="668">
        <v>120134</v>
      </c>
      <c r="G44" s="668">
        <v>10707</v>
      </c>
      <c r="H44" s="668">
        <v>0</v>
      </c>
      <c r="I44" s="668">
        <v>0</v>
      </c>
      <c r="J44" s="667">
        <v>717716.2</v>
      </c>
      <c r="K44" s="667">
        <v>0</v>
      </c>
      <c r="L44" s="667">
        <v>0</v>
      </c>
      <c r="M44" s="667">
        <v>0</v>
      </c>
      <c r="N44" s="668">
        <v>0</v>
      </c>
      <c r="O44" s="668">
        <v>0</v>
      </c>
      <c r="P44" s="668">
        <v>0</v>
      </c>
      <c r="Q44" s="667">
        <v>0</v>
      </c>
      <c r="R44" s="667">
        <v>0</v>
      </c>
      <c r="S44" s="668">
        <v>0</v>
      </c>
      <c r="T44" s="667">
        <v>0</v>
      </c>
      <c r="U44" s="667">
        <v>0</v>
      </c>
      <c r="V44" s="669">
        <v>0</v>
      </c>
      <c r="W44"/>
      <c r="X44"/>
      <c r="Y44" s="62"/>
      <c r="Z44" s="62"/>
    </row>
    <row r="45" spans="1:26" s="77" customFormat="1" ht="15.75">
      <c r="A45" s="678"/>
      <c r="B45" s="668" t="s">
        <v>532</v>
      </c>
      <c r="C45" s="668">
        <v>119652</v>
      </c>
      <c r="D45" s="668">
        <v>238342</v>
      </c>
      <c r="E45" s="668">
        <v>189785</v>
      </c>
      <c r="F45" s="668">
        <v>127561</v>
      </c>
      <c r="G45" s="668">
        <v>12220</v>
      </c>
      <c r="H45" s="668">
        <v>0</v>
      </c>
      <c r="I45" s="668">
        <v>0</v>
      </c>
      <c r="J45" s="667">
        <v>687560</v>
      </c>
      <c r="K45" s="667">
        <v>0</v>
      </c>
      <c r="L45" s="667">
        <v>0</v>
      </c>
      <c r="M45" s="667">
        <v>0</v>
      </c>
      <c r="N45" s="668">
        <v>0</v>
      </c>
      <c r="O45" s="668">
        <v>0</v>
      </c>
      <c r="P45" s="668">
        <v>0</v>
      </c>
      <c r="Q45" s="667">
        <v>0</v>
      </c>
      <c r="R45" s="667">
        <v>0</v>
      </c>
      <c r="S45" s="668">
        <v>0</v>
      </c>
      <c r="T45" s="667">
        <v>0</v>
      </c>
      <c r="U45" s="667">
        <v>0</v>
      </c>
      <c r="V45" s="669">
        <v>0</v>
      </c>
      <c r="W45"/>
      <c r="X45"/>
      <c r="Y45" s="62"/>
      <c r="Z45" s="62"/>
    </row>
    <row r="46" spans="1:26" s="77" customFormat="1" ht="15.75">
      <c r="A46" s="665" t="s">
        <v>188</v>
      </c>
      <c r="B46" s="668" t="s">
        <v>525</v>
      </c>
      <c r="C46" s="665">
        <v>996378</v>
      </c>
      <c r="D46" s="665"/>
      <c r="E46" s="665">
        <v>1428500</v>
      </c>
      <c r="F46" s="665">
        <v>51840</v>
      </c>
      <c r="G46" s="665"/>
      <c r="H46" s="665"/>
      <c r="I46" s="665"/>
      <c r="J46" s="664">
        <v>2476718</v>
      </c>
      <c r="K46" s="664"/>
      <c r="L46" s="664"/>
      <c r="M46" s="664"/>
      <c r="N46" s="665">
        <v>390784</v>
      </c>
      <c r="O46" s="665">
        <v>412388</v>
      </c>
      <c r="P46" s="665">
        <v>323150</v>
      </c>
      <c r="Q46" s="664">
        <v>1126322</v>
      </c>
      <c r="R46" s="664">
        <v>151220</v>
      </c>
      <c r="S46" s="665"/>
      <c r="T46" s="664">
        <v>151220</v>
      </c>
      <c r="U46" s="664"/>
      <c r="V46" s="666"/>
      <c r="W46"/>
      <c r="X46"/>
      <c r="Y46" s="62"/>
      <c r="Z46" s="62"/>
    </row>
    <row r="47" spans="1:26" s="77" customFormat="1" ht="15.75">
      <c r="A47" s="676"/>
      <c r="B47" s="668" t="s">
        <v>526</v>
      </c>
      <c r="C47" s="668">
        <v>969895</v>
      </c>
      <c r="D47" s="668"/>
      <c r="E47" s="668">
        <v>1360238</v>
      </c>
      <c r="F47" s="668">
        <v>50944</v>
      </c>
      <c r="G47" s="668"/>
      <c r="H47" s="668"/>
      <c r="I47" s="668"/>
      <c r="J47" s="667">
        <v>2381077</v>
      </c>
      <c r="K47" s="667"/>
      <c r="L47" s="667"/>
      <c r="M47" s="667"/>
      <c r="N47" s="668">
        <v>284657</v>
      </c>
      <c r="O47" s="668">
        <v>286176</v>
      </c>
      <c r="P47" s="668">
        <v>218232</v>
      </c>
      <c r="Q47" s="667">
        <v>789065</v>
      </c>
      <c r="R47" s="667">
        <v>129801</v>
      </c>
      <c r="S47" s="668"/>
      <c r="T47" s="667">
        <v>129801</v>
      </c>
      <c r="U47" s="667"/>
      <c r="V47" s="669"/>
      <c r="W47"/>
      <c r="X47"/>
      <c r="Y47" s="62"/>
      <c r="Z47" s="62"/>
    </row>
    <row r="48" spans="1:26" s="77" customFormat="1" ht="15.75">
      <c r="A48" s="676"/>
      <c r="B48" s="668" t="s">
        <v>527</v>
      </c>
      <c r="C48" s="668">
        <v>390743</v>
      </c>
      <c r="D48" s="668">
        <v>0</v>
      </c>
      <c r="E48" s="668">
        <v>516956</v>
      </c>
      <c r="F48" s="668">
        <v>18791</v>
      </c>
      <c r="G48" s="668">
        <v>0</v>
      </c>
      <c r="H48" s="668">
        <v>0</v>
      </c>
      <c r="I48" s="668">
        <v>0</v>
      </c>
      <c r="J48" s="667">
        <v>926490</v>
      </c>
      <c r="K48" s="667">
        <v>0</v>
      </c>
      <c r="L48" s="667">
        <v>0</v>
      </c>
      <c r="M48" s="667">
        <v>0</v>
      </c>
      <c r="N48" s="668">
        <v>182379</v>
      </c>
      <c r="O48" s="668">
        <v>218484</v>
      </c>
      <c r="P48" s="668">
        <v>178333</v>
      </c>
      <c r="Q48" s="667">
        <v>579196</v>
      </c>
      <c r="R48" s="667">
        <v>65903</v>
      </c>
      <c r="S48" s="668">
        <v>0</v>
      </c>
      <c r="T48" s="667">
        <v>65903</v>
      </c>
      <c r="U48" s="667">
        <v>0</v>
      </c>
      <c r="V48" s="669">
        <v>0</v>
      </c>
      <c r="W48"/>
      <c r="X48"/>
      <c r="Y48" s="62"/>
      <c r="Z48" s="62"/>
    </row>
    <row r="49" spans="1:26" s="77" customFormat="1" ht="15.75">
      <c r="A49" s="676"/>
      <c r="B49" s="668" t="s">
        <v>528</v>
      </c>
      <c r="C49" s="668">
        <v>449968</v>
      </c>
      <c r="D49" s="668">
        <v>0</v>
      </c>
      <c r="E49" s="668">
        <v>585725</v>
      </c>
      <c r="F49" s="668">
        <v>33873</v>
      </c>
      <c r="G49" s="668">
        <v>0</v>
      </c>
      <c r="H49" s="668">
        <v>0</v>
      </c>
      <c r="I49" s="668">
        <v>0</v>
      </c>
      <c r="J49" s="667">
        <v>1069566</v>
      </c>
      <c r="K49" s="667">
        <v>0</v>
      </c>
      <c r="L49" s="667">
        <v>0</v>
      </c>
      <c r="M49" s="667">
        <v>0</v>
      </c>
      <c r="N49" s="668">
        <v>119129</v>
      </c>
      <c r="O49" s="668">
        <v>125439</v>
      </c>
      <c r="P49" s="668">
        <v>103579</v>
      </c>
      <c r="Q49" s="667">
        <v>348147</v>
      </c>
      <c r="R49" s="667">
        <v>59440</v>
      </c>
      <c r="S49" s="668">
        <v>0</v>
      </c>
      <c r="T49" s="667">
        <v>59440</v>
      </c>
      <c r="U49" s="667">
        <v>0</v>
      </c>
      <c r="V49" s="669">
        <v>0</v>
      </c>
      <c r="W49"/>
      <c r="X49"/>
      <c r="Y49" s="62"/>
      <c r="Z49" s="62"/>
    </row>
    <row r="50" spans="1:26" s="77" customFormat="1" ht="15.75">
      <c r="A50" s="676"/>
      <c r="B50" s="668" t="s">
        <v>529</v>
      </c>
      <c r="C50" s="668">
        <v>169518</v>
      </c>
      <c r="D50" s="668"/>
      <c r="E50" s="668">
        <v>185364</v>
      </c>
      <c r="F50" s="668">
        <v>1914</v>
      </c>
      <c r="G50" s="668"/>
      <c r="H50" s="668"/>
      <c r="I50" s="668"/>
      <c r="J50" s="667">
        <v>356796</v>
      </c>
      <c r="K50" s="667"/>
      <c r="L50" s="667"/>
      <c r="M50" s="667"/>
      <c r="N50" s="668">
        <v>0</v>
      </c>
      <c r="O50" s="668">
        <v>0</v>
      </c>
      <c r="P50" s="668">
        <v>0</v>
      </c>
      <c r="Q50" s="667">
        <v>0</v>
      </c>
      <c r="R50" s="667">
        <v>0</v>
      </c>
      <c r="S50" s="668"/>
      <c r="T50" s="667">
        <v>0</v>
      </c>
      <c r="U50" s="667"/>
      <c r="V50" s="669"/>
      <c r="W50"/>
      <c r="X50"/>
      <c r="Y50" s="62"/>
      <c r="Z50" s="62"/>
    </row>
    <row r="51" spans="1:26" s="77" customFormat="1" ht="15.75">
      <c r="A51" s="676"/>
      <c r="B51" s="668" t="s">
        <v>530</v>
      </c>
      <c r="C51" s="668">
        <v>194828</v>
      </c>
      <c r="D51" s="668"/>
      <c r="E51" s="668">
        <v>193569</v>
      </c>
      <c r="F51" s="668">
        <v>1977</v>
      </c>
      <c r="G51" s="668"/>
      <c r="H51" s="668"/>
      <c r="I51" s="668"/>
      <c r="J51" s="667">
        <v>390374</v>
      </c>
      <c r="K51" s="667"/>
      <c r="L51" s="667"/>
      <c r="M51" s="667"/>
      <c r="N51" s="668">
        <v>0</v>
      </c>
      <c r="O51" s="668">
        <v>0</v>
      </c>
      <c r="P51" s="668">
        <v>0</v>
      </c>
      <c r="Q51" s="667">
        <v>0</v>
      </c>
      <c r="R51" s="667">
        <v>0</v>
      </c>
      <c r="S51" s="668"/>
      <c r="T51" s="667">
        <v>0</v>
      </c>
      <c r="U51" s="667"/>
      <c r="V51" s="669"/>
      <c r="W51"/>
      <c r="X51"/>
      <c r="Y51" s="62"/>
      <c r="Z51" s="62"/>
    </row>
    <row r="52" spans="1:26" s="77" customFormat="1" ht="15.75">
      <c r="A52" s="676"/>
      <c r="B52" s="668" t="s">
        <v>531</v>
      </c>
      <c r="C52" s="668">
        <v>87901</v>
      </c>
      <c r="D52" s="668">
        <v>0</v>
      </c>
      <c r="E52" s="668">
        <v>133878</v>
      </c>
      <c r="F52" s="668">
        <v>819</v>
      </c>
      <c r="G52" s="668">
        <v>0</v>
      </c>
      <c r="H52" s="668">
        <v>0</v>
      </c>
      <c r="I52" s="668">
        <v>0</v>
      </c>
      <c r="J52" s="667">
        <v>222598</v>
      </c>
      <c r="K52" s="667">
        <v>0</v>
      </c>
      <c r="L52" s="667">
        <v>0</v>
      </c>
      <c r="M52" s="667">
        <v>0</v>
      </c>
      <c r="N52" s="668">
        <v>0</v>
      </c>
      <c r="O52" s="668">
        <v>0</v>
      </c>
      <c r="P52" s="668">
        <v>0</v>
      </c>
      <c r="Q52" s="667">
        <v>0</v>
      </c>
      <c r="R52" s="667">
        <v>0</v>
      </c>
      <c r="S52" s="668">
        <v>0</v>
      </c>
      <c r="T52" s="667">
        <v>0</v>
      </c>
      <c r="U52" s="667">
        <v>0</v>
      </c>
      <c r="V52" s="669">
        <v>0</v>
      </c>
      <c r="W52"/>
      <c r="X52"/>
      <c r="Y52" s="62"/>
      <c r="Z52" s="62"/>
    </row>
    <row r="53" spans="1:26" s="77" customFormat="1" ht="15.75">
      <c r="A53" s="678"/>
      <c r="B53" s="668" t="s">
        <v>532</v>
      </c>
      <c r="C53" s="668">
        <v>112368</v>
      </c>
      <c r="D53" s="668">
        <v>0</v>
      </c>
      <c r="E53" s="668">
        <v>144177.5</v>
      </c>
      <c r="F53" s="668">
        <v>1338</v>
      </c>
      <c r="G53" s="668">
        <v>0</v>
      </c>
      <c r="H53" s="668">
        <v>0</v>
      </c>
      <c r="I53" s="668">
        <v>0</v>
      </c>
      <c r="J53" s="667">
        <v>257883.5</v>
      </c>
      <c r="K53" s="667">
        <v>0</v>
      </c>
      <c r="L53" s="667">
        <v>0</v>
      </c>
      <c r="M53" s="667">
        <v>0</v>
      </c>
      <c r="N53" s="668">
        <v>0</v>
      </c>
      <c r="O53" s="668">
        <v>0</v>
      </c>
      <c r="P53" s="668">
        <v>0</v>
      </c>
      <c r="Q53" s="667">
        <v>0</v>
      </c>
      <c r="R53" s="667">
        <v>0</v>
      </c>
      <c r="S53" s="668">
        <v>0</v>
      </c>
      <c r="T53" s="667">
        <v>0</v>
      </c>
      <c r="U53" s="667">
        <v>0</v>
      </c>
      <c r="V53" s="669">
        <v>0</v>
      </c>
      <c r="W53"/>
      <c r="X53"/>
      <c r="Y53" s="62"/>
      <c r="Z53" s="62"/>
    </row>
    <row r="54" spans="1:26" s="77" customFormat="1" ht="15.75">
      <c r="A54" s="665" t="s">
        <v>213</v>
      </c>
      <c r="B54" s="668" t="s">
        <v>525</v>
      </c>
      <c r="C54" s="665">
        <v>745363</v>
      </c>
      <c r="D54" s="665">
        <v>795412</v>
      </c>
      <c r="E54" s="665">
        <v>839447.9999999993</v>
      </c>
      <c r="F54" s="665">
        <v>586975</v>
      </c>
      <c r="G54" s="665">
        <v>41596</v>
      </c>
      <c r="H54" s="665">
        <v>80535</v>
      </c>
      <c r="I54" s="665">
        <v>0</v>
      </c>
      <c r="J54" s="664">
        <v>3089328.9999999991</v>
      </c>
      <c r="K54" s="664"/>
      <c r="L54" s="664"/>
      <c r="M54" s="664"/>
      <c r="N54" s="665">
        <v>430515</v>
      </c>
      <c r="O54" s="665">
        <v>476165</v>
      </c>
      <c r="P54" s="665">
        <v>103171</v>
      </c>
      <c r="Q54" s="664">
        <v>1009851</v>
      </c>
      <c r="R54" s="664">
        <v>222545</v>
      </c>
      <c r="S54" s="665">
        <v>22823</v>
      </c>
      <c r="T54" s="664">
        <v>245368</v>
      </c>
      <c r="U54" s="664"/>
      <c r="V54" s="666"/>
      <c r="W54"/>
      <c r="X54"/>
      <c r="Y54" s="62"/>
      <c r="Z54" s="62"/>
    </row>
    <row r="55" spans="1:26" s="77" customFormat="1" ht="15.75">
      <c r="A55" s="676"/>
      <c r="B55" s="668" t="s">
        <v>526</v>
      </c>
      <c r="C55" s="668">
        <v>790236</v>
      </c>
      <c r="D55" s="668">
        <v>762404.0000000007</v>
      </c>
      <c r="E55" s="668">
        <v>796136.00000000047</v>
      </c>
      <c r="F55" s="668">
        <v>568392.00000000012</v>
      </c>
      <c r="G55" s="668">
        <v>36080</v>
      </c>
      <c r="H55" s="668">
        <v>88467</v>
      </c>
      <c r="I55" s="668">
        <v>0</v>
      </c>
      <c r="J55" s="667">
        <v>3041715.0000000009</v>
      </c>
      <c r="K55" s="667"/>
      <c r="L55" s="667"/>
      <c r="M55" s="667"/>
      <c r="N55" s="668">
        <v>404262.99999999971</v>
      </c>
      <c r="O55" s="668">
        <v>439471</v>
      </c>
      <c r="P55" s="668">
        <v>89282</v>
      </c>
      <c r="Q55" s="667">
        <v>933015.99999999977</v>
      </c>
      <c r="R55" s="667">
        <v>204878</v>
      </c>
      <c r="S55" s="668">
        <v>20536.000000000007</v>
      </c>
      <c r="T55" s="667">
        <v>225414</v>
      </c>
      <c r="U55" s="667"/>
      <c r="V55" s="669"/>
      <c r="W55"/>
      <c r="X55"/>
      <c r="Y55" s="62"/>
      <c r="Z55" s="62"/>
    </row>
    <row r="56" spans="1:26" s="77" customFormat="1" ht="15.75">
      <c r="A56" s="676"/>
      <c r="B56" s="668" t="s">
        <v>527</v>
      </c>
      <c r="C56" s="668">
        <v>244279.40988299699</v>
      </c>
      <c r="D56" s="668">
        <v>222425.97434551641</v>
      </c>
      <c r="E56" s="668">
        <v>335432.53971201892</v>
      </c>
      <c r="F56" s="668">
        <v>287338.20759294071</v>
      </c>
      <c r="G56" s="668">
        <v>41596</v>
      </c>
      <c r="H56" s="668">
        <v>39002.3908045977</v>
      </c>
      <c r="I56" s="668">
        <v>0</v>
      </c>
      <c r="J56" s="667">
        <v>1170074.5223380707</v>
      </c>
      <c r="K56" s="667">
        <v>0</v>
      </c>
      <c r="L56" s="667">
        <v>0</v>
      </c>
      <c r="M56" s="667">
        <v>0</v>
      </c>
      <c r="N56" s="668">
        <v>240471.1560552216</v>
      </c>
      <c r="O56" s="668">
        <v>228954.14050504399</v>
      </c>
      <c r="P56" s="668">
        <v>47208.8405226588</v>
      </c>
      <c r="Q56" s="667">
        <v>516634.13708292437</v>
      </c>
      <c r="R56" s="667">
        <v>68705.088199322898</v>
      </c>
      <c r="S56" s="668">
        <v>1964.8940397351</v>
      </c>
      <c r="T56" s="667">
        <v>70669.982239057994</v>
      </c>
      <c r="U56" s="667">
        <v>0</v>
      </c>
      <c r="V56" s="669">
        <v>0</v>
      </c>
      <c r="W56"/>
      <c r="X56"/>
      <c r="Y56" s="62"/>
      <c r="Z56" s="62"/>
    </row>
    <row r="57" spans="1:26" s="77" customFormat="1" ht="15.75">
      <c r="A57" s="676"/>
      <c r="B57" s="668" t="s">
        <v>528</v>
      </c>
      <c r="C57" s="668">
        <v>283512.59377608198</v>
      </c>
      <c r="D57" s="668">
        <v>275569.5980476102</v>
      </c>
      <c r="E57" s="668">
        <v>238753.18359789456</v>
      </c>
      <c r="F57" s="668">
        <v>303250.86201895133</v>
      </c>
      <c r="G57" s="668">
        <v>36080</v>
      </c>
      <c r="H57" s="668">
        <v>47796.380699088098</v>
      </c>
      <c r="I57" s="668">
        <v>0</v>
      </c>
      <c r="J57" s="667">
        <v>1184962.618139626</v>
      </c>
      <c r="K57" s="667">
        <v>0</v>
      </c>
      <c r="L57" s="667">
        <v>0</v>
      </c>
      <c r="M57" s="667">
        <v>0</v>
      </c>
      <c r="N57" s="668">
        <v>271406.37318934099</v>
      </c>
      <c r="O57" s="668">
        <v>233389.97918793201</v>
      </c>
      <c r="P57" s="668">
        <v>43174.3604809709</v>
      </c>
      <c r="Q57" s="667">
        <v>547970.71285824385</v>
      </c>
      <c r="R57" s="667">
        <v>73968.779208558</v>
      </c>
      <c r="S57" s="668">
        <v>905.35053763440897</v>
      </c>
      <c r="T57" s="667">
        <v>74874.129746192411</v>
      </c>
      <c r="U57" s="667">
        <v>0</v>
      </c>
      <c r="V57" s="669">
        <v>0</v>
      </c>
      <c r="W57"/>
      <c r="X57"/>
      <c r="Y57" s="62"/>
      <c r="Z57" s="62"/>
    </row>
    <row r="58" spans="1:26" s="77" customFormat="1" ht="15.75">
      <c r="A58" s="676"/>
      <c r="B58" s="668" t="s">
        <v>529</v>
      </c>
      <c r="C58" s="668">
        <v>150237.00000000041</v>
      </c>
      <c r="D58" s="668">
        <v>86146.999999999971</v>
      </c>
      <c r="E58" s="668">
        <v>84497.999999999971</v>
      </c>
      <c r="F58" s="668">
        <v>167952.00000000003</v>
      </c>
      <c r="G58" s="668">
        <v>7039</v>
      </c>
      <c r="H58" s="668">
        <v>0</v>
      </c>
      <c r="I58" s="668">
        <v>21220.000000000051</v>
      </c>
      <c r="J58" s="667">
        <v>517093.00000000041</v>
      </c>
      <c r="K58" s="667"/>
      <c r="L58" s="667"/>
      <c r="M58" s="667"/>
      <c r="N58" s="668">
        <v>0</v>
      </c>
      <c r="O58" s="668">
        <v>0</v>
      </c>
      <c r="P58" s="668">
        <v>0</v>
      </c>
      <c r="Q58" s="667">
        <v>0</v>
      </c>
      <c r="R58" s="667">
        <v>0</v>
      </c>
      <c r="S58" s="668">
        <v>0</v>
      </c>
      <c r="T58" s="667">
        <v>0</v>
      </c>
      <c r="U58" s="667"/>
      <c r="V58" s="669"/>
      <c r="W58"/>
      <c r="X58"/>
      <c r="Y58" s="62"/>
      <c r="Z58" s="62"/>
    </row>
    <row r="59" spans="1:26" s="77" customFormat="1" ht="15.75">
      <c r="A59" s="676"/>
      <c r="B59" s="668" t="s">
        <v>530</v>
      </c>
      <c r="C59" s="668">
        <v>161972.49999999959</v>
      </c>
      <c r="D59" s="668">
        <v>84752</v>
      </c>
      <c r="E59" s="668">
        <v>99072.999999999971</v>
      </c>
      <c r="F59" s="668">
        <v>166716.99999999953</v>
      </c>
      <c r="G59" s="668">
        <v>6099</v>
      </c>
      <c r="H59" s="668">
        <v>0</v>
      </c>
      <c r="I59" s="668">
        <v>0</v>
      </c>
      <c r="J59" s="667">
        <v>518613.49999999907</v>
      </c>
      <c r="K59" s="667"/>
      <c r="L59" s="667"/>
      <c r="M59" s="667"/>
      <c r="N59" s="668">
        <v>0</v>
      </c>
      <c r="O59" s="668">
        <v>0</v>
      </c>
      <c r="P59" s="668">
        <v>0</v>
      </c>
      <c r="Q59" s="667">
        <v>0</v>
      </c>
      <c r="R59" s="667">
        <v>0</v>
      </c>
      <c r="S59" s="668">
        <v>0</v>
      </c>
      <c r="T59" s="667">
        <v>0</v>
      </c>
      <c r="U59" s="667"/>
      <c r="V59" s="669"/>
      <c r="W59"/>
      <c r="X59"/>
      <c r="Y59" s="62"/>
      <c r="Z59" s="62"/>
    </row>
    <row r="60" spans="1:26" s="77" customFormat="1" ht="15.75">
      <c r="A60" s="676"/>
      <c r="B60" s="668" t="s">
        <v>531</v>
      </c>
      <c r="C60" s="668">
        <v>28396.244565217399</v>
      </c>
      <c r="D60" s="668">
        <v>25215.248722302371</v>
      </c>
      <c r="E60" s="668">
        <v>50510.734606126061</v>
      </c>
      <c r="F60" s="668">
        <v>129751.39166646279</v>
      </c>
      <c r="G60" s="668">
        <v>7039</v>
      </c>
      <c r="H60" s="668">
        <v>0</v>
      </c>
      <c r="I60" s="668">
        <v>1496.84647302905</v>
      </c>
      <c r="J60" s="667">
        <v>242409.46603313767</v>
      </c>
      <c r="K60" s="667">
        <v>0</v>
      </c>
      <c r="L60" s="667">
        <v>0</v>
      </c>
      <c r="M60" s="667">
        <v>0</v>
      </c>
      <c r="N60" s="668">
        <v>0</v>
      </c>
      <c r="O60" s="668">
        <v>0</v>
      </c>
      <c r="P60" s="668">
        <v>0</v>
      </c>
      <c r="Q60" s="667">
        <v>0</v>
      </c>
      <c r="R60" s="667">
        <v>0</v>
      </c>
      <c r="S60" s="668">
        <v>0</v>
      </c>
      <c r="T60" s="667">
        <v>0</v>
      </c>
      <c r="U60" s="667">
        <v>0</v>
      </c>
      <c r="V60" s="669">
        <v>0</v>
      </c>
      <c r="W60"/>
      <c r="X60"/>
      <c r="Y60" s="62"/>
      <c r="Z60" s="62"/>
    </row>
    <row r="61" spans="1:26" s="77" customFormat="1" ht="15.75">
      <c r="A61" s="676"/>
      <c r="B61" s="668" t="s">
        <v>532</v>
      </c>
      <c r="C61" s="668">
        <v>33385.080801238597</v>
      </c>
      <c r="D61" s="668">
        <v>30449.227356733827</v>
      </c>
      <c r="E61" s="668">
        <v>45176.082241042794</v>
      </c>
      <c r="F61" s="668">
        <v>137074.12553183193</v>
      </c>
      <c r="G61" s="668">
        <v>6099</v>
      </c>
      <c r="H61" s="668">
        <v>0</v>
      </c>
      <c r="I61" s="668">
        <v>0</v>
      </c>
      <c r="J61" s="667">
        <v>252183.51593084718</v>
      </c>
      <c r="K61" s="667">
        <v>0</v>
      </c>
      <c r="L61" s="667">
        <v>0</v>
      </c>
      <c r="M61" s="667">
        <v>0</v>
      </c>
      <c r="N61" s="668">
        <v>0</v>
      </c>
      <c r="O61" s="668">
        <v>0</v>
      </c>
      <c r="P61" s="668">
        <v>0</v>
      </c>
      <c r="Q61" s="667">
        <v>0</v>
      </c>
      <c r="R61" s="667">
        <v>0</v>
      </c>
      <c r="S61" s="668">
        <v>0</v>
      </c>
      <c r="T61" s="667">
        <v>0</v>
      </c>
      <c r="U61" s="667">
        <v>0</v>
      </c>
      <c r="V61" s="669">
        <v>0</v>
      </c>
      <c r="W61"/>
      <c r="X61"/>
      <c r="Y61" s="62"/>
      <c r="Z61" s="62"/>
    </row>
    <row r="62" spans="1:26" s="77" customFormat="1" ht="15.75">
      <c r="A62" s="665" t="s">
        <v>243</v>
      </c>
      <c r="B62" s="668" t="s">
        <v>525</v>
      </c>
      <c r="C62" s="665">
        <v>883046</v>
      </c>
      <c r="D62" s="665">
        <v>496313.5</v>
      </c>
      <c r="E62" s="665">
        <v>580495</v>
      </c>
      <c r="F62" s="665">
        <v>538877</v>
      </c>
      <c r="G62" s="665">
        <v>56181</v>
      </c>
      <c r="H62" s="665">
        <v>46411.5</v>
      </c>
      <c r="I62" s="665">
        <v>891054</v>
      </c>
      <c r="J62" s="664">
        <v>3492378</v>
      </c>
      <c r="K62" s="664"/>
      <c r="L62" s="664"/>
      <c r="M62" s="664"/>
      <c r="N62" s="665">
        <v>1757259.5</v>
      </c>
      <c r="O62" s="665">
        <v>544901.5</v>
      </c>
      <c r="P62" s="665">
        <v>178819.25</v>
      </c>
      <c r="Q62" s="664">
        <v>2480980.25</v>
      </c>
      <c r="R62" s="664"/>
      <c r="S62" s="665"/>
      <c r="T62" s="664"/>
      <c r="U62" s="664"/>
      <c r="V62" s="666"/>
      <c r="W62"/>
      <c r="X62"/>
      <c r="Y62" s="62"/>
      <c r="Z62" s="62"/>
    </row>
    <row r="63" spans="1:26" s="77" customFormat="1" ht="15.75">
      <c r="A63" s="676"/>
      <c r="B63" s="668" t="s">
        <v>526</v>
      </c>
      <c r="C63" s="668">
        <v>882237</v>
      </c>
      <c r="D63" s="668">
        <v>486884</v>
      </c>
      <c r="E63" s="668">
        <v>540467</v>
      </c>
      <c r="F63" s="668">
        <v>499198</v>
      </c>
      <c r="G63" s="668">
        <v>46557</v>
      </c>
      <c r="H63" s="668">
        <v>47785</v>
      </c>
      <c r="I63" s="668">
        <v>880707</v>
      </c>
      <c r="J63" s="667">
        <v>3383835</v>
      </c>
      <c r="K63" s="667"/>
      <c r="L63" s="667"/>
      <c r="M63" s="667"/>
      <c r="N63" s="668">
        <v>1549456</v>
      </c>
      <c r="O63" s="668">
        <v>475152</v>
      </c>
      <c r="P63" s="668">
        <v>156988</v>
      </c>
      <c r="Q63" s="667">
        <v>2181596</v>
      </c>
      <c r="R63" s="667"/>
      <c r="S63" s="668"/>
      <c r="T63" s="667"/>
      <c r="U63" s="667"/>
      <c r="V63" s="669"/>
      <c r="W63"/>
      <c r="X63"/>
      <c r="Y63" s="62"/>
      <c r="Z63" s="62"/>
    </row>
    <row r="64" spans="1:26" s="77" customFormat="1" ht="15.75">
      <c r="A64" s="676"/>
      <c r="B64" s="668" t="s">
        <v>527</v>
      </c>
      <c r="C64" s="668">
        <v>439834</v>
      </c>
      <c r="D64" s="668">
        <v>225845.5</v>
      </c>
      <c r="E64" s="668">
        <v>263448</v>
      </c>
      <c r="F64" s="668">
        <v>263724.5</v>
      </c>
      <c r="G64" s="668">
        <v>14126</v>
      </c>
      <c r="H64" s="668">
        <v>10473</v>
      </c>
      <c r="I64" s="668">
        <v>843051</v>
      </c>
      <c r="J64" s="667">
        <v>2060502</v>
      </c>
      <c r="K64" s="667">
        <v>0</v>
      </c>
      <c r="L64" s="667">
        <v>0</v>
      </c>
      <c r="M64" s="667">
        <v>0</v>
      </c>
      <c r="N64" s="668">
        <v>1133536</v>
      </c>
      <c r="O64" s="668">
        <v>315118.5</v>
      </c>
      <c r="P64" s="668">
        <v>92804.5</v>
      </c>
      <c r="Q64" s="667">
        <v>1541459</v>
      </c>
      <c r="R64" s="667">
        <v>0</v>
      </c>
      <c r="S64" s="668">
        <v>0</v>
      </c>
      <c r="T64" s="667">
        <v>0</v>
      </c>
      <c r="U64" s="667">
        <v>0</v>
      </c>
      <c r="V64" s="669">
        <v>0</v>
      </c>
      <c r="W64"/>
      <c r="X64"/>
      <c r="Y64" s="62"/>
      <c r="Z64" s="62"/>
    </row>
    <row r="65" spans="1:26" s="77" customFormat="1" ht="15.75">
      <c r="A65" s="676"/>
      <c r="B65" s="668" t="s">
        <v>528</v>
      </c>
      <c r="C65" s="668">
        <v>451475</v>
      </c>
      <c r="D65" s="668">
        <v>282771</v>
      </c>
      <c r="E65" s="668">
        <v>306615</v>
      </c>
      <c r="F65" s="668">
        <v>275292</v>
      </c>
      <c r="G65" s="668">
        <v>13823</v>
      </c>
      <c r="H65" s="668">
        <v>13383</v>
      </c>
      <c r="I65" s="668">
        <v>862349</v>
      </c>
      <c r="J65" s="667">
        <v>2205708</v>
      </c>
      <c r="K65" s="667">
        <v>0</v>
      </c>
      <c r="L65" s="667">
        <v>0</v>
      </c>
      <c r="M65" s="667">
        <v>0</v>
      </c>
      <c r="N65" s="668">
        <v>1200682</v>
      </c>
      <c r="O65" s="668">
        <v>391223</v>
      </c>
      <c r="P65" s="668">
        <v>103108</v>
      </c>
      <c r="Q65" s="667">
        <v>1695013</v>
      </c>
      <c r="R65" s="667">
        <v>0</v>
      </c>
      <c r="S65" s="668">
        <v>0</v>
      </c>
      <c r="T65" s="667">
        <v>0</v>
      </c>
      <c r="U65" s="667">
        <v>0</v>
      </c>
      <c r="V65" s="669">
        <v>0</v>
      </c>
      <c r="W65"/>
      <c r="X65"/>
      <c r="Y65" s="62"/>
      <c r="Z65" s="62"/>
    </row>
    <row r="66" spans="1:26" s="77" customFormat="1" ht="15.75">
      <c r="A66" s="676"/>
      <c r="B66" s="668" t="s">
        <v>529</v>
      </c>
      <c r="C66" s="668">
        <v>150008</v>
      </c>
      <c r="D66" s="668">
        <v>62178</v>
      </c>
      <c r="E66" s="668">
        <v>84361.5</v>
      </c>
      <c r="F66" s="668">
        <v>60736.5</v>
      </c>
      <c r="G66" s="668">
        <v>3776</v>
      </c>
      <c r="H66" s="668">
        <v>889</v>
      </c>
      <c r="I66" s="668">
        <v>267339</v>
      </c>
      <c r="J66" s="667">
        <v>629288</v>
      </c>
      <c r="K66" s="667"/>
      <c r="L66" s="667"/>
      <c r="M66" s="667"/>
      <c r="N66" s="668">
        <v>0</v>
      </c>
      <c r="O66" s="668">
        <v>0</v>
      </c>
      <c r="P66" s="668">
        <v>0</v>
      </c>
      <c r="Q66" s="667">
        <v>0</v>
      </c>
      <c r="R66" s="667"/>
      <c r="S66" s="668"/>
      <c r="T66" s="667"/>
      <c r="U66" s="667"/>
      <c r="V66" s="669"/>
      <c r="W66"/>
      <c r="X66"/>
      <c r="Y66" s="62"/>
      <c r="Z66" s="62"/>
    </row>
    <row r="67" spans="1:26" s="77" customFormat="1" ht="15.75">
      <c r="A67" s="676"/>
      <c r="B67" s="668" t="s">
        <v>530</v>
      </c>
      <c r="C67" s="668">
        <v>156169</v>
      </c>
      <c r="D67" s="668">
        <v>64688</v>
      </c>
      <c r="E67" s="668">
        <v>83080</v>
      </c>
      <c r="F67" s="668">
        <v>61848</v>
      </c>
      <c r="G67" s="668">
        <v>3136</v>
      </c>
      <c r="H67" s="668">
        <v>985</v>
      </c>
      <c r="I67" s="668">
        <v>237881</v>
      </c>
      <c r="J67" s="667">
        <v>607787</v>
      </c>
      <c r="K67" s="667"/>
      <c r="L67" s="667"/>
      <c r="M67" s="667"/>
      <c r="N67" s="668">
        <v>0</v>
      </c>
      <c r="O67" s="668">
        <v>0</v>
      </c>
      <c r="P67" s="668">
        <v>0</v>
      </c>
      <c r="Q67" s="667">
        <v>0</v>
      </c>
      <c r="R67" s="667"/>
      <c r="S67" s="668"/>
      <c r="T67" s="667"/>
      <c r="U67" s="667"/>
      <c r="V67" s="669"/>
      <c r="W67"/>
      <c r="X67"/>
      <c r="Y67" s="62"/>
      <c r="Z67" s="62"/>
    </row>
    <row r="68" spans="1:26" s="77" customFormat="1" ht="15.75">
      <c r="A68" s="676"/>
      <c r="B68" s="668" t="s">
        <v>531</v>
      </c>
      <c r="C68" s="668">
        <v>61470</v>
      </c>
      <c r="D68" s="668">
        <v>30080</v>
      </c>
      <c r="E68" s="668">
        <v>33937.5</v>
      </c>
      <c r="F68" s="668">
        <v>36219.5</v>
      </c>
      <c r="G68" s="668">
        <v>730</v>
      </c>
      <c r="H68" s="668">
        <v>597</v>
      </c>
      <c r="I68" s="668">
        <v>208196</v>
      </c>
      <c r="J68" s="667">
        <v>371230</v>
      </c>
      <c r="K68" s="667">
        <v>0</v>
      </c>
      <c r="L68" s="667">
        <v>0</v>
      </c>
      <c r="M68" s="667">
        <v>0</v>
      </c>
      <c r="N68" s="668">
        <v>0</v>
      </c>
      <c r="O68" s="668">
        <v>0</v>
      </c>
      <c r="P68" s="668">
        <v>0</v>
      </c>
      <c r="Q68" s="667">
        <v>0</v>
      </c>
      <c r="R68" s="667">
        <v>0</v>
      </c>
      <c r="S68" s="668">
        <v>0</v>
      </c>
      <c r="T68" s="667">
        <v>0</v>
      </c>
      <c r="U68" s="667">
        <v>0</v>
      </c>
      <c r="V68" s="669">
        <v>0</v>
      </c>
      <c r="W68"/>
      <c r="X68"/>
      <c r="Y68" s="62"/>
      <c r="Z68" s="62"/>
    </row>
    <row r="69" spans="1:26" s="77" customFormat="1" ht="15.75">
      <c r="A69" s="678"/>
      <c r="B69" s="668" t="s">
        <v>532</v>
      </c>
      <c r="C69" s="668">
        <v>53366</v>
      </c>
      <c r="D69" s="668">
        <v>38698</v>
      </c>
      <c r="E69" s="668">
        <v>40527</v>
      </c>
      <c r="F69" s="668">
        <v>36111</v>
      </c>
      <c r="G69" s="668">
        <v>931</v>
      </c>
      <c r="H69" s="668">
        <v>392</v>
      </c>
      <c r="I69" s="668">
        <v>227567</v>
      </c>
      <c r="J69" s="667">
        <v>397592</v>
      </c>
      <c r="K69" s="667">
        <v>0</v>
      </c>
      <c r="L69" s="667">
        <v>0</v>
      </c>
      <c r="M69" s="667">
        <v>0</v>
      </c>
      <c r="N69" s="668">
        <v>0</v>
      </c>
      <c r="O69" s="668">
        <v>0</v>
      </c>
      <c r="P69" s="668">
        <v>0</v>
      </c>
      <c r="Q69" s="667">
        <v>0</v>
      </c>
      <c r="R69" s="667">
        <v>0</v>
      </c>
      <c r="S69" s="668">
        <v>0</v>
      </c>
      <c r="T69" s="667">
        <v>0</v>
      </c>
      <c r="U69" s="667">
        <v>0</v>
      </c>
      <c r="V69" s="669">
        <v>0</v>
      </c>
      <c r="W69"/>
      <c r="X69"/>
      <c r="Y69" s="62"/>
      <c r="Z69" s="62"/>
    </row>
    <row r="70" spans="1:26" s="77" customFormat="1" ht="15.75">
      <c r="A70" s="665" t="s">
        <v>271</v>
      </c>
      <c r="B70" s="668" t="s">
        <v>525</v>
      </c>
      <c r="C70" s="665">
        <v>1381582</v>
      </c>
      <c r="D70" s="665">
        <v>132288.5</v>
      </c>
      <c r="E70" s="665"/>
      <c r="F70" s="665">
        <v>263076</v>
      </c>
      <c r="G70" s="665"/>
      <c r="H70" s="665"/>
      <c r="I70" s="665"/>
      <c r="J70" s="664">
        <v>1776946.5</v>
      </c>
      <c r="K70" s="664"/>
      <c r="L70" s="664"/>
      <c r="M70" s="664"/>
      <c r="N70" s="665">
        <v>784649</v>
      </c>
      <c r="O70" s="665">
        <v>811117.5</v>
      </c>
      <c r="P70" s="665">
        <v>103709</v>
      </c>
      <c r="Q70" s="664">
        <v>1699475.5</v>
      </c>
      <c r="R70" s="664"/>
      <c r="S70" s="665"/>
      <c r="T70" s="664"/>
      <c r="U70" s="664"/>
      <c r="V70" s="666"/>
      <c r="W70"/>
      <c r="X70"/>
      <c r="Y70" s="62"/>
      <c r="Z70" s="62"/>
    </row>
    <row r="71" spans="1:26" s="77" customFormat="1" ht="15.75">
      <c r="A71" s="676"/>
      <c r="B71" s="668" t="s">
        <v>526</v>
      </c>
      <c r="C71" s="668">
        <v>1328125</v>
      </c>
      <c r="D71" s="668">
        <v>136390.5</v>
      </c>
      <c r="E71" s="668"/>
      <c r="F71" s="668">
        <v>232921.5</v>
      </c>
      <c r="G71" s="668"/>
      <c r="H71" s="668"/>
      <c r="I71" s="668"/>
      <c r="J71" s="667">
        <v>1697437</v>
      </c>
      <c r="K71" s="667"/>
      <c r="L71" s="667"/>
      <c r="M71" s="667"/>
      <c r="N71" s="668">
        <v>775449</v>
      </c>
      <c r="O71" s="668">
        <v>834734.5</v>
      </c>
      <c r="P71" s="668">
        <v>99990</v>
      </c>
      <c r="Q71" s="667">
        <v>1710173.5</v>
      </c>
      <c r="R71" s="667"/>
      <c r="S71" s="668"/>
      <c r="T71" s="667"/>
      <c r="U71" s="667"/>
      <c r="V71" s="669"/>
      <c r="W71"/>
      <c r="X71"/>
      <c r="Y71" s="62"/>
      <c r="Z71" s="62"/>
    </row>
    <row r="72" spans="1:26" s="77" customFormat="1" ht="15.75">
      <c r="A72" s="676"/>
      <c r="B72" s="668" t="s">
        <v>527</v>
      </c>
      <c r="C72" s="668">
        <v>621572</v>
      </c>
      <c r="D72" s="668">
        <v>84155.5</v>
      </c>
      <c r="E72" s="668">
        <v>0</v>
      </c>
      <c r="F72" s="668">
        <v>117319</v>
      </c>
      <c r="G72" s="668">
        <v>0</v>
      </c>
      <c r="H72" s="668">
        <v>0</v>
      </c>
      <c r="I72" s="668">
        <v>0</v>
      </c>
      <c r="J72" s="667">
        <v>823046.5</v>
      </c>
      <c r="K72" s="667">
        <v>0</v>
      </c>
      <c r="L72" s="667">
        <v>0</v>
      </c>
      <c r="M72" s="667">
        <v>0</v>
      </c>
      <c r="N72" s="668">
        <v>320553</v>
      </c>
      <c r="O72" s="668">
        <v>301070</v>
      </c>
      <c r="P72" s="668">
        <v>40366</v>
      </c>
      <c r="Q72" s="667">
        <v>661989</v>
      </c>
      <c r="R72" s="667">
        <v>0</v>
      </c>
      <c r="S72" s="668">
        <v>0</v>
      </c>
      <c r="T72" s="667">
        <v>0</v>
      </c>
      <c r="U72" s="667">
        <v>0</v>
      </c>
      <c r="V72" s="669">
        <v>0</v>
      </c>
      <c r="W72"/>
      <c r="X72"/>
      <c r="Y72" s="62"/>
      <c r="Z72" s="62"/>
    </row>
    <row r="73" spans="1:26" s="77" customFormat="1" ht="15.75">
      <c r="A73" s="676"/>
      <c r="B73" s="668" t="s">
        <v>528</v>
      </c>
      <c r="C73" s="668">
        <v>604815</v>
      </c>
      <c r="D73" s="668">
        <v>90168.5</v>
      </c>
      <c r="E73" s="668">
        <v>0</v>
      </c>
      <c r="F73" s="668">
        <v>111792</v>
      </c>
      <c r="G73" s="668">
        <v>0</v>
      </c>
      <c r="H73" s="668">
        <v>0</v>
      </c>
      <c r="I73" s="668">
        <v>0</v>
      </c>
      <c r="J73" s="667">
        <v>806775.5</v>
      </c>
      <c r="K73" s="667">
        <v>0</v>
      </c>
      <c r="L73" s="667">
        <v>0</v>
      </c>
      <c r="M73" s="667">
        <v>0</v>
      </c>
      <c r="N73" s="668">
        <v>305259</v>
      </c>
      <c r="O73" s="668">
        <v>321674</v>
      </c>
      <c r="P73" s="668">
        <v>42253</v>
      </c>
      <c r="Q73" s="667">
        <v>669186</v>
      </c>
      <c r="R73" s="667">
        <v>0</v>
      </c>
      <c r="S73" s="668">
        <v>0</v>
      </c>
      <c r="T73" s="667">
        <v>0</v>
      </c>
      <c r="U73" s="667">
        <v>0</v>
      </c>
      <c r="V73" s="669">
        <v>0</v>
      </c>
      <c r="W73"/>
      <c r="X73"/>
      <c r="Y73" s="62"/>
      <c r="Z73" s="62"/>
    </row>
    <row r="74" spans="1:26" s="77" customFormat="1" ht="15.75">
      <c r="A74" s="676"/>
      <c r="B74" s="668" t="s">
        <v>529</v>
      </c>
      <c r="C74" s="668">
        <v>188336</v>
      </c>
      <c r="D74" s="668">
        <v>34452</v>
      </c>
      <c r="E74" s="668"/>
      <c r="F74" s="668">
        <v>35177</v>
      </c>
      <c r="G74" s="668"/>
      <c r="H74" s="668"/>
      <c r="I74" s="668"/>
      <c r="J74" s="667">
        <v>257965</v>
      </c>
      <c r="K74" s="667"/>
      <c r="L74" s="667"/>
      <c r="M74" s="667"/>
      <c r="N74" s="668">
        <v>0</v>
      </c>
      <c r="O74" s="668">
        <v>0</v>
      </c>
      <c r="P74" s="668">
        <v>0</v>
      </c>
      <c r="Q74" s="667">
        <v>0</v>
      </c>
      <c r="R74" s="667"/>
      <c r="S74" s="668"/>
      <c r="T74" s="667"/>
      <c r="U74" s="667"/>
      <c r="V74" s="669"/>
      <c r="W74"/>
      <c r="X74"/>
      <c r="Y74" s="62"/>
      <c r="Z74" s="62"/>
    </row>
    <row r="75" spans="1:26" s="77" customFormat="1" ht="15.75">
      <c r="A75" s="676"/>
      <c r="B75" s="668" t="s">
        <v>530</v>
      </c>
      <c r="C75" s="668">
        <v>212450</v>
      </c>
      <c r="D75" s="668">
        <v>38579.5</v>
      </c>
      <c r="E75" s="668"/>
      <c r="F75" s="668">
        <v>37466</v>
      </c>
      <c r="G75" s="668"/>
      <c r="H75" s="668"/>
      <c r="I75" s="668"/>
      <c r="J75" s="667">
        <v>288495.5</v>
      </c>
      <c r="K75" s="667"/>
      <c r="L75" s="667"/>
      <c r="M75" s="667"/>
      <c r="N75" s="668">
        <v>0</v>
      </c>
      <c r="O75" s="668">
        <v>0</v>
      </c>
      <c r="P75" s="668">
        <v>0</v>
      </c>
      <c r="Q75" s="667">
        <v>0</v>
      </c>
      <c r="R75" s="667"/>
      <c r="S75" s="668"/>
      <c r="T75" s="667"/>
      <c r="U75" s="667"/>
      <c r="V75" s="669"/>
      <c r="W75"/>
      <c r="X75"/>
      <c r="Y75" s="62"/>
      <c r="Z75" s="62"/>
    </row>
    <row r="76" spans="1:26" s="77" customFormat="1" ht="15.75">
      <c r="A76" s="676"/>
      <c r="B76" s="668" t="s">
        <v>531</v>
      </c>
      <c r="C76" s="668">
        <v>85203</v>
      </c>
      <c r="D76" s="668">
        <v>24062</v>
      </c>
      <c r="E76" s="668">
        <v>0</v>
      </c>
      <c r="F76" s="668">
        <v>28640</v>
      </c>
      <c r="G76" s="668">
        <v>0</v>
      </c>
      <c r="H76" s="668">
        <v>0</v>
      </c>
      <c r="I76" s="668">
        <v>0</v>
      </c>
      <c r="J76" s="667">
        <v>137905</v>
      </c>
      <c r="K76" s="667">
        <v>0</v>
      </c>
      <c r="L76" s="667">
        <v>0</v>
      </c>
      <c r="M76" s="667">
        <v>0</v>
      </c>
      <c r="N76" s="668">
        <v>0</v>
      </c>
      <c r="O76" s="668">
        <v>0</v>
      </c>
      <c r="P76" s="668">
        <v>0</v>
      </c>
      <c r="Q76" s="667">
        <v>0</v>
      </c>
      <c r="R76" s="667">
        <v>0</v>
      </c>
      <c r="S76" s="668">
        <v>0</v>
      </c>
      <c r="T76" s="667">
        <v>0</v>
      </c>
      <c r="U76" s="667">
        <v>0</v>
      </c>
      <c r="V76" s="669">
        <v>0</v>
      </c>
      <c r="W76"/>
      <c r="X76"/>
      <c r="Y76" s="62"/>
      <c r="Z76" s="62"/>
    </row>
    <row r="77" spans="1:26" s="77" customFormat="1" ht="15.75">
      <c r="A77" s="678"/>
      <c r="B77" s="668" t="s">
        <v>532</v>
      </c>
      <c r="C77" s="668">
        <v>100120</v>
      </c>
      <c r="D77" s="668">
        <v>28894</v>
      </c>
      <c r="E77" s="668">
        <v>0</v>
      </c>
      <c r="F77" s="668">
        <v>30913</v>
      </c>
      <c r="G77" s="668">
        <v>0</v>
      </c>
      <c r="H77" s="668">
        <v>0</v>
      </c>
      <c r="I77" s="668">
        <v>0</v>
      </c>
      <c r="J77" s="667">
        <v>159927</v>
      </c>
      <c r="K77" s="667">
        <v>0</v>
      </c>
      <c r="L77" s="667">
        <v>0</v>
      </c>
      <c r="M77" s="667">
        <v>0</v>
      </c>
      <c r="N77" s="668">
        <v>0</v>
      </c>
      <c r="O77" s="668">
        <v>0</v>
      </c>
      <c r="P77" s="668">
        <v>0</v>
      </c>
      <c r="Q77" s="667">
        <v>0</v>
      </c>
      <c r="R77" s="667">
        <v>0</v>
      </c>
      <c r="S77" s="668">
        <v>0</v>
      </c>
      <c r="T77" s="667">
        <v>0</v>
      </c>
      <c r="U77" s="667">
        <v>0</v>
      </c>
      <c r="V77" s="669">
        <v>0</v>
      </c>
      <c r="W77"/>
      <c r="X77"/>
      <c r="Y77" s="62"/>
      <c r="Z77" s="62"/>
    </row>
    <row r="78" spans="1:26" s="77" customFormat="1" ht="15.75">
      <c r="A78" s="665" t="s">
        <v>280</v>
      </c>
      <c r="B78" s="668" t="s">
        <v>525</v>
      </c>
      <c r="C78" s="665">
        <v>2454605</v>
      </c>
      <c r="D78" s="665">
        <v>951993</v>
      </c>
      <c r="E78" s="665">
        <v>1414747</v>
      </c>
      <c r="F78" s="665">
        <v>150073</v>
      </c>
      <c r="G78" s="665">
        <v>307836</v>
      </c>
      <c r="H78" s="665">
        <v>146810</v>
      </c>
      <c r="I78" s="665">
        <v>26718</v>
      </c>
      <c r="J78" s="664">
        <v>5452782</v>
      </c>
      <c r="K78" s="664"/>
      <c r="L78" s="664"/>
      <c r="M78" s="664"/>
      <c r="N78" s="665">
        <v>2090621.5</v>
      </c>
      <c r="O78" s="665">
        <v>1639000.8</v>
      </c>
      <c r="P78" s="665">
        <v>782854.5</v>
      </c>
      <c r="Q78" s="664">
        <v>4512476.8</v>
      </c>
      <c r="R78" s="664"/>
      <c r="S78" s="665"/>
      <c r="T78" s="664"/>
      <c r="U78" s="664"/>
      <c r="V78" s="666"/>
      <c r="W78"/>
      <c r="X78"/>
      <c r="Y78" s="62"/>
      <c r="Z78" s="62"/>
    </row>
    <row r="79" spans="1:26" s="77" customFormat="1" ht="15.75">
      <c r="A79" s="676"/>
      <c r="B79" s="668" t="s">
        <v>526</v>
      </c>
      <c r="C79" s="668">
        <v>2405143.5</v>
      </c>
      <c r="D79" s="668">
        <v>944481</v>
      </c>
      <c r="E79" s="668">
        <v>1387041.5</v>
      </c>
      <c r="F79" s="668">
        <v>144424</v>
      </c>
      <c r="G79" s="668">
        <v>304710.5</v>
      </c>
      <c r="H79" s="668">
        <v>145310</v>
      </c>
      <c r="I79" s="668">
        <v>26646</v>
      </c>
      <c r="J79" s="667">
        <v>5357756.5</v>
      </c>
      <c r="K79" s="667"/>
      <c r="L79" s="667"/>
      <c r="M79" s="667"/>
      <c r="N79" s="668">
        <v>1963807.5</v>
      </c>
      <c r="O79" s="668">
        <v>1528780.9000000001</v>
      </c>
      <c r="P79" s="668">
        <v>744618.5</v>
      </c>
      <c r="Q79" s="667">
        <v>4237206.9000000004</v>
      </c>
      <c r="R79" s="667"/>
      <c r="S79" s="668"/>
      <c r="T79" s="667"/>
      <c r="U79" s="667"/>
      <c r="V79" s="669"/>
      <c r="W79"/>
      <c r="X79"/>
      <c r="Y79" s="62"/>
      <c r="Z79" s="62"/>
    </row>
    <row r="80" spans="1:26" s="77" customFormat="1" ht="15.75">
      <c r="A80" s="676"/>
      <c r="B80" s="668" t="s">
        <v>527</v>
      </c>
      <c r="C80" s="668">
        <v>1266900</v>
      </c>
      <c r="D80" s="668">
        <v>471631</v>
      </c>
      <c r="E80" s="668">
        <v>754541</v>
      </c>
      <c r="F80" s="668">
        <v>94318</v>
      </c>
      <c r="G80" s="668">
        <v>161660</v>
      </c>
      <c r="H80" s="668">
        <v>51934</v>
      </c>
      <c r="I80" s="668">
        <v>5117</v>
      </c>
      <c r="J80" s="667">
        <v>2806101</v>
      </c>
      <c r="K80" s="667">
        <v>0</v>
      </c>
      <c r="L80" s="667">
        <v>0</v>
      </c>
      <c r="M80" s="667">
        <v>0</v>
      </c>
      <c r="N80" s="668">
        <v>1352100</v>
      </c>
      <c r="O80" s="668">
        <v>1039726</v>
      </c>
      <c r="P80" s="668">
        <v>502735</v>
      </c>
      <c r="Q80" s="667">
        <v>2894561</v>
      </c>
      <c r="R80" s="667">
        <v>0</v>
      </c>
      <c r="S80" s="668">
        <v>0</v>
      </c>
      <c r="T80" s="667">
        <v>0</v>
      </c>
      <c r="U80" s="667">
        <v>0</v>
      </c>
      <c r="V80" s="669">
        <v>0</v>
      </c>
      <c r="W80"/>
      <c r="X80"/>
      <c r="Y80" s="62"/>
      <c r="Z80" s="62"/>
    </row>
    <row r="81" spans="1:26" s="77" customFormat="1" ht="15.75">
      <c r="A81" s="676"/>
      <c r="B81" s="668" t="s">
        <v>528</v>
      </c>
      <c r="C81" s="668">
        <v>1398512.5</v>
      </c>
      <c r="D81" s="668">
        <v>539713</v>
      </c>
      <c r="E81" s="668">
        <v>747548</v>
      </c>
      <c r="F81" s="668">
        <v>111344</v>
      </c>
      <c r="G81" s="668">
        <v>204614.5</v>
      </c>
      <c r="H81" s="668">
        <v>61536</v>
      </c>
      <c r="I81" s="668">
        <v>5130</v>
      </c>
      <c r="J81" s="667">
        <v>3068398</v>
      </c>
      <c r="K81" s="667">
        <v>0</v>
      </c>
      <c r="L81" s="667">
        <v>0</v>
      </c>
      <c r="M81" s="667">
        <v>0</v>
      </c>
      <c r="N81" s="668">
        <v>1488815</v>
      </c>
      <c r="O81" s="668">
        <v>1083777</v>
      </c>
      <c r="P81" s="668">
        <v>513863</v>
      </c>
      <c r="Q81" s="667">
        <v>3086455</v>
      </c>
      <c r="R81" s="667">
        <v>0</v>
      </c>
      <c r="S81" s="668">
        <v>0</v>
      </c>
      <c r="T81" s="667">
        <v>0</v>
      </c>
      <c r="U81" s="667">
        <v>0</v>
      </c>
      <c r="V81" s="669">
        <v>0</v>
      </c>
      <c r="W81"/>
      <c r="X81"/>
      <c r="Y81" s="62"/>
      <c r="Z81" s="62"/>
    </row>
    <row r="82" spans="1:26" s="77" customFormat="1" ht="15.75">
      <c r="A82" s="676"/>
      <c r="B82" s="668" t="s">
        <v>529</v>
      </c>
      <c r="C82" s="668">
        <v>513065</v>
      </c>
      <c r="D82" s="668">
        <v>115541</v>
      </c>
      <c r="E82" s="668">
        <v>163218</v>
      </c>
      <c r="F82" s="668">
        <v>17585</v>
      </c>
      <c r="G82" s="668">
        <v>40640</v>
      </c>
      <c r="H82" s="668">
        <v>1659</v>
      </c>
      <c r="I82" s="668">
        <v>3672</v>
      </c>
      <c r="J82" s="667">
        <v>855380</v>
      </c>
      <c r="K82" s="667"/>
      <c r="L82" s="667"/>
      <c r="M82" s="667"/>
      <c r="N82" s="668">
        <v>0</v>
      </c>
      <c r="O82" s="668">
        <v>0</v>
      </c>
      <c r="P82" s="668">
        <v>0</v>
      </c>
      <c r="Q82" s="667">
        <v>0</v>
      </c>
      <c r="R82" s="667"/>
      <c r="S82" s="668"/>
      <c r="T82" s="667"/>
      <c r="U82" s="667"/>
      <c r="V82" s="669"/>
      <c r="W82"/>
      <c r="X82"/>
      <c r="Y82" s="62"/>
      <c r="Z82" s="62"/>
    </row>
    <row r="83" spans="1:26" s="77" customFormat="1" ht="15.75">
      <c r="A83" s="676"/>
      <c r="B83" s="668" t="s">
        <v>530</v>
      </c>
      <c r="C83" s="668">
        <v>545854.5</v>
      </c>
      <c r="D83" s="668">
        <v>118103</v>
      </c>
      <c r="E83" s="668">
        <v>177518.5</v>
      </c>
      <c r="F83" s="668">
        <v>19259</v>
      </c>
      <c r="G83" s="668">
        <v>48681</v>
      </c>
      <c r="H83" s="668">
        <v>1657</v>
      </c>
      <c r="I83" s="668">
        <v>4020</v>
      </c>
      <c r="J83" s="667">
        <v>915093</v>
      </c>
      <c r="K83" s="667"/>
      <c r="L83" s="667"/>
      <c r="M83" s="667"/>
      <c r="N83" s="668">
        <v>0</v>
      </c>
      <c r="O83" s="668">
        <v>0</v>
      </c>
      <c r="P83" s="668">
        <v>0</v>
      </c>
      <c r="Q83" s="667">
        <v>0</v>
      </c>
      <c r="R83" s="667"/>
      <c r="S83" s="668"/>
      <c r="T83" s="667"/>
      <c r="U83" s="667"/>
      <c r="V83" s="669"/>
      <c r="W83"/>
      <c r="X83"/>
      <c r="Y83" s="62"/>
      <c r="Z83" s="62"/>
    </row>
    <row r="84" spans="1:26" s="77" customFormat="1" ht="15.75">
      <c r="A84" s="676"/>
      <c r="B84" s="668" t="s">
        <v>531</v>
      </c>
      <c r="C84" s="668">
        <v>238199</v>
      </c>
      <c r="D84" s="668">
        <v>79123</v>
      </c>
      <c r="E84" s="668">
        <v>104351</v>
      </c>
      <c r="F84" s="668">
        <v>13735</v>
      </c>
      <c r="G84" s="668">
        <v>33329</v>
      </c>
      <c r="H84" s="668">
        <v>1120</v>
      </c>
      <c r="I84" s="668">
        <v>450</v>
      </c>
      <c r="J84" s="667">
        <v>470307</v>
      </c>
      <c r="K84" s="667">
        <v>0</v>
      </c>
      <c r="L84" s="667">
        <v>0</v>
      </c>
      <c r="M84" s="667">
        <v>0</v>
      </c>
      <c r="N84" s="668">
        <v>0</v>
      </c>
      <c r="O84" s="668">
        <v>0</v>
      </c>
      <c r="P84" s="668">
        <v>0</v>
      </c>
      <c r="Q84" s="667">
        <v>0</v>
      </c>
      <c r="R84" s="667">
        <v>0</v>
      </c>
      <c r="S84" s="668">
        <v>0</v>
      </c>
      <c r="T84" s="667">
        <v>0</v>
      </c>
      <c r="U84" s="667">
        <v>0</v>
      </c>
      <c r="V84" s="669">
        <v>0</v>
      </c>
      <c r="W84"/>
      <c r="X84"/>
      <c r="Y84" s="62"/>
      <c r="Z84" s="62"/>
    </row>
    <row r="85" spans="1:26" s="77" customFormat="1" ht="15.75">
      <c r="A85" s="678"/>
      <c r="B85" s="668" t="s">
        <v>532</v>
      </c>
      <c r="C85" s="668">
        <v>284286.25</v>
      </c>
      <c r="D85" s="668">
        <v>78863</v>
      </c>
      <c r="E85" s="668">
        <v>112183.5</v>
      </c>
      <c r="F85" s="668">
        <v>15402</v>
      </c>
      <c r="G85" s="668">
        <v>42109</v>
      </c>
      <c r="H85" s="668">
        <v>1298</v>
      </c>
      <c r="I85" s="668">
        <v>471</v>
      </c>
      <c r="J85" s="667">
        <v>534612.75</v>
      </c>
      <c r="K85" s="667">
        <v>0</v>
      </c>
      <c r="L85" s="667">
        <v>0</v>
      </c>
      <c r="M85" s="667">
        <v>0</v>
      </c>
      <c r="N85" s="668">
        <v>0</v>
      </c>
      <c r="O85" s="668">
        <v>0</v>
      </c>
      <c r="P85" s="668">
        <v>0</v>
      </c>
      <c r="Q85" s="667">
        <v>0</v>
      </c>
      <c r="R85" s="667">
        <v>0</v>
      </c>
      <c r="S85" s="668">
        <v>0</v>
      </c>
      <c r="T85" s="667">
        <v>0</v>
      </c>
      <c r="U85" s="667">
        <v>0</v>
      </c>
      <c r="V85" s="669">
        <v>0</v>
      </c>
      <c r="W85"/>
      <c r="X85"/>
      <c r="Y85" s="62"/>
      <c r="Z85" s="62"/>
    </row>
    <row r="86" spans="1:26" s="77" customFormat="1" ht="15.75">
      <c r="A86" s="665" t="s">
        <v>352</v>
      </c>
      <c r="B86" s="668" t="s">
        <v>525</v>
      </c>
      <c r="C86" s="665"/>
      <c r="D86" s="665"/>
      <c r="E86" s="665"/>
      <c r="F86" s="665"/>
      <c r="G86" s="665"/>
      <c r="H86" s="665"/>
      <c r="I86" s="665"/>
      <c r="J86" s="664"/>
      <c r="K86" s="664"/>
      <c r="L86" s="664"/>
      <c r="M86" s="664"/>
      <c r="N86" s="665"/>
      <c r="O86" s="665"/>
      <c r="P86" s="665"/>
      <c r="Q86" s="664"/>
      <c r="R86" s="664"/>
      <c r="S86" s="665"/>
      <c r="T86" s="664"/>
      <c r="U86" s="664">
        <v>0</v>
      </c>
      <c r="V86" s="666">
        <v>0</v>
      </c>
      <c r="W86"/>
      <c r="X86"/>
      <c r="Y86" s="62"/>
      <c r="Z86" s="62"/>
    </row>
    <row r="87" spans="1:26" s="77" customFormat="1" ht="15.75">
      <c r="A87" s="676"/>
      <c r="B87" s="668" t="s">
        <v>526</v>
      </c>
      <c r="C87" s="668"/>
      <c r="D87" s="668"/>
      <c r="E87" s="668"/>
      <c r="F87" s="668"/>
      <c r="G87" s="668"/>
      <c r="H87" s="668"/>
      <c r="I87" s="668"/>
      <c r="J87" s="667"/>
      <c r="K87" s="667"/>
      <c r="L87" s="667"/>
      <c r="M87" s="667"/>
      <c r="N87" s="668"/>
      <c r="O87" s="668"/>
      <c r="P87" s="668"/>
      <c r="Q87" s="667"/>
      <c r="R87" s="667"/>
      <c r="S87" s="668"/>
      <c r="T87" s="667"/>
      <c r="U87" s="667">
        <v>0</v>
      </c>
      <c r="V87" s="669">
        <v>0</v>
      </c>
      <c r="W87"/>
      <c r="X87"/>
      <c r="Y87" s="62"/>
      <c r="Z87" s="62"/>
    </row>
    <row r="88" spans="1:26" s="77" customFormat="1" ht="15.75">
      <c r="A88" s="676"/>
      <c r="B88" s="668" t="s">
        <v>527</v>
      </c>
      <c r="C88" s="668">
        <v>0</v>
      </c>
      <c r="D88" s="668">
        <v>0</v>
      </c>
      <c r="E88" s="668">
        <v>0</v>
      </c>
      <c r="F88" s="668">
        <v>0</v>
      </c>
      <c r="G88" s="668">
        <v>0</v>
      </c>
      <c r="H88" s="668">
        <v>0</v>
      </c>
      <c r="I88" s="668">
        <v>0</v>
      </c>
      <c r="J88" s="667">
        <v>0</v>
      </c>
      <c r="K88" s="667">
        <v>0</v>
      </c>
      <c r="L88" s="667">
        <v>0</v>
      </c>
      <c r="M88" s="667">
        <v>0</v>
      </c>
      <c r="N88" s="668">
        <v>0</v>
      </c>
      <c r="O88" s="668">
        <v>0</v>
      </c>
      <c r="P88" s="668">
        <v>0</v>
      </c>
      <c r="Q88" s="667">
        <v>0</v>
      </c>
      <c r="R88" s="667">
        <v>0</v>
      </c>
      <c r="S88" s="668">
        <v>0</v>
      </c>
      <c r="T88" s="667">
        <v>0</v>
      </c>
      <c r="U88" s="667">
        <v>0</v>
      </c>
      <c r="V88" s="669">
        <v>0</v>
      </c>
      <c r="W88"/>
      <c r="X88"/>
      <c r="Y88" s="62"/>
      <c r="Z88" s="62"/>
    </row>
    <row r="89" spans="1:26" s="77" customFormat="1" ht="15.75">
      <c r="A89" s="676"/>
      <c r="B89" s="668" t="s">
        <v>528</v>
      </c>
      <c r="C89" s="668">
        <v>0</v>
      </c>
      <c r="D89" s="668">
        <v>0</v>
      </c>
      <c r="E89" s="668">
        <v>0</v>
      </c>
      <c r="F89" s="668">
        <v>0</v>
      </c>
      <c r="G89" s="668">
        <v>0</v>
      </c>
      <c r="H89" s="668">
        <v>0</v>
      </c>
      <c r="I89" s="668">
        <v>0</v>
      </c>
      <c r="J89" s="667">
        <v>0</v>
      </c>
      <c r="K89" s="667">
        <v>0</v>
      </c>
      <c r="L89" s="667">
        <v>0</v>
      </c>
      <c r="M89" s="667">
        <v>0</v>
      </c>
      <c r="N89" s="668">
        <v>0</v>
      </c>
      <c r="O89" s="668">
        <v>0</v>
      </c>
      <c r="P89" s="668">
        <v>0</v>
      </c>
      <c r="Q89" s="667">
        <v>0</v>
      </c>
      <c r="R89" s="667">
        <v>0</v>
      </c>
      <c r="S89" s="668">
        <v>0</v>
      </c>
      <c r="T89" s="667">
        <v>0</v>
      </c>
      <c r="U89" s="667">
        <v>0</v>
      </c>
      <c r="V89" s="669">
        <v>0</v>
      </c>
      <c r="W89"/>
      <c r="X89"/>
      <c r="Y89" s="62"/>
      <c r="Z89" s="62"/>
    </row>
    <row r="90" spans="1:26" s="77" customFormat="1" ht="15.75">
      <c r="A90" s="676"/>
      <c r="B90" s="668" t="s">
        <v>529</v>
      </c>
      <c r="C90" s="668"/>
      <c r="D90" s="668"/>
      <c r="E90" s="668"/>
      <c r="F90" s="668"/>
      <c r="G90" s="668"/>
      <c r="H90" s="668"/>
      <c r="I90" s="668"/>
      <c r="J90" s="667"/>
      <c r="K90" s="667"/>
      <c r="L90" s="667"/>
      <c r="M90" s="667"/>
      <c r="N90" s="668"/>
      <c r="O90" s="668"/>
      <c r="P90" s="668"/>
      <c r="Q90" s="667"/>
      <c r="R90" s="667"/>
      <c r="S90" s="668"/>
      <c r="T90" s="667"/>
      <c r="U90" s="667">
        <v>0</v>
      </c>
      <c r="V90" s="669">
        <v>0</v>
      </c>
      <c r="W90"/>
      <c r="X90"/>
      <c r="Y90" s="62"/>
      <c r="Z90" s="62"/>
    </row>
    <row r="91" spans="1:26" s="77" customFormat="1" ht="15.75">
      <c r="A91" s="676"/>
      <c r="B91" s="668" t="s">
        <v>530</v>
      </c>
      <c r="C91" s="668"/>
      <c r="D91" s="668"/>
      <c r="E91" s="668"/>
      <c r="F91" s="668"/>
      <c r="G91" s="668"/>
      <c r="H91" s="668"/>
      <c r="I91" s="668"/>
      <c r="J91" s="667"/>
      <c r="K91" s="667"/>
      <c r="L91" s="667"/>
      <c r="M91" s="667"/>
      <c r="N91" s="668"/>
      <c r="O91" s="668"/>
      <c r="P91" s="668"/>
      <c r="Q91" s="667"/>
      <c r="R91" s="667"/>
      <c r="S91" s="668"/>
      <c r="T91" s="667"/>
      <c r="U91" s="667">
        <v>0</v>
      </c>
      <c r="V91" s="669">
        <v>0</v>
      </c>
      <c r="W91"/>
      <c r="X91"/>
      <c r="Y91" s="62"/>
      <c r="Z91" s="62"/>
    </row>
    <row r="92" spans="1:26" s="77" customFormat="1" ht="15.75">
      <c r="A92" s="676"/>
      <c r="B92" s="668" t="s">
        <v>531</v>
      </c>
      <c r="C92" s="668">
        <v>0</v>
      </c>
      <c r="D92" s="668">
        <v>0</v>
      </c>
      <c r="E92" s="668">
        <v>0</v>
      </c>
      <c r="F92" s="668">
        <v>0</v>
      </c>
      <c r="G92" s="668">
        <v>0</v>
      </c>
      <c r="H92" s="668">
        <v>0</v>
      </c>
      <c r="I92" s="668">
        <v>0</v>
      </c>
      <c r="J92" s="667">
        <v>0</v>
      </c>
      <c r="K92" s="667">
        <v>0</v>
      </c>
      <c r="L92" s="667">
        <v>0</v>
      </c>
      <c r="M92" s="667">
        <v>0</v>
      </c>
      <c r="N92" s="668">
        <v>0</v>
      </c>
      <c r="O92" s="668">
        <v>0</v>
      </c>
      <c r="P92" s="668">
        <v>0</v>
      </c>
      <c r="Q92" s="667">
        <v>0</v>
      </c>
      <c r="R92" s="667">
        <v>0</v>
      </c>
      <c r="S92" s="668">
        <v>0</v>
      </c>
      <c r="T92" s="667">
        <v>0</v>
      </c>
      <c r="U92" s="667">
        <v>0</v>
      </c>
      <c r="V92" s="669">
        <v>0</v>
      </c>
      <c r="W92"/>
      <c r="X92"/>
      <c r="Y92" s="62"/>
      <c r="Z92" s="62"/>
    </row>
    <row r="93" spans="1:26" s="77" customFormat="1" ht="15.75">
      <c r="A93" s="678"/>
      <c r="B93" s="668" t="s">
        <v>532</v>
      </c>
      <c r="C93" s="668">
        <v>0</v>
      </c>
      <c r="D93" s="668">
        <v>0</v>
      </c>
      <c r="E93" s="668">
        <v>0</v>
      </c>
      <c r="F93" s="668">
        <v>0</v>
      </c>
      <c r="G93" s="668">
        <v>0</v>
      </c>
      <c r="H93" s="668">
        <v>0</v>
      </c>
      <c r="I93" s="668">
        <v>0</v>
      </c>
      <c r="J93" s="667">
        <v>0</v>
      </c>
      <c r="K93" s="667">
        <v>0</v>
      </c>
      <c r="L93" s="667">
        <v>0</v>
      </c>
      <c r="M93" s="667">
        <v>0</v>
      </c>
      <c r="N93" s="668">
        <v>0</v>
      </c>
      <c r="O93" s="668">
        <v>0</v>
      </c>
      <c r="P93" s="668">
        <v>0</v>
      </c>
      <c r="Q93" s="667">
        <v>0</v>
      </c>
      <c r="R93" s="667">
        <v>0</v>
      </c>
      <c r="S93" s="668">
        <v>0</v>
      </c>
      <c r="T93" s="667">
        <v>0</v>
      </c>
      <c r="U93" s="667">
        <v>0</v>
      </c>
      <c r="V93" s="669">
        <v>0</v>
      </c>
      <c r="W93"/>
      <c r="X93"/>
      <c r="Y93" s="62"/>
      <c r="Z93" s="62"/>
    </row>
    <row r="94" spans="1:26" s="77" customFormat="1" ht="15.75">
      <c r="A94" s="665" t="s">
        <v>353</v>
      </c>
      <c r="B94" s="668" t="s">
        <v>525</v>
      </c>
      <c r="C94" s="665">
        <v>1481661</v>
      </c>
      <c r="D94" s="665"/>
      <c r="E94" s="665">
        <v>513324</v>
      </c>
      <c r="F94" s="665">
        <v>283480</v>
      </c>
      <c r="G94" s="665">
        <v>237834</v>
      </c>
      <c r="H94" s="665">
        <v>296893</v>
      </c>
      <c r="I94" s="665"/>
      <c r="J94" s="664">
        <v>2813192</v>
      </c>
      <c r="K94" s="664"/>
      <c r="L94" s="664"/>
      <c r="M94" s="664"/>
      <c r="N94" s="665">
        <v>816309</v>
      </c>
      <c r="O94" s="665">
        <v>573968</v>
      </c>
      <c r="P94" s="665">
        <v>288830</v>
      </c>
      <c r="Q94" s="664">
        <v>1679107</v>
      </c>
      <c r="R94" s="664"/>
      <c r="S94" s="665"/>
      <c r="T94" s="664"/>
      <c r="U94" s="664"/>
      <c r="V94" s="666"/>
      <c r="W94"/>
      <c r="X94"/>
      <c r="Y94" s="62"/>
      <c r="Z94" s="62"/>
    </row>
    <row r="95" spans="1:26" s="77" customFormat="1" ht="15.75">
      <c r="A95" s="676"/>
      <c r="B95" s="668" t="s">
        <v>526</v>
      </c>
      <c r="C95" s="668">
        <v>1483873</v>
      </c>
      <c r="D95" s="668"/>
      <c r="E95" s="668">
        <v>501384</v>
      </c>
      <c r="F95" s="668">
        <v>282684</v>
      </c>
      <c r="G95" s="668">
        <v>227869</v>
      </c>
      <c r="H95" s="668">
        <v>292459.5</v>
      </c>
      <c r="I95" s="668"/>
      <c r="J95" s="667">
        <v>2788269.5</v>
      </c>
      <c r="K95" s="667"/>
      <c r="L95" s="667"/>
      <c r="M95" s="667"/>
      <c r="N95" s="668">
        <v>772483</v>
      </c>
      <c r="O95" s="668">
        <v>551729</v>
      </c>
      <c r="P95" s="668">
        <v>280318</v>
      </c>
      <c r="Q95" s="667">
        <v>1604530</v>
      </c>
      <c r="R95" s="667"/>
      <c r="S95" s="668"/>
      <c r="T95" s="667"/>
      <c r="U95" s="667"/>
      <c r="V95" s="669"/>
      <c r="W95"/>
      <c r="X95"/>
      <c r="Y95" s="62"/>
      <c r="Z95" s="62"/>
    </row>
    <row r="96" spans="1:26" s="77" customFormat="1" ht="15.75">
      <c r="A96" s="676"/>
      <c r="B96" s="668" t="s">
        <v>527</v>
      </c>
      <c r="C96" s="668">
        <v>632895</v>
      </c>
      <c r="D96" s="668">
        <v>0</v>
      </c>
      <c r="E96" s="668">
        <v>152501</v>
      </c>
      <c r="F96" s="668">
        <v>67335</v>
      </c>
      <c r="G96" s="668">
        <v>76022</v>
      </c>
      <c r="H96" s="668">
        <v>140314</v>
      </c>
      <c r="I96" s="668">
        <v>0</v>
      </c>
      <c r="J96" s="667">
        <v>1069067</v>
      </c>
      <c r="K96" s="667">
        <v>0</v>
      </c>
      <c r="L96" s="667">
        <v>0</v>
      </c>
      <c r="M96" s="667">
        <v>0</v>
      </c>
      <c r="N96" s="668">
        <v>507747</v>
      </c>
      <c r="O96" s="668">
        <v>361907</v>
      </c>
      <c r="P96" s="668">
        <v>170375</v>
      </c>
      <c r="Q96" s="667">
        <v>1040029</v>
      </c>
      <c r="R96" s="667">
        <v>0</v>
      </c>
      <c r="S96" s="668">
        <v>0</v>
      </c>
      <c r="T96" s="667">
        <v>0</v>
      </c>
      <c r="U96" s="667">
        <v>0</v>
      </c>
      <c r="V96" s="669">
        <v>0</v>
      </c>
      <c r="W96"/>
      <c r="X96"/>
      <c r="Y96" s="62"/>
      <c r="Z96" s="62"/>
    </row>
    <row r="97" spans="1:26" s="77" customFormat="1" ht="15.75">
      <c r="A97" s="676"/>
      <c r="B97" s="668" t="s">
        <v>528</v>
      </c>
      <c r="C97" s="668">
        <v>701869</v>
      </c>
      <c r="D97" s="668">
        <v>0</v>
      </c>
      <c r="E97" s="668">
        <v>183784</v>
      </c>
      <c r="F97" s="668">
        <v>103129</v>
      </c>
      <c r="G97" s="668">
        <v>77070</v>
      </c>
      <c r="H97" s="668">
        <v>159494.5</v>
      </c>
      <c r="I97" s="668">
        <v>0</v>
      </c>
      <c r="J97" s="667">
        <v>1225346.5</v>
      </c>
      <c r="K97" s="667">
        <v>0</v>
      </c>
      <c r="L97" s="667">
        <v>0</v>
      </c>
      <c r="M97" s="667">
        <v>0</v>
      </c>
      <c r="N97" s="668">
        <v>582303</v>
      </c>
      <c r="O97" s="668">
        <v>365528</v>
      </c>
      <c r="P97" s="668">
        <v>180278</v>
      </c>
      <c r="Q97" s="667">
        <v>1128109</v>
      </c>
      <c r="R97" s="667">
        <v>0</v>
      </c>
      <c r="S97" s="668">
        <v>0</v>
      </c>
      <c r="T97" s="667">
        <v>0</v>
      </c>
      <c r="U97" s="667">
        <v>0</v>
      </c>
      <c r="V97" s="669">
        <v>0</v>
      </c>
      <c r="W97"/>
      <c r="X97"/>
      <c r="Y97" s="62"/>
      <c r="Z97" s="62"/>
    </row>
    <row r="98" spans="1:26" s="77" customFormat="1" ht="15.75">
      <c r="A98" s="676"/>
      <c r="B98" s="668" t="s">
        <v>529</v>
      </c>
      <c r="C98" s="668">
        <v>267031</v>
      </c>
      <c r="D98" s="668"/>
      <c r="E98" s="668">
        <v>48009</v>
      </c>
      <c r="F98" s="668">
        <v>12670</v>
      </c>
      <c r="G98" s="668">
        <v>22549</v>
      </c>
      <c r="H98" s="668">
        <v>8826</v>
      </c>
      <c r="I98" s="668"/>
      <c r="J98" s="667">
        <v>359085</v>
      </c>
      <c r="K98" s="667"/>
      <c r="L98" s="667"/>
      <c r="M98" s="667"/>
      <c r="N98" s="668">
        <v>0</v>
      </c>
      <c r="O98" s="668">
        <v>0</v>
      </c>
      <c r="P98" s="668">
        <v>0</v>
      </c>
      <c r="Q98" s="667">
        <v>0</v>
      </c>
      <c r="R98" s="667"/>
      <c r="S98" s="668"/>
      <c r="T98" s="667"/>
      <c r="U98" s="667"/>
      <c r="V98" s="669"/>
      <c r="W98"/>
      <c r="X98"/>
      <c r="Y98" s="62"/>
      <c r="Z98" s="62"/>
    </row>
    <row r="99" spans="1:26" s="77" customFormat="1" ht="15.75">
      <c r="A99" s="676"/>
      <c r="B99" s="668" t="s">
        <v>530</v>
      </c>
      <c r="C99" s="668">
        <v>275729</v>
      </c>
      <c r="D99" s="668"/>
      <c r="E99" s="668">
        <v>51283</v>
      </c>
      <c r="F99" s="668">
        <v>12629</v>
      </c>
      <c r="G99" s="668">
        <v>24576</v>
      </c>
      <c r="H99" s="668">
        <v>10018</v>
      </c>
      <c r="I99" s="668"/>
      <c r="J99" s="667">
        <v>374235</v>
      </c>
      <c r="K99" s="667"/>
      <c r="L99" s="667"/>
      <c r="M99" s="667"/>
      <c r="N99" s="668">
        <v>0</v>
      </c>
      <c r="O99" s="668">
        <v>0</v>
      </c>
      <c r="P99" s="668">
        <v>0</v>
      </c>
      <c r="Q99" s="667">
        <v>0</v>
      </c>
      <c r="R99" s="667"/>
      <c r="S99" s="668"/>
      <c r="T99" s="667"/>
      <c r="U99" s="667"/>
      <c r="V99" s="669"/>
      <c r="W99"/>
      <c r="X99"/>
      <c r="Y99" s="62"/>
      <c r="Z99" s="62"/>
    </row>
    <row r="100" spans="1:26" s="77" customFormat="1" ht="15.75">
      <c r="A100" s="676"/>
      <c r="B100" s="668" t="s">
        <v>531</v>
      </c>
      <c r="C100" s="668">
        <v>118962</v>
      </c>
      <c r="D100" s="668">
        <v>0</v>
      </c>
      <c r="E100" s="668">
        <v>31261</v>
      </c>
      <c r="F100" s="668">
        <v>7893</v>
      </c>
      <c r="G100" s="668">
        <v>13813</v>
      </c>
      <c r="H100" s="668">
        <v>6245</v>
      </c>
      <c r="I100" s="668">
        <v>0</v>
      </c>
      <c r="J100" s="667">
        <v>178174</v>
      </c>
      <c r="K100" s="667">
        <v>0</v>
      </c>
      <c r="L100" s="667">
        <v>0</v>
      </c>
      <c r="M100" s="667">
        <v>0</v>
      </c>
      <c r="N100" s="668">
        <v>0</v>
      </c>
      <c r="O100" s="668">
        <v>0</v>
      </c>
      <c r="P100" s="668">
        <v>0</v>
      </c>
      <c r="Q100" s="667">
        <v>0</v>
      </c>
      <c r="R100" s="667">
        <v>0</v>
      </c>
      <c r="S100" s="668">
        <v>0</v>
      </c>
      <c r="T100" s="667">
        <v>0</v>
      </c>
      <c r="U100" s="667">
        <v>0</v>
      </c>
      <c r="V100" s="669">
        <v>0</v>
      </c>
      <c r="W100"/>
      <c r="X100"/>
      <c r="Y100" s="62"/>
      <c r="Z100" s="62"/>
    </row>
    <row r="101" spans="1:26" s="77" customFormat="1" ht="15.75">
      <c r="A101" s="678"/>
      <c r="B101" s="668" t="s">
        <v>532</v>
      </c>
      <c r="C101" s="668">
        <v>114798</v>
      </c>
      <c r="D101" s="668">
        <v>0</v>
      </c>
      <c r="E101" s="668">
        <v>34101</v>
      </c>
      <c r="F101" s="668">
        <v>8711</v>
      </c>
      <c r="G101" s="668">
        <v>17368</v>
      </c>
      <c r="H101" s="668">
        <v>9407</v>
      </c>
      <c r="I101" s="668">
        <v>0</v>
      </c>
      <c r="J101" s="667">
        <v>184385</v>
      </c>
      <c r="K101" s="667">
        <v>0</v>
      </c>
      <c r="L101" s="667">
        <v>0</v>
      </c>
      <c r="M101" s="667">
        <v>0</v>
      </c>
      <c r="N101" s="668">
        <v>0</v>
      </c>
      <c r="O101" s="668">
        <v>0</v>
      </c>
      <c r="P101" s="668">
        <v>0</v>
      </c>
      <c r="Q101" s="667">
        <v>0</v>
      </c>
      <c r="R101" s="667">
        <v>0</v>
      </c>
      <c r="S101" s="668">
        <v>0</v>
      </c>
      <c r="T101" s="667">
        <v>0</v>
      </c>
      <c r="U101" s="667">
        <v>0</v>
      </c>
      <c r="V101" s="669">
        <v>0</v>
      </c>
      <c r="W101"/>
      <c r="X101"/>
      <c r="Y101" s="62"/>
      <c r="Z101" s="62"/>
    </row>
    <row r="102" spans="1:26" s="77" customFormat="1" ht="15.75">
      <c r="A102" s="665" t="s">
        <v>385</v>
      </c>
      <c r="B102" s="668" t="s">
        <v>525</v>
      </c>
      <c r="C102" s="665">
        <v>1087106</v>
      </c>
      <c r="D102" s="665">
        <v>889125</v>
      </c>
      <c r="E102" s="665">
        <v>753290</v>
      </c>
      <c r="F102" s="665">
        <v>159845</v>
      </c>
      <c r="G102" s="665"/>
      <c r="H102" s="665"/>
      <c r="I102" s="665"/>
      <c r="J102" s="664">
        <v>2889366</v>
      </c>
      <c r="K102" s="664"/>
      <c r="L102" s="664"/>
      <c r="M102" s="664"/>
      <c r="N102" s="665">
        <v>769449</v>
      </c>
      <c r="O102" s="665">
        <v>659507</v>
      </c>
      <c r="P102" s="665">
        <v>51028</v>
      </c>
      <c r="Q102" s="664">
        <v>1479984</v>
      </c>
      <c r="R102" s="664"/>
      <c r="S102" s="665">
        <v>0</v>
      </c>
      <c r="T102" s="664">
        <v>0</v>
      </c>
      <c r="U102" s="664"/>
      <c r="V102" s="666"/>
      <c r="W102"/>
      <c r="X102"/>
      <c r="Y102" s="62"/>
      <c r="Z102" s="62"/>
    </row>
    <row r="103" spans="1:26" s="77" customFormat="1" ht="15.75">
      <c r="A103" s="676"/>
      <c r="B103" s="668" t="s">
        <v>526</v>
      </c>
      <c r="C103" s="668">
        <v>1039778</v>
      </c>
      <c r="D103" s="668">
        <v>737084</v>
      </c>
      <c r="E103" s="668">
        <v>710795</v>
      </c>
      <c r="F103" s="668">
        <v>148421</v>
      </c>
      <c r="G103" s="668"/>
      <c r="H103" s="668"/>
      <c r="I103" s="668"/>
      <c r="J103" s="667">
        <v>2636078</v>
      </c>
      <c r="K103" s="667"/>
      <c r="L103" s="667"/>
      <c r="M103" s="667"/>
      <c r="N103" s="668">
        <v>632122</v>
      </c>
      <c r="O103" s="668">
        <v>541935</v>
      </c>
      <c r="P103" s="668">
        <v>40734</v>
      </c>
      <c r="Q103" s="667">
        <v>1214791</v>
      </c>
      <c r="R103" s="667"/>
      <c r="S103" s="668">
        <v>0</v>
      </c>
      <c r="T103" s="667">
        <v>0</v>
      </c>
      <c r="U103" s="667"/>
      <c r="V103" s="669"/>
      <c r="W103"/>
      <c r="X103"/>
      <c r="Y103" s="62"/>
      <c r="Z103" s="62"/>
    </row>
    <row r="104" spans="1:26" s="77" customFormat="1" ht="15.75">
      <c r="A104" s="676"/>
      <c r="B104" s="668" t="s">
        <v>527</v>
      </c>
      <c r="C104" s="668">
        <v>241858</v>
      </c>
      <c r="D104" s="668">
        <v>383652</v>
      </c>
      <c r="E104" s="668">
        <v>439368</v>
      </c>
      <c r="F104" s="668">
        <v>71076</v>
      </c>
      <c r="G104" s="668">
        <v>0</v>
      </c>
      <c r="H104" s="668">
        <v>0</v>
      </c>
      <c r="I104" s="668">
        <v>0</v>
      </c>
      <c r="J104" s="667">
        <v>1135954</v>
      </c>
      <c r="K104" s="667">
        <v>0</v>
      </c>
      <c r="L104" s="667">
        <v>0</v>
      </c>
      <c r="M104" s="667">
        <v>0</v>
      </c>
      <c r="N104" s="668">
        <v>500563</v>
      </c>
      <c r="O104" s="668">
        <v>370828</v>
      </c>
      <c r="P104" s="668">
        <v>20366</v>
      </c>
      <c r="Q104" s="667">
        <v>891757</v>
      </c>
      <c r="R104" s="667">
        <v>0</v>
      </c>
      <c r="S104" s="668">
        <v>0</v>
      </c>
      <c r="T104" s="667">
        <v>0</v>
      </c>
      <c r="U104" s="667">
        <v>0</v>
      </c>
      <c r="V104" s="669">
        <v>0</v>
      </c>
      <c r="W104"/>
      <c r="X104"/>
      <c r="Y104" s="62"/>
      <c r="Z104" s="62"/>
    </row>
    <row r="105" spans="1:26" s="77" customFormat="1" ht="15.75">
      <c r="A105" s="676"/>
      <c r="B105" s="668" t="s">
        <v>528</v>
      </c>
      <c r="C105" s="668">
        <v>384890</v>
      </c>
      <c r="D105" s="668">
        <v>278984</v>
      </c>
      <c r="E105" s="668">
        <v>427174</v>
      </c>
      <c r="F105" s="668">
        <v>65000</v>
      </c>
      <c r="G105" s="668">
        <v>0</v>
      </c>
      <c r="H105" s="668">
        <v>0</v>
      </c>
      <c r="I105" s="668">
        <v>0</v>
      </c>
      <c r="J105" s="667">
        <v>1156048</v>
      </c>
      <c r="K105" s="667">
        <v>0</v>
      </c>
      <c r="L105" s="667">
        <v>0</v>
      </c>
      <c r="M105" s="667">
        <v>0</v>
      </c>
      <c r="N105" s="668">
        <v>495020</v>
      </c>
      <c r="O105" s="668">
        <v>376885</v>
      </c>
      <c r="P105" s="668">
        <v>20285</v>
      </c>
      <c r="Q105" s="667">
        <v>892190</v>
      </c>
      <c r="R105" s="667">
        <v>0</v>
      </c>
      <c r="S105" s="668">
        <v>0</v>
      </c>
      <c r="T105" s="667">
        <v>0</v>
      </c>
      <c r="U105" s="667">
        <v>0</v>
      </c>
      <c r="V105" s="669">
        <v>0</v>
      </c>
      <c r="W105"/>
      <c r="X105"/>
      <c r="Y105" s="62"/>
      <c r="Z105" s="62"/>
    </row>
    <row r="106" spans="1:26" s="77" customFormat="1" ht="15.75">
      <c r="A106" s="676"/>
      <c r="B106" s="668" t="s">
        <v>529</v>
      </c>
      <c r="C106" s="668">
        <v>167581</v>
      </c>
      <c r="D106" s="668">
        <v>101219</v>
      </c>
      <c r="E106" s="668">
        <v>66119</v>
      </c>
      <c r="F106" s="668">
        <v>11662</v>
      </c>
      <c r="G106" s="668"/>
      <c r="H106" s="668"/>
      <c r="I106" s="668"/>
      <c r="J106" s="667">
        <v>346581</v>
      </c>
      <c r="K106" s="667"/>
      <c r="L106" s="667"/>
      <c r="M106" s="667"/>
      <c r="N106" s="668">
        <v>0</v>
      </c>
      <c r="O106" s="668">
        <v>0</v>
      </c>
      <c r="P106" s="668">
        <v>0</v>
      </c>
      <c r="Q106" s="667">
        <v>0</v>
      </c>
      <c r="R106" s="667"/>
      <c r="S106" s="668">
        <v>0</v>
      </c>
      <c r="T106" s="667">
        <v>0</v>
      </c>
      <c r="U106" s="667"/>
      <c r="V106" s="669"/>
      <c r="W106"/>
      <c r="X106"/>
      <c r="Y106" s="62"/>
      <c r="Z106" s="62"/>
    </row>
    <row r="107" spans="1:26" s="77" customFormat="1" ht="15.75">
      <c r="A107" s="676"/>
      <c r="B107" s="668" t="s">
        <v>530</v>
      </c>
      <c r="C107" s="668">
        <v>169402</v>
      </c>
      <c r="D107" s="668">
        <v>98637</v>
      </c>
      <c r="E107" s="668">
        <v>70026</v>
      </c>
      <c r="F107" s="668">
        <v>12352</v>
      </c>
      <c r="G107" s="668"/>
      <c r="H107" s="668"/>
      <c r="I107" s="668"/>
      <c r="J107" s="667">
        <v>350417</v>
      </c>
      <c r="K107" s="667"/>
      <c r="L107" s="667"/>
      <c r="M107" s="667"/>
      <c r="N107" s="668">
        <v>0</v>
      </c>
      <c r="O107" s="668">
        <v>0</v>
      </c>
      <c r="P107" s="668">
        <v>0</v>
      </c>
      <c r="Q107" s="667">
        <v>0</v>
      </c>
      <c r="R107" s="667"/>
      <c r="S107" s="668">
        <v>0</v>
      </c>
      <c r="T107" s="667">
        <v>0</v>
      </c>
      <c r="U107" s="667"/>
      <c r="V107" s="669"/>
      <c r="W107"/>
      <c r="X107"/>
      <c r="Y107" s="62"/>
      <c r="Z107" s="62"/>
    </row>
    <row r="108" spans="1:26" s="77" customFormat="1" ht="15.75">
      <c r="A108" s="676"/>
      <c r="B108" s="668" t="s">
        <v>531</v>
      </c>
      <c r="C108" s="668">
        <v>69959</v>
      </c>
      <c r="D108" s="668">
        <v>59960</v>
      </c>
      <c r="E108" s="668">
        <v>50900</v>
      </c>
      <c r="F108" s="668">
        <v>11100</v>
      </c>
      <c r="G108" s="668">
        <v>0</v>
      </c>
      <c r="H108" s="668">
        <v>0</v>
      </c>
      <c r="I108" s="668">
        <v>0</v>
      </c>
      <c r="J108" s="667">
        <v>191919</v>
      </c>
      <c r="K108" s="667">
        <v>0</v>
      </c>
      <c r="L108" s="667">
        <v>0</v>
      </c>
      <c r="M108" s="667">
        <v>0</v>
      </c>
      <c r="N108" s="668">
        <v>0</v>
      </c>
      <c r="O108" s="668">
        <v>0</v>
      </c>
      <c r="P108" s="668">
        <v>0</v>
      </c>
      <c r="Q108" s="667">
        <v>0</v>
      </c>
      <c r="R108" s="667">
        <v>0</v>
      </c>
      <c r="S108" s="668">
        <v>0</v>
      </c>
      <c r="T108" s="667">
        <v>0</v>
      </c>
      <c r="U108" s="667">
        <v>0</v>
      </c>
      <c r="V108" s="669">
        <v>0</v>
      </c>
      <c r="W108"/>
      <c r="X108"/>
      <c r="Y108" s="62"/>
      <c r="Z108" s="62"/>
    </row>
    <row r="109" spans="1:26" s="77" customFormat="1" ht="15.75">
      <c r="A109" s="678"/>
      <c r="B109" s="668" t="s">
        <v>532</v>
      </c>
      <c r="C109" s="668">
        <v>83199</v>
      </c>
      <c r="D109" s="668">
        <v>61345</v>
      </c>
      <c r="E109" s="668">
        <v>51502</v>
      </c>
      <c r="F109" s="668">
        <v>11613</v>
      </c>
      <c r="G109" s="668">
        <v>0</v>
      </c>
      <c r="H109" s="668">
        <v>0</v>
      </c>
      <c r="I109" s="668">
        <v>0</v>
      </c>
      <c r="J109" s="667">
        <v>207659</v>
      </c>
      <c r="K109" s="667">
        <v>0</v>
      </c>
      <c r="L109" s="667">
        <v>0</v>
      </c>
      <c r="M109" s="667">
        <v>0</v>
      </c>
      <c r="N109" s="668">
        <v>0</v>
      </c>
      <c r="O109" s="668">
        <v>0</v>
      </c>
      <c r="P109" s="668">
        <v>0</v>
      </c>
      <c r="Q109" s="667">
        <v>0</v>
      </c>
      <c r="R109" s="667">
        <v>0</v>
      </c>
      <c r="S109" s="668">
        <v>0</v>
      </c>
      <c r="T109" s="667">
        <v>0</v>
      </c>
      <c r="U109" s="667">
        <v>0</v>
      </c>
      <c r="V109" s="669">
        <v>0</v>
      </c>
      <c r="W109"/>
      <c r="X109"/>
      <c r="Y109" s="62"/>
      <c r="Z109" s="62"/>
    </row>
    <row r="110" spans="1:26" s="77" customFormat="1" ht="15.75">
      <c r="A110" s="665" t="s">
        <v>436</v>
      </c>
      <c r="B110" s="668" t="s">
        <v>525</v>
      </c>
      <c r="C110" s="665">
        <v>7381823</v>
      </c>
      <c r="D110" s="665">
        <v>1631238</v>
      </c>
      <c r="E110" s="665">
        <v>4129716</v>
      </c>
      <c r="F110" s="665">
        <v>626989</v>
      </c>
      <c r="G110" s="665">
        <v>64897</v>
      </c>
      <c r="H110" s="665"/>
      <c r="I110" s="665"/>
      <c r="J110" s="664">
        <v>13834663</v>
      </c>
      <c r="K110" s="664"/>
      <c r="L110" s="664"/>
      <c r="M110" s="664">
        <v>745813</v>
      </c>
      <c r="N110" s="665">
        <v>9894309</v>
      </c>
      <c r="O110" s="665">
        <v>2369322</v>
      </c>
      <c r="P110" s="665">
        <v>399029</v>
      </c>
      <c r="Q110" s="664">
        <v>13408473</v>
      </c>
      <c r="R110" s="664"/>
      <c r="S110" s="665"/>
      <c r="T110" s="664"/>
      <c r="U110" s="664"/>
      <c r="V110" s="666"/>
      <c r="W110"/>
      <c r="X110"/>
      <c r="Y110" s="62"/>
      <c r="Z110" s="62"/>
    </row>
    <row r="111" spans="1:26" s="77" customFormat="1" ht="15.75">
      <c r="A111" s="676"/>
      <c r="B111" s="668" t="s">
        <v>526</v>
      </c>
      <c r="C111" s="668">
        <v>7293246</v>
      </c>
      <c r="D111" s="668">
        <v>1558115</v>
      </c>
      <c r="E111" s="668">
        <v>3964517</v>
      </c>
      <c r="F111" s="668">
        <v>621858</v>
      </c>
      <c r="G111" s="668">
        <v>63037</v>
      </c>
      <c r="H111" s="668"/>
      <c r="I111" s="668"/>
      <c r="J111" s="667">
        <v>13500773</v>
      </c>
      <c r="K111" s="667"/>
      <c r="L111" s="667"/>
      <c r="M111" s="667">
        <v>676958</v>
      </c>
      <c r="N111" s="668">
        <v>9373902</v>
      </c>
      <c r="O111" s="668">
        <v>2133894</v>
      </c>
      <c r="P111" s="668">
        <v>395796</v>
      </c>
      <c r="Q111" s="667">
        <v>12580550</v>
      </c>
      <c r="R111" s="667"/>
      <c r="S111" s="668"/>
      <c r="T111" s="667"/>
      <c r="U111" s="667"/>
      <c r="V111" s="669"/>
      <c r="W111"/>
      <c r="X111"/>
      <c r="Y111" s="62"/>
      <c r="Z111" s="62"/>
    </row>
    <row r="112" spans="1:26" s="77" customFormat="1" ht="15.75">
      <c r="A112" s="676"/>
      <c r="B112" s="668" t="s">
        <v>527</v>
      </c>
      <c r="C112" s="668">
        <v>3978755</v>
      </c>
      <c r="D112" s="668">
        <v>852464</v>
      </c>
      <c r="E112" s="668">
        <v>2375118</v>
      </c>
      <c r="F112" s="668">
        <v>457862</v>
      </c>
      <c r="G112" s="668">
        <v>30061</v>
      </c>
      <c r="H112" s="668">
        <v>0</v>
      </c>
      <c r="I112" s="668">
        <v>0</v>
      </c>
      <c r="J112" s="667">
        <v>7694260</v>
      </c>
      <c r="K112" s="667">
        <v>0</v>
      </c>
      <c r="L112" s="667">
        <v>0</v>
      </c>
      <c r="M112" s="667">
        <v>469874</v>
      </c>
      <c r="N112" s="668">
        <v>5786112</v>
      </c>
      <c r="O112" s="668">
        <v>1395479</v>
      </c>
      <c r="P112" s="668">
        <v>236953</v>
      </c>
      <c r="Q112" s="667">
        <v>7888418</v>
      </c>
      <c r="R112" s="667">
        <v>0</v>
      </c>
      <c r="S112" s="668">
        <v>0</v>
      </c>
      <c r="T112" s="667">
        <v>0</v>
      </c>
      <c r="U112" s="667">
        <v>0</v>
      </c>
      <c r="V112" s="669">
        <v>0</v>
      </c>
      <c r="W112"/>
      <c r="X112"/>
      <c r="Y112" s="62"/>
      <c r="Z112" s="62"/>
    </row>
    <row r="113" spans="1:26" s="77" customFormat="1" ht="15.75">
      <c r="A113" s="676"/>
      <c r="B113" s="668" t="s">
        <v>528</v>
      </c>
      <c r="C113" s="668">
        <v>3904269</v>
      </c>
      <c r="D113" s="668">
        <v>898430</v>
      </c>
      <c r="E113" s="668">
        <v>2354934</v>
      </c>
      <c r="F113" s="668">
        <v>499034</v>
      </c>
      <c r="G113" s="668">
        <v>16578</v>
      </c>
      <c r="H113" s="668">
        <v>0</v>
      </c>
      <c r="I113" s="668">
        <v>0</v>
      </c>
      <c r="J113" s="667">
        <v>7673245</v>
      </c>
      <c r="K113" s="667">
        <v>0</v>
      </c>
      <c r="L113" s="667">
        <v>0</v>
      </c>
      <c r="M113" s="667">
        <v>501078</v>
      </c>
      <c r="N113" s="668">
        <v>7217395</v>
      </c>
      <c r="O113" s="668">
        <v>1322806</v>
      </c>
      <c r="P113" s="668">
        <v>252359</v>
      </c>
      <c r="Q113" s="667">
        <v>9293638</v>
      </c>
      <c r="R113" s="667">
        <v>0</v>
      </c>
      <c r="S113" s="668">
        <v>0</v>
      </c>
      <c r="T113" s="667">
        <v>0</v>
      </c>
      <c r="U113" s="667">
        <v>0</v>
      </c>
      <c r="V113" s="669">
        <v>0</v>
      </c>
      <c r="W113"/>
      <c r="X113"/>
      <c r="Y113" s="62"/>
      <c r="Z113" s="62"/>
    </row>
    <row r="114" spans="1:26" s="77" customFormat="1" ht="15.75">
      <c r="A114" s="676"/>
      <c r="B114" s="668" t="s">
        <v>529</v>
      </c>
      <c r="C114" s="668">
        <v>1313776</v>
      </c>
      <c r="D114" s="668">
        <v>239543</v>
      </c>
      <c r="E114" s="668">
        <v>724450</v>
      </c>
      <c r="F114" s="668">
        <v>85412</v>
      </c>
      <c r="G114" s="668">
        <v>4461</v>
      </c>
      <c r="H114" s="668"/>
      <c r="I114" s="668"/>
      <c r="J114" s="667">
        <v>2367642</v>
      </c>
      <c r="K114" s="667"/>
      <c r="L114" s="667"/>
      <c r="M114" s="667">
        <v>0</v>
      </c>
      <c r="N114" s="668">
        <v>0</v>
      </c>
      <c r="O114" s="668">
        <v>0</v>
      </c>
      <c r="P114" s="668">
        <v>0</v>
      </c>
      <c r="Q114" s="667">
        <v>0</v>
      </c>
      <c r="R114" s="667"/>
      <c r="S114" s="668"/>
      <c r="T114" s="667"/>
      <c r="U114" s="667"/>
      <c r="V114" s="669"/>
      <c r="W114"/>
      <c r="X114"/>
      <c r="Y114" s="62"/>
      <c r="Z114" s="62"/>
    </row>
    <row r="115" spans="1:26" s="77" customFormat="1" ht="15.75">
      <c r="A115" s="676"/>
      <c r="B115" s="668" t="s">
        <v>530</v>
      </c>
      <c r="C115" s="668">
        <v>1347116</v>
      </c>
      <c r="D115" s="668">
        <v>254293</v>
      </c>
      <c r="E115" s="668">
        <v>792696</v>
      </c>
      <c r="F115" s="668">
        <v>79157</v>
      </c>
      <c r="G115" s="668">
        <v>4926</v>
      </c>
      <c r="H115" s="668"/>
      <c r="I115" s="668"/>
      <c r="J115" s="667">
        <v>2478188</v>
      </c>
      <c r="K115" s="667"/>
      <c r="L115" s="667"/>
      <c r="M115" s="667">
        <v>0</v>
      </c>
      <c r="N115" s="668">
        <v>0</v>
      </c>
      <c r="O115" s="668">
        <v>0</v>
      </c>
      <c r="P115" s="668">
        <v>0</v>
      </c>
      <c r="Q115" s="667">
        <v>0</v>
      </c>
      <c r="R115" s="667"/>
      <c r="S115" s="668"/>
      <c r="T115" s="667"/>
      <c r="U115" s="667"/>
      <c r="V115" s="669"/>
      <c r="W115"/>
      <c r="X115"/>
      <c r="Y115" s="62"/>
      <c r="Z115" s="62"/>
    </row>
    <row r="116" spans="1:26" s="77" customFormat="1" ht="15.75">
      <c r="A116" s="676"/>
      <c r="B116" s="668" t="s">
        <v>531</v>
      </c>
      <c r="C116" s="668">
        <v>639326</v>
      </c>
      <c r="D116" s="668">
        <v>145395</v>
      </c>
      <c r="E116" s="668">
        <v>577542</v>
      </c>
      <c r="F116" s="668">
        <v>68996</v>
      </c>
      <c r="G116" s="668">
        <v>2680</v>
      </c>
      <c r="H116" s="668">
        <v>0</v>
      </c>
      <c r="I116" s="668">
        <v>0</v>
      </c>
      <c r="J116" s="667">
        <v>1433939</v>
      </c>
      <c r="K116" s="667">
        <v>0</v>
      </c>
      <c r="L116" s="667">
        <v>0</v>
      </c>
      <c r="M116" s="667">
        <v>0</v>
      </c>
      <c r="N116" s="668">
        <v>0</v>
      </c>
      <c r="O116" s="668">
        <v>0</v>
      </c>
      <c r="P116" s="668">
        <v>0</v>
      </c>
      <c r="Q116" s="667">
        <v>0</v>
      </c>
      <c r="R116" s="667">
        <v>0</v>
      </c>
      <c r="S116" s="668">
        <v>0</v>
      </c>
      <c r="T116" s="667">
        <v>0</v>
      </c>
      <c r="U116" s="667">
        <v>0</v>
      </c>
      <c r="V116" s="669">
        <v>0</v>
      </c>
      <c r="W116"/>
      <c r="X116"/>
      <c r="Y116" s="62"/>
      <c r="Z116" s="62"/>
    </row>
    <row r="117" spans="1:26" s="77" customFormat="1" ht="15.75">
      <c r="A117" s="678"/>
      <c r="B117" s="668" t="s">
        <v>532</v>
      </c>
      <c r="C117" s="668">
        <v>662277</v>
      </c>
      <c r="D117" s="668">
        <v>161570</v>
      </c>
      <c r="E117" s="668">
        <v>653234</v>
      </c>
      <c r="F117" s="668">
        <v>63826</v>
      </c>
      <c r="G117" s="668">
        <v>2487</v>
      </c>
      <c r="H117" s="668">
        <v>0</v>
      </c>
      <c r="I117" s="668">
        <v>0</v>
      </c>
      <c r="J117" s="667">
        <v>1543394</v>
      </c>
      <c r="K117" s="667">
        <v>0</v>
      </c>
      <c r="L117" s="667">
        <v>0</v>
      </c>
      <c r="M117" s="667">
        <v>0</v>
      </c>
      <c r="N117" s="668">
        <v>0</v>
      </c>
      <c r="O117" s="668">
        <v>0</v>
      </c>
      <c r="P117" s="668">
        <v>0</v>
      </c>
      <c r="Q117" s="667">
        <v>0</v>
      </c>
      <c r="R117" s="667">
        <v>0</v>
      </c>
      <c r="S117" s="668">
        <v>0</v>
      </c>
      <c r="T117" s="667">
        <v>0</v>
      </c>
      <c r="U117" s="667">
        <v>0</v>
      </c>
      <c r="V117" s="669">
        <v>0</v>
      </c>
      <c r="W117"/>
      <c r="X117"/>
      <c r="Y117" s="62"/>
      <c r="Z117" s="62"/>
    </row>
    <row r="118" spans="1:26" s="77" customFormat="1" ht="15.75">
      <c r="A118" s="665" t="s">
        <v>438</v>
      </c>
      <c r="B118" s="668" t="s">
        <v>525</v>
      </c>
      <c r="C118" s="665">
        <v>3317776</v>
      </c>
      <c r="D118" s="665">
        <v>182600.3</v>
      </c>
      <c r="E118" s="665">
        <v>922524</v>
      </c>
      <c r="F118" s="665">
        <v>136802</v>
      </c>
      <c r="G118" s="665">
        <v>364064</v>
      </c>
      <c r="H118" s="665">
        <v>45821</v>
      </c>
      <c r="I118" s="665"/>
      <c r="J118" s="664">
        <v>4969587.3</v>
      </c>
      <c r="K118" s="664"/>
      <c r="L118" s="664"/>
      <c r="M118" s="664"/>
      <c r="N118" s="665">
        <v>1599415</v>
      </c>
      <c r="O118" s="665">
        <v>777539</v>
      </c>
      <c r="P118" s="665">
        <v>473870</v>
      </c>
      <c r="Q118" s="664">
        <v>2850824</v>
      </c>
      <c r="R118" s="664"/>
      <c r="S118" s="665"/>
      <c r="T118" s="664"/>
      <c r="U118" s="664"/>
      <c r="V118" s="666"/>
      <c r="W118"/>
      <c r="X118"/>
      <c r="Y118" s="62"/>
      <c r="Z118" s="62"/>
    </row>
    <row r="119" spans="1:26" s="77" customFormat="1" ht="15.75">
      <c r="A119" s="676"/>
      <c r="B119" s="668" t="s">
        <v>526</v>
      </c>
      <c r="C119" s="668">
        <v>3295771</v>
      </c>
      <c r="D119" s="668">
        <v>186084.5</v>
      </c>
      <c r="E119" s="668">
        <v>899462</v>
      </c>
      <c r="F119" s="668">
        <v>133357</v>
      </c>
      <c r="G119" s="668">
        <v>338062</v>
      </c>
      <c r="H119" s="668">
        <v>46290</v>
      </c>
      <c r="I119" s="668"/>
      <c r="J119" s="667">
        <v>4899026.5</v>
      </c>
      <c r="K119" s="667"/>
      <c r="L119" s="667"/>
      <c r="M119" s="667"/>
      <c r="N119" s="668">
        <v>1550720</v>
      </c>
      <c r="O119" s="668">
        <v>742004</v>
      </c>
      <c r="P119" s="668">
        <v>452149.5</v>
      </c>
      <c r="Q119" s="667">
        <v>2744873.5</v>
      </c>
      <c r="R119" s="667"/>
      <c r="S119" s="668"/>
      <c r="T119" s="667"/>
      <c r="U119" s="667"/>
      <c r="V119" s="669"/>
      <c r="W119"/>
      <c r="X119"/>
      <c r="Y119" s="62"/>
      <c r="Z119" s="62"/>
    </row>
    <row r="120" spans="1:26" s="77" customFormat="1" ht="15.75">
      <c r="A120" s="676"/>
      <c r="B120" s="668" t="s">
        <v>527</v>
      </c>
      <c r="C120" s="668">
        <v>1462620.5</v>
      </c>
      <c r="D120" s="668">
        <v>78805.5</v>
      </c>
      <c r="E120" s="668">
        <v>374726</v>
      </c>
      <c r="F120" s="668">
        <v>43499</v>
      </c>
      <c r="G120" s="668">
        <v>121901</v>
      </c>
      <c r="H120" s="668">
        <v>12396</v>
      </c>
      <c r="I120" s="668">
        <v>0</v>
      </c>
      <c r="J120" s="667">
        <v>2093948</v>
      </c>
      <c r="K120" s="667">
        <v>0</v>
      </c>
      <c r="L120" s="667">
        <v>0</v>
      </c>
      <c r="M120" s="667">
        <v>0</v>
      </c>
      <c r="N120" s="668">
        <v>877763</v>
      </c>
      <c r="O120" s="668">
        <v>460757</v>
      </c>
      <c r="P120" s="668">
        <v>277583</v>
      </c>
      <c r="Q120" s="667">
        <v>1616103</v>
      </c>
      <c r="R120" s="667">
        <v>0</v>
      </c>
      <c r="S120" s="668">
        <v>0</v>
      </c>
      <c r="T120" s="667">
        <v>0</v>
      </c>
      <c r="U120" s="667">
        <v>0</v>
      </c>
      <c r="V120" s="669">
        <v>0</v>
      </c>
      <c r="W120"/>
      <c r="X120"/>
      <c r="Y120" s="62"/>
      <c r="Z120" s="62"/>
    </row>
    <row r="121" spans="1:26" s="77" customFormat="1" ht="15.75">
      <c r="A121" s="676"/>
      <c r="B121" s="668" t="s">
        <v>528</v>
      </c>
      <c r="C121" s="668">
        <v>1885232.5</v>
      </c>
      <c r="D121" s="668">
        <v>86598</v>
      </c>
      <c r="E121" s="668">
        <v>429498</v>
      </c>
      <c r="F121" s="668">
        <v>64468</v>
      </c>
      <c r="G121" s="668">
        <v>111900</v>
      </c>
      <c r="H121" s="668">
        <v>12917</v>
      </c>
      <c r="I121" s="668">
        <v>0</v>
      </c>
      <c r="J121" s="667">
        <v>2590613.5</v>
      </c>
      <c r="K121" s="667">
        <v>0</v>
      </c>
      <c r="L121" s="667">
        <v>0</v>
      </c>
      <c r="M121" s="667">
        <v>0</v>
      </c>
      <c r="N121" s="668">
        <v>1110141</v>
      </c>
      <c r="O121" s="668">
        <v>555957</v>
      </c>
      <c r="P121" s="668">
        <v>302102.5</v>
      </c>
      <c r="Q121" s="667">
        <v>1968200.5</v>
      </c>
      <c r="R121" s="667">
        <v>0</v>
      </c>
      <c r="S121" s="668">
        <v>0</v>
      </c>
      <c r="T121" s="667">
        <v>0</v>
      </c>
      <c r="U121" s="667">
        <v>0</v>
      </c>
      <c r="V121" s="669">
        <v>0</v>
      </c>
      <c r="W121"/>
      <c r="X121"/>
      <c r="Y121" s="62"/>
      <c r="Z121" s="62"/>
    </row>
    <row r="122" spans="1:26" s="77" customFormat="1" ht="15.75">
      <c r="A122" s="676"/>
      <c r="B122" s="668" t="s">
        <v>529</v>
      </c>
      <c r="C122" s="668">
        <v>720167</v>
      </c>
      <c r="D122" s="668">
        <v>62133.5</v>
      </c>
      <c r="E122" s="668">
        <v>82293</v>
      </c>
      <c r="F122" s="668">
        <v>8473</v>
      </c>
      <c r="G122" s="668">
        <v>22499.599999999999</v>
      </c>
      <c r="H122" s="668">
        <v>0</v>
      </c>
      <c r="I122" s="668"/>
      <c r="J122" s="667">
        <v>895566.1</v>
      </c>
      <c r="K122" s="667"/>
      <c r="L122" s="667"/>
      <c r="M122" s="667"/>
      <c r="N122" s="668">
        <v>0</v>
      </c>
      <c r="O122" s="668">
        <v>0</v>
      </c>
      <c r="P122" s="668">
        <v>0</v>
      </c>
      <c r="Q122" s="667">
        <v>0</v>
      </c>
      <c r="R122" s="667"/>
      <c r="S122" s="668"/>
      <c r="T122" s="667"/>
      <c r="U122" s="667"/>
      <c r="V122" s="669"/>
      <c r="W122"/>
      <c r="X122"/>
      <c r="Y122" s="62"/>
      <c r="Z122" s="62"/>
    </row>
    <row r="123" spans="1:26" s="77" customFormat="1" ht="15.75">
      <c r="A123" s="676"/>
      <c r="B123" s="668" t="s">
        <v>530</v>
      </c>
      <c r="C123" s="668">
        <v>752273.5</v>
      </c>
      <c r="D123" s="668">
        <v>67359</v>
      </c>
      <c r="E123" s="668">
        <v>81001.2</v>
      </c>
      <c r="F123" s="668">
        <v>8173</v>
      </c>
      <c r="G123" s="668">
        <v>28779.8</v>
      </c>
      <c r="H123" s="668">
        <v>0</v>
      </c>
      <c r="I123" s="668"/>
      <c r="J123" s="667">
        <v>937586.5</v>
      </c>
      <c r="K123" s="667"/>
      <c r="L123" s="667"/>
      <c r="M123" s="667"/>
      <c r="N123" s="668">
        <v>0</v>
      </c>
      <c r="O123" s="668">
        <v>0</v>
      </c>
      <c r="P123" s="668">
        <v>0</v>
      </c>
      <c r="Q123" s="667">
        <v>0</v>
      </c>
      <c r="R123" s="667"/>
      <c r="S123" s="668"/>
      <c r="T123" s="667"/>
      <c r="U123" s="667"/>
      <c r="V123" s="669"/>
      <c r="W123"/>
      <c r="X123"/>
      <c r="Y123" s="62"/>
      <c r="Z123" s="62"/>
    </row>
    <row r="124" spans="1:26" s="77" customFormat="1" ht="15.75">
      <c r="A124" s="676"/>
      <c r="B124" s="668" t="s">
        <v>531</v>
      </c>
      <c r="C124" s="668">
        <v>279632</v>
      </c>
      <c r="D124" s="668">
        <v>30282</v>
      </c>
      <c r="E124" s="668">
        <v>41215</v>
      </c>
      <c r="F124" s="668">
        <v>2367</v>
      </c>
      <c r="G124" s="668">
        <v>16465</v>
      </c>
      <c r="H124" s="668">
        <v>0</v>
      </c>
      <c r="I124" s="668">
        <v>0</v>
      </c>
      <c r="J124" s="667">
        <v>369961</v>
      </c>
      <c r="K124" s="667">
        <v>0</v>
      </c>
      <c r="L124" s="667">
        <v>0</v>
      </c>
      <c r="M124" s="667">
        <v>0</v>
      </c>
      <c r="N124" s="668">
        <v>0</v>
      </c>
      <c r="O124" s="668">
        <v>0</v>
      </c>
      <c r="P124" s="668">
        <v>0</v>
      </c>
      <c r="Q124" s="667">
        <v>0</v>
      </c>
      <c r="R124" s="667">
        <v>0</v>
      </c>
      <c r="S124" s="668">
        <v>0</v>
      </c>
      <c r="T124" s="667">
        <v>0</v>
      </c>
      <c r="U124" s="667">
        <v>0</v>
      </c>
      <c r="V124" s="669">
        <v>0</v>
      </c>
      <c r="W124"/>
      <c r="X124"/>
      <c r="Y124" s="62"/>
      <c r="Z124" s="62"/>
    </row>
    <row r="125" spans="1:26" s="77" customFormat="1" ht="15.75">
      <c r="A125" s="676"/>
      <c r="B125" s="668" t="s">
        <v>532</v>
      </c>
      <c r="C125" s="668">
        <v>400491</v>
      </c>
      <c r="D125" s="668">
        <v>41790.5</v>
      </c>
      <c r="E125" s="668">
        <v>43157.2</v>
      </c>
      <c r="F125" s="668">
        <v>3567</v>
      </c>
      <c r="G125" s="668">
        <v>21649.4</v>
      </c>
      <c r="H125" s="668">
        <v>0</v>
      </c>
      <c r="I125" s="668">
        <v>0</v>
      </c>
      <c r="J125" s="667">
        <v>510655.10000000003</v>
      </c>
      <c r="K125" s="667">
        <v>0</v>
      </c>
      <c r="L125" s="667">
        <v>0</v>
      </c>
      <c r="M125" s="667">
        <v>0</v>
      </c>
      <c r="N125" s="668">
        <v>0</v>
      </c>
      <c r="O125" s="668">
        <v>0</v>
      </c>
      <c r="P125" s="668">
        <v>0</v>
      </c>
      <c r="Q125" s="667">
        <v>0</v>
      </c>
      <c r="R125" s="667">
        <v>0</v>
      </c>
      <c r="S125" s="668">
        <v>0</v>
      </c>
      <c r="T125" s="667">
        <v>0</v>
      </c>
      <c r="U125" s="667">
        <v>0</v>
      </c>
      <c r="V125" s="669">
        <v>0</v>
      </c>
      <c r="W125"/>
      <c r="X125"/>
      <c r="Y125" s="62"/>
      <c r="Z125" s="62"/>
    </row>
    <row r="126" spans="1:26" s="77" customFormat="1" ht="15.75">
      <c r="A126" s="665" t="s">
        <v>477</v>
      </c>
      <c r="B126" s="668" t="s">
        <v>525</v>
      </c>
      <c r="C126" s="665">
        <v>598709</v>
      </c>
      <c r="D126" s="665"/>
      <c r="E126" s="665">
        <v>237987</v>
      </c>
      <c r="F126" s="665">
        <v>125002</v>
      </c>
      <c r="G126" s="665">
        <v>213609</v>
      </c>
      <c r="H126" s="665">
        <v>107883</v>
      </c>
      <c r="I126" s="665"/>
      <c r="J126" s="664">
        <v>1283190</v>
      </c>
      <c r="K126" s="664">
        <v>0</v>
      </c>
      <c r="L126" s="664">
        <v>0</v>
      </c>
      <c r="M126" s="664">
        <v>85741</v>
      </c>
      <c r="N126" s="665"/>
      <c r="O126" s="665">
        <v>50852</v>
      </c>
      <c r="P126" s="665">
        <v>199350</v>
      </c>
      <c r="Q126" s="664">
        <v>335943</v>
      </c>
      <c r="R126" s="664"/>
      <c r="S126" s="665"/>
      <c r="T126" s="664"/>
      <c r="U126" s="664"/>
      <c r="V126" s="666"/>
      <c r="W126"/>
      <c r="X126"/>
      <c r="Y126" s="62"/>
      <c r="Z126" s="62"/>
    </row>
    <row r="127" spans="1:26" s="77" customFormat="1" ht="15.75">
      <c r="A127" s="676"/>
      <c r="B127" s="668" t="s">
        <v>526</v>
      </c>
      <c r="C127" s="668">
        <v>563952</v>
      </c>
      <c r="D127" s="668"/>
      <c r="E127" s="668">
        <v>220322</v>
      </c>
      <c r="F127" s="668">
        <v>111764</v>
      </c>
      <c r="G127" s="668">
        <v>195853</v>
      </c>
      <c r="H127" s="668">
        <v>103575</v>
      </c>
      <c r="I127" s="668"/>
      <c r="J127" s="667">
        <v>1195466</v>
      </c>
      <c r="K127" s="667">
        <v>0</v>
      </c>
      <c r="L127" s="667">
        <v>0</v>
      </c>
      <c r="M127" s="667">
        <v>79349</v>
      </c>
      <c r="N127" s="668"/>
      <c r="O127" s="668">
        <v>39810</v>
      </c>
      <c r="P127" s="668">
        <v>180648</v>
      </c>
      <c r="Q127" s="667">
        <v>299807</v>
      </c>
      <c r="R127" s="667"/>
      <c r="S127" s="668"/>
      <c r="T127" s="667"/>
      <c r="U127" s="667"/>
      <c r="V127" s="669"/>
      <c r="W127"/>
      <c r="X127"/>
      <c r="Y127" s="62"/>
      <c r="Z127" s="62"/>
    </row>
    <row r="128" spans="1:26" s="77" customFormat="1" ht="15.75">
      <c r="A128" s="676"/>
      <c r="B128" s="668" t="s">
        <v>527</v>
      </c>
      <c r="C128" s="668">
        <v>260149</v>
      </c>
      <c r="D128" s="668">
        <v>0</v>
      </c>
      <c r="E128" s="668">
        <v>114746</v>
      </c>
      <c r="F128" s="668">
        <v>32994</v>
      </c>
      <c r="G128" s="668">
        <v>93705</v>
      </c>
      <c r="H128" s="668">
        <v>41125</v>
      </c>
      <c r="I128" s="668">
        <v>0</v>
      </c>
      <c r="J128" s="667">
        <v>542719</v>
      </c>
      <c r="K128" s="667">
        <v>0</v>
      </c>
      <c r="L128" s="667">
        <v>0</v>
      </c>
      <c r="M128" s="667">
        <v>32421</v>
      </c>
      <c r="N128" s="668">
        <v>0</v>
      </c>
      <c r="O128" s="668">
        <v>28062</v>
      </c>
      <c r="P128" s="668">
        <v>102350</v>
      </c>
      <c r="Q128" s="667">
        <v>162833</v>
      </c>
      <c r="R128" s="667">
        <v>0</v>
      </c>
      <c r="S128" s="668">
        <v>0</v>
      </c>
      <c r="T128" s="667">
        <v>0</v>
      </c>
      <c r="U128" s="667">
        <v>0</v>
      </c>
      <c r="V128" s="669">
        <v>0</v>
      </c>
      <c r="W128"/>
      <c r="X128"/>
      <c r="Y128" s="62"/>
      <c r="Z128" s="62"/>
    </row>
    <row r="129" spans="1:26" s="77" customFormat="1" ht="15.75">
      <c r="A129" s="676"/>
      <c r="B129" s="668" t="s">
        <v>528</v>
      </c>
      <c r="C129" s="668">
        <v>276525</v>
      </c>
      <c r="D129" s="668">
        <v>0</v>
      </c>
      <c r="E129" s="668">
        <v>108947</v>
      </c>
      <c r="F129" s="668">
        <v>24802</v>
      </c>
      <c r="G129" s="668">
        <v>103736</v>
      </c>
      <c r="H129" s="668">
        <v>43793</v>
      </c>
      <c r="I129" s="668">
        <v>0</v>
      </c>
      <c r="J129" s="667">
        <v>557803</v>
      </c>
      <c r="K129" s="667">
        <v>0</v>
      </c>
      <c r="L129" s="667">
        <v>0</v>
      </c>
      <c r="M129" s="667">
        <v>36645</v>
      </c>
      <c r="N129" s="668">
        <v>0</v>
      </c>
      <c r="O129" s="668">
        <v>32180</v>
      </c>
      <c r="P129" s="668">
        <v>106035</v>
      </c>
      <c r="Q129" s="667">
        <v>174860</v>
      </c>
      <c r="R129" s="667">
        <v>0</v>
      </c>
      <c r="S129" s="668">
        <v>0</v>
      </c>
      <c r="T129" s="667">
        <v>0</v>
      </c>
      <c r="U129" s="667">
        <v>0</v>
      </c>
      <c r="V129" s="669">
        <v>0</v>
      </c>
      <c r="W129"/>
      <c r="X129"/>
      <c r="Y129" s="62"/>
      <c r="Z129" s="62"/>
    </row>
    <row r="130" spans="1:26" s="77" customFormat="1" ht="15.75">
      <c r="A130" s="676"/>
      <c r="B130" s="668" t="s">
        <v>529</v>
      </c>
      <c r="C130" s="668">
        <v>88595</v>
      </c>
      <c r="D130" s="668"/>
      <c r="E130" s="668">
        <v>61591</v>
      </c>
      <c r="F130" s="668">
        <v>9693</v>
      </c>
      <c r="G130" s="668">
        <v>21804</v>
      </c>
      <c r="H130" s="668">
        <v>0</v>
      </c>
      <c r="I130" s="668"/>
      <c r="J130" s="667">
        <v>181683</v>
      </c>
      <c r="K130" s="667">
        <v>0</v>
      </c>
      <c r="L130" s="667">
        <v>0</v>
      </c>
      <c r="M130" s="667">
        <v>0</v>
      </c>
      <c r="N130" s="668"/>
      <c r="O130" s="668">
        <v>0</v>
      </c>
      <c r="P130" s="668">
        <v>0</v>
      </c>
      <c r="Q130" s="667">
        <v>0</v>
      </c>
      <c r="R130" s="667"/>
      <c r="S130" s="668"/>
      <c r="T130" s="667"/>
      <c r="U130" s="667"/>
      <c r="V130" s="669"/>
      <c r="W130"/>
      <c r="X130"/>
      <c r="Y130" s="62"/>
      <c r="Z130" s="62"/>
    </row>
    <row r="131" spans="1:26" s="77" customFormat="1" ht="15.75">
      <c r="A131" s="676"/>
      <c r="B131" s="668" t="s">
        <v>530</v>
      </c>
      <c r="C131" s="668">
        <v>90458</v>
      </c>
      <c r="D131" s="668"/>
      <c r="E131" s="668">
        <v>61970</v>
      </c>
      <c r="F131" s="668">
        <v>11054</v>
      </c>
      <c r="G131" s="668">
        <v>29075</v>
      </c>
      <c r="H131" s="668">
        <v>0</v>
      </c>
      <c r="I131" s="668"/>
      <c r="J131" s="667">
        <v>192557</v>
      </c>
      <c r="K131" s="667">
        <v>0</v>
      </c>
      <c r="L131" s="667">
        <v>0</v>
      </c>
      <c r="M131" s="667">
        <v>0</v>
      </c>
      <c r="N131" s="668"/>
      <c r="O131" s="668">
        <v>0</v>
      </c>
      <c r="P131" s="668">
        <v>0</v>
      </c>
      <c r="Q131" s="667">
        <v>0</v>
      </c>
      <c r="R131" s="667"/>
      <c r="S131" s="668"/>
      <c r="T131" s="667"/>
      <c r="U131" s="667"/>
      <c r="V131" s="669"/>
      <c r="W131"/>
      <c r="X131"/>
      <c r="Y131" s="62"/>
      <c r="Z131" s="62"/>
    </row>
    <row r="132" spans="1:26" s="77" customFormat="1" ht="15.75">
      <c r="A132" s="676"/>
      <c r="B132" s="668" t="s">
        <v>531</v>
      </c>
      <c r="C132" s="668">
        <v>36262</v>
      </c>
      <c r="D132" s="668">
        <v>0</v>
      </c>
      <c r="E132" s="668">
        <v>37721</v>
      </c>
      <c r="F132" s="668">
        <v>3617</v>
      </c>
      <c r="G132" s="668">
        <v>16878</v>
      </c>
      <c r="H132" s="668">
        <v>0</v>
      </c>
      <c r="I132" s="668">
        <v>0</v>
      </c>
      <c r="J132" s="667">
        <v>94478</v>
      </c>
      <c r="K132" s="667">
        <v>0</v>
      </c>
      <c r="L132" s="667">
        <v>0</v>
      </c>
      <c r="M132" s="667">
        <v>0</v>
      </c>
      <c r="N132" s="668">
        <v>0</v>
      </c>
      <c r="O132" s="668">
        <v>0</v>
      </c>
      <c r="P132" s="668">
        <v>0</v>
      </c>
      <c r="Q132" s="667">
        <v>0</v>
      </c>
      <c r="R132" s="667">
        <v>0</v>
      </c>
      <c r="S132" s="668">
        <v>0</v>
      </c>
      <c r="T132" s="667">
        <v>0</v>
      </c>
      <c r="U132" s="667">
        <v>0</v>
      </c>
      <c r="V132" s="669">
        <v>0</v>
      </c>
      <c r="W132"/>
      <c r="X132"/>
      <c r="Y132" s="62"/>
      <c r="Z132" s="62"/>
    </row>
    <row r="133" spans="1:26" s="77" customFormat="1" ht="15.75">
      <c r="A133" s="679"/>
      <c r="B133" s="674" t="s">
        <v>532</v>
      </c>
      <c r="C133" s="674">
        <v>41350</v>
      </c>
      <c r="D133" s="674">
        <v>0</v>
      </c>
      <c r="E133" s="674">
        <v>29963</v>
      </c>
      <c r="F133" s="674">
        <v>3500</v>
      </c>
      <c r="G133" s="674">
        <v>26197</v>
      </c>
      <c r="H133" s="674">
        <v>0</v>
      </c>
      <c r="I133" s="674">
        <v>0</v>
      </c>
      <c r="J133" s="673">
        <v>101010</v>
      </c>
      <c r="K133" s="673">
        <v>0</v>
      </c>
      <c r="L133" s="673">
        <v>0</v>
      </c>
      <c r="M133" s="673">
        <v>0</v>
      </c>
      <c r="N133" s="674">
        <v>0</v>
      </c>
      <c r="O133" s="674">
        <v>0</v>
      </c>
      <c r="P133" s="674">
        <v>0</v>
      </c>
      <c r="Q133" s="673">
        <v>0</v>
      </c>
      <c r="R133" s="673">
        <v>0</v>
      </c>
      <c r="S133" s="674">
        <v>0</v>
      </c>
      <c r="T133" s="673">
        <v>0</v>
      </c>
      <c r="U133" s="673">
        <v>0</v>
      </c>
      <c r="V133" s="675">
        <v>0</v>
      </c>
      <c r="W133"/>
      <c r="X133"/>
      <c r="Y133" s="62"/>
      <c r="Z133" s="62"/>
    </row>
    <row r="134" spans="1:26" s="77" customFormat="1">
      <c r="B134" s="88"/>
      <c r="P134" s="89"/>
      <c r="S134" s="90"/>
      <c r="T134" s="90"/>
      <c r="U134" s="90"/>
      <c r="V134" s="90"/>
    </row>
    <row r="135" spans="1:26" s="77" customFormat="1">
      <c r="S135" s="90"/>
      <c r="T135" s="90"/>
      <c r="U135" s="90"/>
      <c r="V135" s="90"/>
    </row>
    <row r="136" spans="1:26" s="77" customFormat="1">
      <c r="S136" s="90"/>
      <c r="T136" s="90"/>
      <c r="U136" s="90"/>
      <c r="V136" s="90"/>
    </row>
    <row r="137" spans="1:26" s="77" customFormat="1">
      <c r="B137" s="88"/>
      <c r="P137" s="89"/>
      <c r="S137" s="90"/>
      <c r="T137" s="90"/>
      <c r="U137" s="90"/>
      <c r="V137" s="90"/>
    </row>
    <row r="138" spans="1:26" s="77" customFormat="1">
      <c r="S138" s="90"/>
      <c r="T138" s="90"/>
      <c r="U138" s="90"/>
      <c r="V138" s="90"/>
    </row>
    <row r="139" spans="1:26" s="77" customFormat="1">
      <c r="S139" s="90"/>
      <c r="T139" s="90"/>
      <c r="U139" s="90"/>
      <c r="V139" s="90"/>
    </row>
    <row r="140" spans="1:26" s="77" customFormat="1">
      <c r="B140" s="88"/>
      <c r="P140" s="89"/>
      <c r="S140" s="90"/>
      <c r="T140" s="90"/>
      <c r="U140" s="90"/>
      <c r="V140" s="90"/>
    </row>
    <row r="141" spans="1:26" s="77" customFormat="1">
      <c r="S141" s="90"/>
      <c r="T141" s="90"/>
      <c r="U141" s="90"/>
      <c r="V141" s="90"/>
    </row>
    <row r="142" spans="1:26" s="77" customFormat="1">
      <c r="S142" s="90"/>
      <c r="T142" s="90"/>
      <c r="U142" s="90"/>
      <c r="V142" s="90"/>
    </row>
    <row r="143" spans="1:26" s="77" customFormat="1">
      <c r="B143" s="88"/>
      <c r="P143" s="89"/>
      <c r="S143" s="90"/>
      <c r="T143" s="90"/>
      <c r="U143" s="90"/>
      <c r="V143" s="90"/>
    </row>
    <row r="144" spans="1:26" s="77" customFormat="1">
      <c r="S144" s="90"/>
      <c r="T144" s="90"/>
      <c r="U144" s="90"/>
      <c r="V144" s="90"/>
    </row>
    <row r="145" spans="2:22" s="77" customFormat="1">
      <c r="S145" s="90"/>
      <c r="T145" s="90"/>
      <c r="U145" s="90"/>
      <c r="V145" s="90"/>
    </row>
    <row r="146" spans="2:22" s="77" customFormat="1">
      <c r="B146" s="88"/>
      <c r="P146" s="89"/>
      <c r="S146" s="90"/>
      <c r="T146" s="90"/>
      <c r="U146" s="90"/>
      <c r="V146" s="90"/>
    </row>
    <row r="147" spans="2:22" s="77" customFormat="1">
      <c r="S147" s="90"/>
      <c r="T147" s="90"/>
      <c r="U147" s="90"/>
      <c r="V147" s="90"/>
    </row>
    <row r="148" spans="2:22" s="77" customFormat="1">
      <c r="S148" s="90"/>
      <c r="T148" s="90"/>
      <c r="U148" s="90"/>
      <c r="V148" s="90"/>
    </row>
    <row r="149" spans="2:22" s="77" customFormat="1">
      <c r="B149" s="88"/>
      <c r="P149" s="89"/>
      <c r="S149" s="90"/>
      <c r="T149" s="90"/>
      <c r="U149" s="90"/>
      <c r="V149" s="90"/>
    </row>
    <row r="150" spans="2:22" s="77" customFormat="1">
      <c r="S150" s="90"/>
      <c r="T150" s="90"/>
      <c r="U150" s="90"/>
      <c r="V150" s="90"/>
    </row>
    <row r="151" spans="2:22" s="77" customFormat="1">
      <c r="S151" s="90"/>
      <c r="T151" s="90"/>
      <c r="U151" s="90"/>
      <c r="V151" s="90"/>
    </row>
    <row r="152" spans="2:22" s="77" customFormat="1">
      <c r="B152" s="88"/>
      <c r="P152" s="89"/>
      <c r="S152" s="90"/>
      <c r="T152" s="90"/>
      <c r="U152" s="90"/>
      <c r="V152" s="90"/>
    </row>
    <row r="153" spans="2:22" s="77" customFormat="1">
      <c r="S153" s="90"/>
      <c r="T153" s="90"/>
      <c r="U153" s="90"/>
      <c r="V153" s="90"/>
    </row>
    <row r="154" spans="2:22" s="77" customFormat="1">
      <c r="S154" s="90"/>
      <c r="T154" s="90"/>
      <c r="U154" s="90"/>
      <c r="V154" s="90"/>
    </row>
    <row r="155" spans="2:22" s="77" customFormat="1">
      <c r="B155" s="88"/>
      <c r="P155" s="89"/>
      <c r="S155" s="90"/>
      <c r="T155" s="90"/>
      <c r="U155" s="90"/>
      <c r="V155" s="90"/>
    </row>
    <row r="156" spans="2:22" s="77" customFormat="1">
      <c r="S156" s="90"/>
      <c r="T156" s="90"/>
      <c r="U156" s="90"/>
      <c r="V156" s="90"/>
    </row>
    <row r="157" spans="2:22" s="77" customFormat="1">
      <c r="S157" s="90"/>
      <c r="T157" s="90"/>
      <c r="U157" s="90"/>
      <c r="V157" s="90"/>
    </row>
    <row r="158" spans="2:22" s="77" customFormat="1">
      <c r="B158" s="88"/>
      <c r="P158" s="89"/>
      <c r="S158" s="90"/>
      <c r="T158" s="90"/>
      <c r="U158" s="90"/>
      <c r="V158" s="90"/>
    </row>
    <row r="159" spans="2:22" s="77" customFormat="1">
      <c r="S159" s="90"/>
      <c r="T159" s="90"/>
      <c r="U159" s="90"/>
      <c r="V159" s="90"/>
    </row>
    <row r="160" spans="2:22" s="77" customFormat="1">
      <c r="S160" s="90"/>
      <c r="T160" s="90"/>
      <c r="U160" s="90"/>
      <c r="V160" s="90"/>
    </row>
    <row r="161" spans="2:22" s="77" customFormat="1">
      <c r="B161" s="88"/>
      <c r="P161" s="89"/>
      <c r="S161" s="90"/>
      <c r="T161" s="90"/>
      <c r="U161" s="90"/>
      <c r="V161" s="90"/>
    </row>
    <row r="162" spans="2:22" s="77" customFormat="1">
      <c r="S162" s="90"/>
      <c r="T162" s="90"/>
      <c r="U162" s="90"/>
      <c r="V162" s="90"/>
    </row>
    <row r="163" spans="2:22" s="77" customFormat="1">
      <c r="S163" s="90"/>
      <c r="T163" s="90"/>
      <c r="U163" s="90"/>
      <c r="V163" s="90"/>
    </row>
    <row r="164" spans="2:22" s="77" customFormat="1">
      <c r="B164" s="88"/>
      <c r="P164" s="89"/>
      <c r="S164" s="90"/>
      <c r="T164" s="90"/>
      <c r="U164" s="90"/>
      <c r="V164" s="90"/>
    </row>
    <row r="165" spans="2:22" s="77" customFormat="1">
      <c r="S165" s="90"/>
      <c r="T165" s="90"/>
      <c r="U165" s="90"/>
      <c r="V165" s="90"/>
    </row>
    <row r="166" spans="2:22" s="77" customFormat="1">
      <c r="S166" s="90"/>
      <c r="T166" s="90"/>
      <c r="U166" s="90"/>
      <c r="V166" s="90"/>
    </row>
    <row r="167" spans="2:22" s="77" customFormat="1">
      <c r="B167" s="88"/>
      <c r="P167" s="89"/>
      <c r="S167" s="90"/>
      <c r="T167" s="90"/>
      <c r="U167" s="90"/>
      <c r="V167" s="90"/>
    </row>
    <row r="168" spans="2:22" s="77" customFormat="1">
      <c r="S168" s="90"/>
      <c r="T168" s="90"/>
      <c r="U168" s="90"/>
      <c r="V168" s="90"/>
    </row>
    <row r="169" spans="2:22" s="77" customFormat="1">
      <c r="S169" s="90"/>
      <c r="T169" s="90"/>
      <c r="U169" s="90"/>
      <c r="V169" s="90"/>
    </row>
    <row r="170" spans="2:22" s="77" customFormat="1">
      <c r="B170" s="88"/>
      <c r="P170" s="89"/>
      <c r="S170" s="90"/>
      <c r="T170" s="90"/>
      <c r="U170" s="90"/>
      <c r="V170" s="90"/>
    </row>
    <row r="171" spans="2:22" s="77" customFormat="1">
      <c r="S171" s="90"/>
      <c r="T171" s="90"/>
      <c r="U171" s="90"/>
      <c r="V171" s="90"/>
    </row>
    <row r="172" spans="2:22" s="77" customFormat="1">
      <c r="S172" s="90"/>
      <c r="T172" s="90"/>
      <c r="U172" s="90"/>
      <c r="V172" s="90"/>
    </row>
    <row r="173" spans="2:22" s="77" customFormat="1">
      <c r="B173" s="88"/>
      <c r="P173" s="89"/>
      <c r="S173" s="90"/>
      <c r="T173" s="90"/>
      <c r="U173" s="90"/>
      <c r="V173" s="90"/>
    </row>
    <row r="174" spans="2:22" s="77" customFormat="1">
      <c r="S174" s="90"/>
      <c r="T174" s="90"/>
      <c r="U174" s="90"/>
      <c r="V174" s="90"/>
    </row>
    <row r="175" spans="2:22" s="77" customFormat="1">
      <c r="S175" s="90"/>
      <c r="T175" s="90"/>
      <c r="U175" s="90"/>
      <c r="V175" s="90"/>
    </row>
    <row r="176" spans="2:22" s="77" customFormat="1">
      <c r="B176" s="88"/>
      <c r="P176" s="89"/>
      <c r="S176" s="90"/>
      <c r="T176" s="90"/>
      <c r="U176" s="90"/>
      <c r="V176" s="90"/>
    </row>
    <row r="177" spans="2:22" s="77" customFormat="1">
      <c r="S177" s="90"/>
      <c r="T177" s="90"/>
      <c r="U177" s="90"/>
      <c r="V177" s="90"/>
    </row>
    <row r="178" spans="2:22" s="77" customFormat="1">
      <c r="S178" s="90"/>
      <c r="T178" s="90"/>
      <c r="U178" s="90"/>
      <c r="V178" s="90"/>
    </row>
    <row r="179" spans="2:22" s="77" customFormat="1">
      <c r="B179" s="88"/>
      <c r="P179" s="89"/>
      <c r="S179" s="90"/>
      <c r="T179" s="90"/>
      <c r="U179" s="90"/>
      <c r="V179" s="90"/>
    </row>
    <row r="180" spans="2:22" s="77" customFormat="1">
      <c r="S180" s="90"/>
      <c r="T180" s="90"/>
      <c r="U180" s="90"/>
      <c r="V180" s="90"/>
    </row>
    <row r="181" spans="2:22" s="77" customFormat="1">
      <c r="S181" s="90"/>
      <c r="T181" s="90"/>
      <c r="U181" s="90"/>
      <c r="V181" s="90"/>
    </row>
    <row r="182" spans="2:22" s="77" customFormat="1">
      <c r="B182" s="88"/>
      <c r="P182" s="89"/>
      <c r="S182" s="90"/>
      <c r="T182" s="90"/>
      <c r="U182" s="90"/>
      <c r="V182" s="90"/>
    </row>
    <row r="183" spans="2:22" s="77" customFormat="1">
      <c r="S183" s="90"/>
      <c r="T183" s="90"/>
      <c r="U183" s="90"/>
      <c r="V183" s="90"/>
    </row>
    <row r="184" spans="2:22" s="77" customFormat="1">
      <c r="S184" s="90"/>
      <c r="T184" s="90"/>
      <c r="U184" s="90"/>
      <c r="V184" s="90"/>
    </row>
    <row r="185" spans="2:22" s="77" customFormat="1">
      <c r="B185" s="88"/>
      <c r="P185" s="89"/>
      <c r="S185" s="90"/>
      <c r="T185" s="90"/>
      <c r="U185" s="90"/>
      <c r="V185" s="90"/>
    </row>
    <row r="186" spans="2:22" s="77" customFormat="1">
      <c r="S186" s="90"/>
      <c r="T186" s="90"/>
      <c r="U186" s="90"/>
      <c r="V186" s="90"/>
    </row>
    <row r="187" spans="2:22" s="77" customFormat="1">
      <c r="S187" s="90"/>
      <c r="T187" s="90"/>
      <c r="U187" s="90"/>
      <c r="V187" s="90"/>
    </row>
    <row r="188" spans="2:22" s="77" customFormat="1">
      <c r="B188" s="88"/>
      <c r="P188" s="89"/>
      <c r="S188" s="90"/>
      <c r="T188" s="90"/>
      <c r="U188" s="90"/>
      <c r="V188" s="90"/>
    </row>
    <row r="189" spans="2:22" s="77" customFormat="1">
      <c r="S189" s="90"/>
      <c r="T189" s="90"/>
      <c r="U189" s="90"/>
      <c r="V189" s="90"/>
    </row>
    <row r="190" spans="2:22" s="77" customFormat="1">
      <c r="S190" s="90"/>
      <c r="T190" s="90"/>
      <c r="U190" s="90"/>
      <c r="V190" s="90"/>
    </row>
    <row r="191" spans="2:22" s="77" customFormat="1">
      <c r="B191" s="88"/>
      <c r="P191" s="89"/>
      <c r="S191" s="90"/>
      <c r="T191" s="90"/>
      <c r="U191" s="90"/>
      <c r="V191" s="90"/>
    </row>
    <row r="192" spans="2:22" s="77" customFormat="1">
      <c r="S192" s="90"/>
      <c r="T192" s="90"/>
      <c r="U192" s="90"/>
      <c r="V192" s="90"/>
    </row>
    <row r="193" spans="2:22" s="77" customFormat="1">
      <c r="S193" s="90"/>
      <c r="T193" s="90"/>
      <c r="U193" s="90"/>
      <c r="V193" s="90"/>
    </row>
    <row r="194" spans="2:22" s="77" customFormat="1">
      <c r="B194" s="88"/>
      <c r="P194" s="89"/>
      <c r="S194" s="90"/>
      <c r="T194" s="90"/>
      <c r="U194" s="90"/>
      <c r="V194" s="90"/>
    </row>
    <row r="195" spans="2:22" s="77" customFormat="1">
      <c r="S195" s="90"/>
      <c r="T195" s="90"/>
      <c r="U195" s="90"/>
      <c r="V195" s="90"/>
    </row>
    <row r="196" spans="2:22" s="77" customFormat="1">
      <c r="S196" s="90"/>
      <c r="T196" s="90"/>
      <c r="U196" s="90"/>
      <c r="V196" s="90"/>
    </row>
    <row r="197" spans="2:22" s="77" customFormat="1">
      <c r="B197" s="88"/>
      <c r="P197" s="89"/>
      <c r="S197" s="90"/>
      <c r="T197" s="90"/>
      <c r="U197" s="90"/>
      <c r="V197" s="90"/>
    </row>
    <row r="198" spans="2:22" s="77" customFormat="1">
      <c r="S198" s="90"/>
      <c r="T198" s="90"/>
      <c r="U198" s="90"/>
      <c r="V198" s="90"/>
    </row>
    <row r="199" spans="2:22" s="77" customFormat="1">
      <c r="S199" s="90"/>
      <c r="T199" s="90"/>
      <c r="U199" s="90"/>
      <c r="V199" s="90"/>
    </row>
    <row r="200" spans="2:22" s="77" customFormat="1">
      <c r="B200" s="88"/>
      <c r="P200" s="89"/>
      <c r="S200" s="90"/>
      <c r="T200" s="90"/>
      <c r="U200" s="90"/>
      <c r="V200" s="90"/>
    </row>
    <row r="201" spans="2:22" s="77" customFormat="1">
      <c r="S201" s="90"/>
      <c r="T201" s="90"/>
      <c r="U201" s="90"/>
      <c r="V201" s="90"/>
    </row>
    <row r="202" spans="2:22" s="77" customFormat="1">
      <c r="S202" s="90"/>
      <c r="T202" s="90"/>
      <c r="U202" s="90"/>
      <c r="V202" s="90"/>
    </row>
    <row r="203" spans="2:22" s="77" customFormat="1">
      <c r="B203" s="88"/>
      <c r="P203" s="89"/>
      <c r="S203" s="90"/>
      <c r="T203" s="90"/>
      <c r="U203" s="90"/>
      <c r="V203" s="90"/>
    </row>
    <row r="204" spans="2:22" s="77" customFormat="1">
      <c r="S204" s="90"/>
      <c r="T204" s="90"/>
      <c r="U204" s="90"/>
      <c r="V204" s="90"/>
    </row>
    <row r="205" spans="2:22" s="77" customFormat="1">
      <c r="S205" s="90"/>
      <c r="T205" s="90"/>
      <c r="U205" s="90"/>
      <c r="V205" s="90"/>
    </row>
    <row r="206" spans="2:22" s="77" customFormat="1">
      <c r="B206" s="88"/>
      <c r="P206" s="89"/>
      <c r="S206" s="90"/>
      <c r="T206" s="90"/>
      <c r="U206" s="90"/>
      <c r="V206" s="90"/>
    </row>
    <row r="207" spans="2:22" s="77" customFormat="1">
      <c r="S207" s="90"/>
      <c r="T207" s="90"/>
      <c r="U207" s="90"/>
      <c r="V207" s="90"/>
    </row>
    <row r="208" spans="2:22" s="77" customFormat="1">
      <c r="S208" s="90"/>
      <c r="T208" s="90"/>
      <c r="U208" s="90"/>
      <c r="V208" s="90"/>
    </row>
    <row r="209" spans="2:22" s="77" customFormat="1">
      <c r="B209" s="88"/>
      <c r="P209" s="89"/>
      <c r="S209" s="90"/>
      <c r="T209" s="90"/>
      <c r="U209" s="90"/>
      <c r="V209" s="90"/>
    </row>
    <row r="210" spans="2:22" s="77" customFormat="1">
      <c r="S210" s="90"/>
      <c r="T210" s="90"/>
      <c r="U210" s="90"/>
      <c r="V210" s="90"/>
    </row>
    <row r="211" spans="2:22" s="77" customFormat="1">
      <c r="S211" s="90"/>
      <c r="T211" s="90"/>
      <c r="U211" s="90"/>
      <c r="V211" s="90"/>
    </row>
    <row r="212" spans="2:22" s="77" customFormat="1">
      <c r="B212" s="88"/>
      <c r="P212" s="89"/>
      <c r="S212" s="90"/>
      <c r="T212" s="90"/>
      <c r="U212" s="90"/>
      <c r="V212" s="90"/>
    </row>
    <row r="213" spans="2:22" s="77" customFormat="1">
      <c r="S213" s="90"/>
      <c r="T213" s="90"/>
      <c r="U213" s="90"/>
      <c r="V213" s="90"/>
    </row>
    <row r="214" spans="2:22" s="77" customFormat="1">
      <c r="S214" s="90"/>
      <c r="T214" s="90"/>
      <c r="U214" s="90"/>
      <c r="V214" s="90"/>
    </row>
    <row r="215" spans="2:22" s="77" customFormat="1">
      <c r="B215" s="88"/>
      <c r="P215" s="89"/>
      <c r="S215" s="90"/>
      <c r="T215" s="90"/>
      <c r="U215" s="90"/>
      <c r="V215" s="90"/>
    </row>
    <row r="216" spans="2:22" s="77" customFormat="1">
      <c r="S216" s="90"/>
      <c r="T216" s="90"/>
      <c r="U216" s="90"/>
      <c r="V216" s="90"/>
    </row>
    <row r="217" spans="2:22" s="77" customFormat="1">
      <c r="S217" s="90"/>
      <c r="T217" s="90"/>
      <c r="U217" s="90"/>
      <c r="V217" s="90"/>
    </row>
    <row r="218" spans="2:22" s="77" customFormat="1">
      <c r="B218" s="88"/>
      <c r="P218" s="89"/>
      <c r="S218" s="90"/>
      <c r="T218" s="90"/>
      <c r="U218" s="90"/>
      <c r="V218" s="90"/>
    </row>
    <row r="219" spans="2:22" s="77" customFormat="1">
      <c r="S219" s="90"/>
      <c r="T219" s="90"/>
      <c r="U219" s="90"/>
      <c r="V219" s="90"/>
    </row>
    <row r="220" spans="2:22" s="77" customFormat="1">
      <c r="S220" s="90"/>
      <c r="T220" s="90"/>
      <c r="U220" s="90"/>
      <c r="V220" s="90"/>
    </row>
    <row r="221" spans="2:22" s="77" customFormat="1">
      <c r="B221" s="88"/>
      <c r="P221" s="89"/>
      <c r="S221" s="90"/>
      <c r="T221" s="90"/>
      <c r="U221" s="90"/>
      <c r="V221" s="90"/>
    </row>
    <row r="222" spans="2:22" s="77" customFormat="1">
      <c r="S222" s="90"/>
      <c r="T222" s="90"/>
      <c r="U222" s="90"/>
      <c r="V222" s="90"/>
    </row>
    <row r="223" spans="2:22" s="77" customFormat="1">
      <c r="S223" s="90"/>
      <c r="T223" s="90"/>
      <c r="U223" s="90"/>
      <c r="V223" s="90"/>
    </row>
    <row r="224" spans="2:22" s="77" customFormat="1">
      <c r="B224" s="88"/>
      <c r="P224" s="89"/>
      <c r="S224" s="90"/>
      <c r="T224" s="90"/>
      <c r="U224" s="90"/>
      <c r="V224" s="90"/>
    </row>
    <row r="225" spans="2:22" s="77" customFormat="1">
      <c r="S225" s="90"/>
      <c r="T225" s="90"/>
      <c r="U225" s="90"/>
      <c r="V225" s="90"/>
    </row>
    <row r="226" spans="2:22" s="77" customFormat="1">
      <c r="S226" s="90"/>
      <c r="T226" s="90"/>
      <c r="U226" s="90"/>
      <c r="V226" s="90"/>
    </row>
    <row r="227" spans="2:22" s="77" customFormat="1">
      <c r="B227" s="88"/>
      <c r="P227" s="89"/>
      <c r="S227" s="90"/>
      <c r="T227" s="90"/>
      <c r="U227" s="90"/>
      <c r="V227" s="90"/>
    </row>
    <row r="228" spans="2:22" s="77" customFormat="1">
      <c r="S228" s="90"/>
      <c r="T228" s="90"/>
      <c r="U228" s="90"/>
      <c r="V228" s="90"/>
    </row>
    <row r="229" spans="2:22" s="77" customFormat="1">
      <c r="S229" s="90"/>
      <c r="T229" s="90"/>
      <c r="U229" s="90"/>
      <c r="V229" s="90"/>
    </row>
    <row r="230" spans="2:22" s="77" customFormat="1">
      <c r="B230" s="88"/>
      <c r="P230" s="89"/>
      <c r="S230" s="90"/>
      <c r="T230" s="90"/>
      <c r="U230" s="90"/>
      <c r="V230" s="90"/>
    </row>
    <row r="231" spans="2:22" s="77" customFormat="1">
      <c r="S231" s="90"/>
      <c r="T231" s="90"/>
      <c r="U231" s="90"/>
      <c r="V231" s="90"/>
    </row>
    <row r="232" spans="2:22" s="77" customFormat="1">
      <c r="S232" s="90"/>
      <c r="T232" s="90"/>
      <c r="U232" s="90"/>
      <c r="V232" s="90"/>
    </row>
    <row r="233" spans="2:22" s="77" customFormat="1">
      <c r="B233" s="88"/>
      <c r="P233" s="89"/>
      <c r="S233" s="90"/>
      <c r="T233" s="90"/>
      <c r="U233" s="90"/>
      <c r="V233" s="90"/>
    </row>
    <row r="234" spans="2:22" s="77" customFormat="1">
      <c r="S234" s="90"/>
      <c r="T234" s="90"/>
      <c r="U234" s="90"/>
      <c r="V234" s="90"/>
    </row>
    <row r="235" spans="2:22" s="77" customFormat="1">
      <c r="S235" s="90"/>
      <c r="T235" s="90"/>
      <c r="U235" s="90"/>
      <c r="V235" s="90"/>
    </row>
    <row r="236" spans="2:22" s="77" customFormat="1">
      <c r="B236" s="88"/>
      <c r="P236" s="89"/>
      <c r="S236" s="90"/>
      <c r="T236" s="90"/>
      <c r="U236" s="90"/>
      <c r="V236" s="90"/>
    </row>
    <row r="237" spans="2:22" s="77" customFormat="1">
      <c r="S237" s="90"/>
      <c r="T237" s="90"/>
      <c r="U237" s="90"/>
      <c r="V237" s="90"/>
    </row>
    <row r="238" spans="2:22" s="77" customFormat="1">
      <c r="S238" s="90"/>
      <c r="T238" s="90"/>
      <c r="U238" s="90"/>
      <c r="V238" s="90"/>
    </row>
    <row r="239" spans="2:22" s="77" customFormat="1">
      <c r="B239" s="88"/>
      <c r="P239" s="89"/>
      <c r="S239" s="90"/>
      <c r="T239" s="90"/>
      <c r="U239" s="90"/>
      <c r="V239" s="90"/>
    </row>
    <row r="240" spans="2:22" s="77" customFormat="1">
      <c r="S240" s="90"/>
      <c r="T240" s="90"/>
      <c r="U240" s="90"/>
      <c r="V240" s="90"/>
    </row>
    <row r="241" spans="2:22" s="77" customFormat="1">
      <c r="S241" s="90"/>
      <c r="T241" s="90"/>
      <c r="U241" s="90"/>
      <c r="V241" s="90"/>
    </row>
    <row r="242" spans="2:22" s="77" customFormat="1">
      <c r="B242" s="88"/>
      <c r="P242" s="89"/>
      <c r="S242" s="90"/>
      <c r="T242" s="90"/>
      <c r="U242" s="90"/>
      <c r="V242" s="90"/>
    </row>
    <row r="243" spans="2:22" s="77" customFormat="1">
      <c r="S243" s="90"/>
      <c r="T243" s="90"/>
      <c r="U243" s="90"/>
      <c r="V243" s="90"/>
    </row>
    <row r="244" spans="2:22" s="77" customFormat="1">
      <c r="S244" s="90"/>
      <c r="T244" s="90"/>
      <c r="U244" s="90"/>
      <c r="V244" s="90"/>
    </row>
    <row r="245" spans="2:22" s="77" customFormat="1">
      <c r="B245" s="88"/>
      <c r="P245" s="89"/>
      <c r="S245" s="90"/>
      <c r="T245" s="90"/>
      <c r="U245" s="90"/>
      <c r="V245" s="90"/>
    </row>
    <row r="246" spans="2:22" s="77" customFormat="1">
      <c r="S246" s="90"/>
      <c r="T246" s="90"/>
      <c r="U246" s="90"/>
      <c r="V246" s="90"/>
    </row>
    <row r="247" spans="2:22" s="77" customFormat="1">
      <c r="S247" s="90"/>
      <c r="T247" s="90"/>
      <c r="U247" s="90"/>
      <c r="V247" s="90"/>
    </row>
    <row r="248" spans="2:22" s="77" customFormat="1">
      <c r="B248" s="88"/>
      <c r="P248" s="89"/>
      <c r="S248" s="90"/>
      <c r="T248" s="90"/>
      <c r="U248" s="90"/>
      <c r="V248" s="90"/>
    </row>
    <row r="249" spans="2:22" s="77" customFormat="1">
      <c r="S249" s="90"/>
      <c r="T249" s="90"/>
      <c r="U249" s="90"/>
      <c r="V249" s="90"/>
    </row>
    <row r="250" spans="2:22" s="77" customFormat="1">
      <c r="S250" s="90"/>
      <c r="T250" s="90"/>
      <c r="U250" s="90"/>
      <c r="V250" s="90"/>
    </row>
    <row r="251" spans="2:22" s="77" customFormat="1">
      <c r="B251" s="88"/>
      <c r="P251" s="89"/>
      <c r="S251" s="90"/>
      <c r="T251" s="90"/>
      <c r="U251" s="90"/>
      <c r="V251" s="90"/>
    </row>
    <row r="252" spans="2:22" s="77" customFormat="1">
      <c r="S252" s="90"/>
      <c r="T252" s="90"/>
      <c r="U252" s="90"/>
      <c r="V252" s="90"/>
    </row>
    <row r="253" spans="2:22" s="77" customFormat="1">
      <c r="S253" s="90"/>
      <c r="T253" s="90"/>
      <c r="U253" s="90"/>
      <c r="V253" s="90"/>
    </row>
    <row r="254" spans="2:22" s="77" customFormat="1">
      <c r="B254" s="88"/>
      <c r="P254" s="89"/>
      <c r="S254" s="90"/>
      <c r="T254" s="90"/>
      <c r="U254" s="90"/>
      <c r="V254" s="90"/>
    </row>
    <row r="255" spans="2:22" s="77" customFormat="1">
      <c r="S255" s="90"/>
      <c r="T255" s="90"/>
      <c r="U255" s="90"/>
      <c r="V255" s="90"/>
    </row>
    <row r="256" spans="2:22" s="77" customFormat="1">
      <c r="S256" s="90"/>
      <c r="T256" s="90"/>
      <c r="U256" s="90"/>
      <c r="V256" s="90"/>
    </row>
    <row r="257" spans="2:22" s="77" customFormat="1">
      <c r="B257" s="88"/>
      <c r="P257" s="89"/>
      <c r="S257" s="90"/>
      <c r="T257" s="90"/>
      <c r="U257" s="90"/>
      <c r="V257" s="90"/>
    </row>
    <row r="258" spans="2:22" s="77" customFormat="1">
      <c r="S258" s="90"/>
      <c r="T258" s="90"/>
      <c r="U258" s="90"/>
      <c r="V258" s="90"/>
    </row>
    <row r="259" spans="2:22" s="77" customFormat="1">
      <c r="S259" s="90"/>
      <c r="T259" s="90"/>
      <c r="U259" s="90"/>
      <c r="V259" s="90"/>
    </row>
    <row r="260" spans="2:22" s="77" customFormat="1">
      <c r="B260" s="88"/>
      <c r="P260" s="89"/>
      <c r="S260" s="90"/>
      <c r="T260" s="90"/>
      <c r="U260" s="90"/>
      <c r="V260" s="90"/>
    </row>
    <row r="261" spans="2:22" s="77" customFormat="1">
      <c r="S261" s="90"/>
      <c r="T261" s="90"/>
      <c r="U261" s="90"/>
      <c r="V261" s="90"/>
    </row>
    <row r="262" spans="2:22" s="77" customFormat="1">
      <c r="S262" s="90"/>
      <c r="T262" s="90"/>
      <c r="U262" s="90"/>
      <c r="V262" s="90"/>
    </row>
    <row r="263" spans="2:22" s="77" customFormat="1">
      <c r="B263" s="88"/>
      <c r="P263" s="89"/>
      <c r="S263" s="90"/>
      <c r="T263" s="90"/>
      <c r="U263" s="90"/>
      <c r="V263" s="90"/>
    </row>
    <row r="264" spans="2:22" s="77" customFormat="1">
      <c r="S264" s="90"/>
      <c r="T264" s="90"/>
      <c r="U264" s="90"/>
      <c r="V264" s="90"/>
    </row>
    <row r="265" spans="2:22" s="77" customFormat="1">
      <c r="S265" s="90"/>
      <c r="T265" s="90"/>
      <c r="U265" s="90"/>
      <c r="V265" s="90"/>
    </row>
    <row r="266" spans="2:22" s="77" customFormat="1">
      <c r="B266" s="88"/>
      <c r="P266" s="89"/>
      <c r="S266" s="90"/>
      <c r="T266" s="90"/>
      <c r="U266" s="90"/>
      <c r="V266" s="90"/>
    </row>
    <row r="267" spans="2:22" s="77" customFormat="1">
      <c r="S267" s="90"/>
      <c r="T267" s="90"/>
      <c r="U267" s="90"/>
      <c r="V267" s="90"/>
    </row>
    <row r="268" spans="2:22" s="77" customFormat="1">
      <c r="S268" s="90"/>
      <c r="T268" s="90"/>
      <c r="U268" s="90"/>
      <c r="V268" s="90"/>
    </row>
    <row r="269" spans="2:22" s="77" customFormat="1">
      <c r="B269" s="88"/>
      <c r="P269" s="89"/>
      <c r="S269" s="90"/>
      <c r="T269" s="90"/>
      <c r="U269" s="90"/>
      <c r="V269" s="90"/>
    </row>
    <row r="270" spans="2:22" s="77" customFormat="1">
      <c r="S270" s="90"/>
      <c r="T270" s="90"/>
      <c r="U270" s="90"/>
      <c r="V270" s="90"/>
    </row>
    <row r="271" spans="2:22" s="77" customFormat="1">
      <c r="S271" s="90"/>
      <c r="T271" s="90"/>
      <c r="U271" s="90"/>
      <c r="V271" s="90"/>
    </row>
    <row r="272" spans="2:22" s="77" customFormat="1">
      <c r="B272" s="88"/>
      <c r="P272" s="89"/>
      <c r="S272" s="90"/>
      <c r="T272" s="90"/>
      <c r="U272" s="90"/>
      <c r="V272" s="90"/>
    </row>
    <row r="273" spans="2:22" s="77" customFormat="1">
      <c r="S273" s="90"/>
      <c r="T273" s="90"/>
      <c r="U273" s="90"/>
      <c r="V273" s="90"/>
    </row>
    <row r="274" spans="2:22" s="77" customFormat="1">
      <c r="S274" s="90"/>
      <c r="T274" s="90"/>
      <c r="U274" s="90"/>
      <c r="V274" s="90"/>
    </row>
    <row r="275" spans="2:22" s="77" customFormat="1">
      <c r="B275" s="88"/>
      <c r="P275" s="89"/>
      <c r="S275" s="90"/>
      <c r="T275" s="90"/>
      <c r="U275" s="90"/>
      <c r="V275" s="90"/>
    </row>
    <row r="276" spans="2:22" s="77" customFormat="1">
      <c r="S276" s="90"/>
      <c r="T276" s="90"/>
      <c r="U276" s="90"/>
      <c r="V276" s="90"/>
    </row>
    <row r="277" spans="2:22" s="77" customFormat="1">
      <c r="S277" s="90"/>
      <c r="T277" s="90"/>
      <c r="U277" s="90"/>
      <c r="V277" s="90"/>
    </row>
    <row r="278" spans="2:22" s="77" customFormat="1">
      <c r="B278" s="88"/>
      <c r="P278" s="89"/>
      <c r="S278" s="91"/>
      <c r="T278" s="90"/>
      <c r="U278" s="90"/>
      <c r="V278" s="90"/>
    </row>
    <row r="279" spans="2:22" s="77" customFormat="1">
      <c r="S279" s="90"/>
      <c r="T279" s="90"/>
      <c r="U279" s="90"/>
      <c r="V279" s="90"/>
    </row>
    <row r="280" spans="2:22" s="77" customFormat="1">
      <c r="S280" s="90"/>
      <c r="T280" s="90"/>
      <c r="U280" s="90"/>
      <c r="V280" s="90"/>
    </row>
    <row r="281" spans="2:22" s="77" customFormat="1">
      <c r="B281" s="88"/>
      <c r="P281" s="89"/>
      <c r="S281" s="90"/>
      <c r="T281" s="90"/>
      <c r="U281" s="90"/>
      <c r="V281" s="90"/>
    </row>
    <row r="282" spans="2:22" s="77" customFormat="1">
      <c r="S282" s="90"/>
      <c r="T282" s="90"/>
      <c r="U282" s="90"/>
      <c r="V282" s="90"/>
    </row>
    <row r="283" spans="2:22" s="77" customFormat="1">
      <c r="S283" s="90"/>
      <c r="T283" s="90"/>
      <c r="U283" s="90"/>
      <c r="V283" s="90"/>
    </row>
    <row r="284" spans="2:22" s="77" customFormat="1">
      <c r="B284" s="88"/>
      <c r="P284" s="89"/>
      <c r="S284" s="90"/>
      <c r="T284" s="90"/>
      <c r="U284" s="90"/>
      <c r="V284" s="90"/>
    </row>
    <row r="285" spans="2:22" s="77" customFormat="1">
      <c r="S285" s="90"/>
      <c r="T285" s="90"/>
      <c r="U285" s="90"/>
      <c r="V285" s="90"/>
    </row>
    <row r="286" spans="2:22" s="77" customFormat="1">
      <c r="S286" s="90"/>
      <c r="T286" s="90"/>
      <c r="U286" s="90"/>
      <c r="V286" s="90"/>
    </row>
    <row r="287" spans="2:22" s="77" customFormat="1">
      <c r="B287" s="88"/>
      <c r="P287" s="89"/>
      <c r="S287" s="90"/>
      <c r="T287" s="90"/>
      <c r="U287" s="90"/>
      <c r="V287" s="90"/>
    </row>
    <row r="288" spans="2:22" s="77" customFormat="1">
      <c r="S288" s="90"/>
      <c r="T288" s="90"/>
      <c r="U288" s="90"/>
      <c r="V288" s="90"/>
    </row>
    <row r="289" spans="2:22" s="77" customFormat="1">
      <c r="S289" s="90"/>
      <c r="T289" s="90"/>
      <c r="U289" s="90"/>
      <c r="V289" s="90"/>
    </row>
    <row r="290" spans="2:22" s="77" customFormat="1">
      <c r="B290" s="88"/>
      <c r="P290" s="89"/>
      <c r="S290" s="90"/>
      <c r="T290" s="90"/>
      <c r="U290" s="90"/>
      <c r="V290" s="90"/>
    </row>
    <row r="291" spans="2:22" s="77" customFormat="1">
      <c r="S291" s="90"/>
      <c r="T291" s="90"/>
      <c r="U291" s="90"/>
      <c r="V291" s="90"/>
    </row>
    <row r="292" spans="2:22" s="77" customFormat="1">
      <c r="S292" s="90"/>
      <c r="T292" s="90"/>
      <c r="U292" s="90"/>
      <c r="V292" s="90"/>
    </row>
    <row r="293" spans="2:22" s="77" customFormat="1">
      <c r="B293" s="88"/>
      <c r="P293" s="89"/>
      <c r="S293" s="90"/>
      <c r="T293" s="90"/>
      <c r="U293" s="90"/>
      <c r="V293" s="90"/>
    </row>
    <row r="294" spans="2:22" s="77" customFormat="1">
      <c r="S294" s="90"/>
      <c r="T294" s="90"/>
      <c r="U294" s="90"/>
      <c r="V294" s="90"/>
    </row>
    <row r="295" spans="2:22" s="77" customFormat="1">
      <c r="S295" s="90"/>
      <c r="T295" s="90"/>
      <c r="U295" s="90"/>
      <c r="V295" s="90"/>
    </row>
    <row r="296" spans="2:22" s="77" customFormat="1">
      <c r="B296" s="88"/>
      <c r="P296" s="89"/>
      <c r="S296" s="91"/>
      <c r="T296" s="90"/>
      <c r="U296" s="90"/>
      <c r="V296" s="90"/>
    </row>
    <row r="297" spans="2:22" s="77" customFormat="1">
      <c r="S297" s="90"/>
      <c r="T297" s="90"/>
      <c r="U297" s="90"/>
      <c r="V297" s="90"/>
    </row>
    <row r="298" spans="2:22" s="77" customFormat="1">
      <c r="S298" s="90"/>
      <c r="T298" s="90"/>
      <c r="U298" s="90"/>
      <c r="V298" s="90"/>
    </row>
    <row r="299" spans="2:22" s="77" customFormat="1">
      <c r="B299" s="88"/>
      <c r="P299" s="89"/>
      <c r="S299" s="90"/>
      <c r="T299" s="90"/>
      <c r="U299" s="90"/>
      <c r="V299" s="90"/>
    </row>
    <row r="300" spans="2:22" s="77" customFormat="1">
      <c r="S300" s="90"/>
      <c r="T300" s="90"/>
      <c r="U300" s="90"/>
      <c r="V300" s="90"/>
    </row>
    <row r="301" spans="2:22" s="77" customFormat="1">
      <c r="S301" s="90"/>
      <c r="T301" s="90"/>
      <c r="U301" s="90"/>
      <c r="V301" s="90"/>
    </row>
    <row r="302" spans="2:22" s="77" customFormat="1">
      <c r="B302" s="88"/>
      <c r="P302" s="89"/>
      <c r="S302" s="90"/>
      <c r="T302" s="90"/>
      <c r="U302" s="90"/>
      <c r="V302" s="90"/>
    </row>
    <row r="303" spans="2:22" s="77" customFormat="1">
      <c r="S303" s="90"/>
      <c r="T303" s="90"/>
      <c r="U303" s="90"/>
      <c r="V303" s="90"/>
    </row>
    <row r="304" spans="2:22" s="77" customFormat="1">
      <c r="S304" s="90"/>
      <c r="T304" s="90"/>
      <c r="U304" s="90"/>
      <c r="V304" s="90"/>
    </row>
    <row r="305" spans="2:22" s="77" customFormat="1">
      <c r="B305" s="88"/>
      <c r="P305" s="89"/>
      <c r="S305" s="90"/>
      <c r="T305" s="90"/>
      <c r="U305" s="90"/>
      <c r="V305" s="90"/>
    </row>
    <row r="306" spans="2:22" s="77" customFormat="1">
      <c r="S306" s="90"/>
      <c r="T306" s="90"/>
      <c r="U306" s="90"/>
      <c r="V306" s="90"/>
    </row>
    <row r="307" spans="2:22" s="77" customFormat="1">
      <c r="S307" s="90"/>
      <c r="T307" s="90"/>
      <c r="U307" s="90"/>
      <c r="V307" s="90"/>
    </row>
    <row r="308" spans="2:22" s="77" customFormat="1">
      <c r="B308" s="88"/>
      <c r="P308" s="89"/>
      <c r="S308" s="90"/>
      <c r="T308" s="90"/>
      <c r="U308" s="90"/>
      <c r="V308" s="90"/>
    </row>
    <row r="309" spans="2:22" s="77" customFormat="1">
      <c r="S309" s="90"/>
      <c r="T309" s="90"/>
      <c r="U309" s="90"/>
      <c r="V309" s="90"/>
    </row>
    <row r="310" spans="2:22" s="77" customFormat="1">
      <c r="S310" s="90"/>
      <c r="T310" s="90"/>
      <c r="U310" s="90"/>
      <c r="V310" s="90"/>
    </row>
    <row r="311" spans="2:22" s="77" customFormat="1">
      <c r="B311" s="88"/>
      <c r="P311" s="89"/>
      <c r="S311" s="90"/>
      <c r="T311" s="90"/>
      <c r="U311" s="90"/>
      <c r="V311" s="90"/>
    </row>
    <row r="312" spans="2:22" s="77" customFormat="1">
      <c r="S312" s="90"/>
      <c r="T312" s="90"/>
      <c r="U312" s="90"/>
      <c r="V312" s="90"/>
    </row>
    <row r="313" spans="2:22" s="77" customFormat="1">
      <c r="S313" s="90"/>
      <c r="T313" s="90"/>
      <c r="U313" s="90"/>
      <c r="V313" s="90"/>
    </row>
    <row r="314" spans="2:22" s="77" customFormat="1">
      <c r="B314" s="88"/>
      <c r="P314" s="89"/>
      <c r="S314" s="90"/>
      <c r="T314" s="90"/>
      <c r="U314" s="90"/>
      <c r="V314" s="90"/>
    </row>
    <row r="315" spans="2:22" s="77" customFormat="1">
      <c r="S315" s="90"/>
      <c r="T315" s="90"/>
      <c r="U315" s="90"/>
      <c r="V315" s="90"/>
    </row>
    <row r="316" spans="2:22" s="77" customFormat="1">
      <c r="S316" s="90"/>
      <c r="T316" s="90"/>
      <c r="U316" s="90"/>
      <c r="V316" s="90"/>
    </row>
    <row r="317" spans="2:22" s="77" customFormat="1">
      <c r="B317" s="88"/>
      <c r="P317" s="89"/>
      <c r="S317" s="90"/>
      <c r="T317" s="90"/>
      <c r="U317" s="90"/>
      <c r="V317" s="90"/>
    </row>
    <row r="318" spans="2:22" s="77" customFormat="1">
      <c r="S318" s="90"/>
      <c r="T318" s="90"/>
      <c r="U318" s="90"/>
      <c r="V318" s="90"/>
    </row>
    <row r="319" spans="2:22" s="77" customFormat="1">
      <c r="S319" s="90"/>
      <c r="T319" s="90"/>
      <c r="U319" s="90"/>
      <c r="V319" s="90"/>
    </row>
    <row r="320" spans="2:22" s="77" customFormat="1">
      <c r="B320" s="88"/>
      <c r="P320" s="89"/>
      <c r="S320" s="90"/>
      <c r="T320" s="90"/>
      <c r="U320" s="90"/>
      <c r="V320" s="90"/>
    </row>
    <row r="321" spans="2:22" s="77" customFormat="1">
      <c r="S321" s="90"/>
      <c r="T321" s="90"/>
      <c r="U321" s="90"/>
      <c r="V321" s="90"/>
    </row>
    <row r="322" spans="2:22" s="77" customFormat="1">
      <c r="S322" s="90"/>
      <c r="T322" s="90"/>
      <c r="U322" s="90"/>
      <c r="V322" s="90"/>
    </row>
    <row r="323" spans="2:22" s="77" customFormat="1">
      <c r="B323" s="88"/>
      <c r="P323" s="89"/>
      <c r="S323" s="90"/>
      <c r="T323" s="90"/>
      <c r="U323" s="90"/>
      <c r="V323" s="90"/>
    </row>
    <row r="324" spans="2:22" s="77" customFormat="1">
      <c r="S324" s="90"/>
      <c r="T324" s="90"/>
      <c r="U324" s="90"/>
      <c r="V324" s="90"/>
    </row>
    <row r="325" spans="2:22" s="77" customFormat="1">
      <c r="S325" s="90"/>
      <c r="T325" s="90"/>
      <c r="U325" s="90"/>
      <c r="V325" s="90"/>
    </row>
    <row r="326" spans="2:22" s="77" customFormat="1">
      <c r="B326" s="88"/>
      <c r="P326" s="89"/>
      <c r="S326" s="90"/>
      <c r="T326" s="90"/>
      <c r="U326" s="90"/>
      <c r="V326" s="90"/>
    </row>
    <row r="327" spans="2:22" s="77" customFormat="1">
      <c r="S327" s="90"/>
      <c r="T327" s="90"/>
      <c r="U327" s="90"/>
      <c r="V327" s="90"/>
    </row>
    <row r="328" spans="2:22" s="77" customFormat="1">
      <c r="S328" s="90"/>
      <c r="T328" s="90"/>
      <c r="U328" s="90"/>
      <c r="V328" s="90"/>
    </row>
    <row r="329" spans="2:22" s="77" customFormat="1">
      <c r="B329" s="88"/>
      <c r="P329" s="89"/>
      <c r="S329" s="90"/>
      <c r="T329" s="90"/>
      <c r="U329" s="90"/>
      <c r="V329" s="90"/>
    </row>
    <row r="330" spans="2:22" s="77" customFormat="1">
      <c r="S330" s="90"/>
      <c r="T330" s="90"/>
      <c r="U330" s="90"/>
      <c r="V330" s="90"/>
    </row>
    <row r="331" spans="2:22" s="77" customFormat="1">
      <c r="S331" s="90"/>
      <c r="T331" s="90"/>
      <c r="U331" s="90"/>
      <c r="V331" s="90"/>
    </row>
    <row r="332" spans="2:22" s="77" customFormat="1">
      <c r="B332" s="88"/>
      <c r="P332" s="89"/>
      <c r="S332" s="90"/>
      <c r="T332" s="90"/>
      <c r="U332" s="90"/>
      <c r="V332" s="90"/>
    </row>
    <row r="333" spans="2:22" s="77" customFormat="1">
      <c r="S333" s="90"/>
      <c r="T333" s="90"/>
      <c r="U333" s="90"/>
      <c r="V333" s="90"/>
    </row>
    <row r="334" spans="2:22" s="77" customFormat="1">
      <c r="S334" s="90"/>
      <c r="T334" s="90"/>
      <c r="U334" s="90"/>
      <c r="V334" s="90"/>
    </row>
    <row r="335" spans="2:22" s="77" customFormat="1">
      <c r="B335" s="88"/>
      <c r="P335" s="89"/>
      <c r="S335" s="90"/>
      <c r="T335" s="90"/>
      <c r="U335" s="90"/>
      <c r="V335" s="90"/>
    </row>
    <row r="336" spans="2:22" s="77" customFormat="1">
      <c r="S336" s="90"/>
      <c r="T336" s="90"/>
      <c r="U336" s="90"/>
      <c r="V336" s="90"/>
    </row>
    <row r="337" spans="2:22" s="77" customFormat="1">
      <c r="S337" s="90"/>
      <c r="T337" s="90"/>
      <c r="U337" s="90"/>
      <c r="V337" s="90"/>
    </row>
    <row r="338" spans="2:22" s="77" customFormat="1">
      <c r="B338" s="88"/>
      <c r="P338" s="89"/>
      <c r="S338" s="90"/>
      <c r="T338" s="90"/>
      <c r="U338" s="90"/>
      <c r="V338" s="90"/>
    </row>
    <row r="339" spans="2:22" s="77" customFormat="1">
      <c r="S339" s="90"/>
      <c r="T339" s="90"/>
      <c r="U339" s="90"/>
      <c r="V339" s="90"/>
    </row>
    <row r="340" spans="2:22" s="77" customFormat="1">
      <c r="S340" s="90"/>
      <c r="T340" s="90"/>
      <c r="U340" s="90"/>
      <c r="V340" s="90"/>
    </row>
    <row r="341" spans="2:22" s="77" customFormat="1">
      <c r="B341" s="88"/>
      <c r="P341" s="89"/>
      <c r="S341" s="90"/>
      <c r="T341" s="90"/>
      <c r="U341" s="90"/>
      <c r="V341" s="90"/>
    </row>
    <row r="342" spans="2:22" s="77" customFormat="1">
      <c r="S342" s="90"/>
      <c r="T342" s="90"/>
      <c r="U342" s="90"/>
      <c r="V342" s="90"/>
    </row>
    <row r="343" spans="2:22" s="77" customFormat="1">
      <c r="S343" s="90"/>
      <c r="T343" s="90"/>
      <c r="U343" s="90"/>
      <c r="V343" s="90"/>
    </row>
    <row r="344" spans="2:22" s="77" customFormat="1">
      <c r="B344" s="88"/>
      <c r="P344" s="89"/>
      <c r="S344" s="90"/>
      <c r="T344" s="90"/>
      <c r="U344" s="90"/>
      <c r="V344" s="90"/>
    </row>
    <row r="345" spans="2:22" s="77" customFormat="1">
      <c r="S345" s="90"/>
      <c r="T345" s="90"/>
      <c r="U345" s="90"/>
      <c r="V345" s="90"/>
    </row>
    <row r="346" spans="2:22" s="77" customFormat="1">
      <c r="S346" s="90"/>
      <c r="T346" s="90"/>
      <c r="U346" s="90"/>
      <c r="V346" s="90"/>
    </row>
    <row r="347" spans="2:22" s="77" customFormat="1">
      <c r="B347" s="88"/>
      <c r="P347" s="89"/>
      <c r="S347" s="90"/>
      <c r="T347" s="90"/>
      <c r="U347" s="90"/>
      <c r="V347" s="90"/>
    </row>
    <row r="348" spans="2:22" s="77" customFormat="1">
      <c r="S348" s="90"/>
      <c r="T348" s="90"/>
      <c r="U348" s="90"/>
      <c r="V348" s="90"/>
    </row>
    <row r="349" spans="2:22" s="77" customFormat="1">
      <c r="S349" s="90"/>
      <c r="T349" s="90"/>
      <c r="U349" s="90"/>
      <c r="V349" s="90"/>
    </row>
    <row r="350" spans="2:22" s="77" customFormat="1">
      <c r="B350" s="88"/>
      <c r="P350" s="89"/>
      <c r="S350" s="90"/>
      <c r="T350" s="90"/>
      <c r="U350" s="90"/>
      <c r="V350" s="90"/>
    </row>
    <row r="351" spans="2:22" s="77" customFormat="1">
      <c r="S351" s="90"/>
      <c r="T351" s="90"/>
      <c r="U351" s="90"/>
      <c r="V351" s="90"/>
    </row>
    <row r="352" spans="2:22" s="77" customFormat="1">
      <c r="S352" s="90"/>
      <c r="T352" s="90"/>
      <c r="U352" s="90"/>
      <c r="V352" s="90"/>
    </row>
    <row r="353" spans="2:22" s="77" customFormat="1">
      <c r="B353" s="88"/>
      <c r="P353" s="89"/>
      <c r="S353" s="90"/>
      <c r="T353" s="90"/>
      <c r="U353" s="90"/>
      <c r="V353" s="90"/>
    </row>
    <row r="354" spans="2:22" s="77" customFormat="1">
      <c r="S354" s="90"/>
      <c r="T354" s="90"/>
      <c r="U354" s="90"/>
      <c r="V354" s="90"/>
    </row>
    <row r="355" spans="2:22" s="77" customFormat="1">
      <c r="S355" s="90"/>
      <c r="T355" s="90"/>
      <c r="U355" s="90"/>
      <c r="V355" s="90"/>
    </row>
    <row r="356" spans="2:22" s="77" customFormat="1">
      <c r="B356" s="88"/>
      <c r="P356" s="89"/>
      <c r="S356" s="90"/>
      <c r="T356" s="90"/>
      <c r="U356" s="90"/>
      <c r="V356" s="90"/>
    </row>
    <row r="357" spans="2:22" s="77" customFormat="1">
      <c r="S357" s="90"/>
      <c r="T357" s="90"/>
      <c r="U357" s="90"/>
      <c r="V357" s="90"/>
    </row>
    <row r="358" spans="2:22" s="77" customFormat="1">
      <c r="S358" s="90"/>
      <c r="T358" s="90"/>
      <c r="U358" s="90"/>
      <c r="V358" s="90"/>
    </row>
    <row r="359" spans="2:22" s="77" customFormat="1">
      <c r="B359" s="88"/>
      <c r="P359" s="89"/>
      <c r="S359" s="90"/>
      <c r="T359" s="90"/>
      <c r="U359" s="90"/>
      <c r="V359" s="90"/>
    </row>
    <row r="360" spans="2:22" s="77" customFormat="1">
      <c r="S360" s="90"/>
      <c r="T360" s="90"/>
      <c r="U360" s="90"/>
      <c r="V360" s="90"/>
    </row>
    <row r="361" spans="2:22" s="77" customFormat="1">
      <c r="S361" s="90"/>
      <c r="T361" s="90"/>
      <c r="U361" s="90"/>
      <c r="V361" s="90"/>
    </row>
    <row r="362" spans="2:22" s="77" customFormat="1">
      <c r="B362" s="88"/>
      <c r="P362" s="89"/>
      <c r="S362" s="90"/>
      <c r="T362" s="90"/>
      <c r="U362" s="90"/>
      <c r="V362" s="90"/>
    </row>
    <row r="363" spans="2:22" s="77" customFormat="1">
      <c r="S363" s="90"/>
      <c r="T363" s="90"/>
      <c r="U363" s="90"/>
      <c r="V363" s="90"/>
    </row>
    <row r="364" spans="2:22" s="77" customFormat="1">
      <c r="S364" s="90"/>
      <c r="T364" s="90"/>
      <c r="U364" s="90"/>
      <c r="V364" s="90"/>
    </row>
    <row r="365" spans="2:22" s="77" customFormat="1">
      <c r="B365" s="88"/>
      <c r="P365" s="89"/>
      <c r="S365" s="90"/>
      <c r="T365" s="90"/>
      <c r="U365" s="90"/>
      <c r="V365" s="90"/>
    </row>
    <row r="366" spans="2:22" s="77" customFormat="1">
      <c r="S366" s="90"/>
      <c r="T366" s="90"/>
      <c r="U366" s="90"/>
      <c r="V366" s="90"/>
    </row>
    <row r="367" spans="2:22" s="77" customFormat="1">
      <c r="S367" s="90"/>
      <c r="T367" s="90"/>
      <c r="U367" s="90"/>
      <c r="V367" s="90"/>
    </row>
    <row r="368" spans="2:22" s="77" customFormat="1">
      <c r="B368" s="88"/>
      <c r="P368" s="89"/>
      <c r="S368" s="90"/>
      <c r="T368" s="90"/>
      <c r="U368" s="90"/>
      <c r="V368" s="90"/>
    </row>
    <row r="369" spans="2:22" s="77" customFormat="1">
      <c r="S369" s="90"/>
      <c r="T369" s="90"/>
      <c r="U369" s="90"/>
      <c r="V369" s="90"/>
    </row>
    <row r="370" spans="2:22" s="77" customFormat="1">
      <c r="S370" s="90"/>
      <c r="T370" s="90"/>
      <c r="U370" s="90"/>
      <c r="V370" s="90"/>
    </row>
    <row r="371" spans="2:22" s="77" customFormat="1">
      <c r="B371" s="88"/>
      <c r="P371" s="89"/>
      <c r="S371" s="90"/>
      <c r="T371" s="90"/>
      <c r="U371" s="90"/>
      <c r="V371" s="90"/>
    </row>
    <row r="372" spans="2:22" s="77" customFormat="1">
      <c r="S372" s="90"/>
      <c r="T372" s="90"/>
      <c r="U372" s="90"/>
      <c r="V372" s="90"/>
    </row>
    <row r="373" spans="2:22" s="77" customFormat="1">
      <c r="S373" s="90"/>
      <c r="T373" s="90"/>
      <c r="U373" s="90"/>
      <c r="V373" s="90"/>
    </row>
    <row r="374" spans="2:22" s="77" customFormat="1">
      <c r="B374" s="88"/>
      <c r="P374" s="89"/>
      <c r="S374" s="90"/>
      <c r="T374" s="90"/>
      <c r="U374" s="90"/>
      <c r="V374" s="90"/>
    </row>
    <row r="375" spans="2:22" s="77" customFormat="1">
      <c r="S375" s="90"/>
      <c r="T375" s="90"/>
      <c r="U375" s="90"/>
      <c r="V375" s="90"/>
    </row>
    <row r="376" spans="2:22" s="77" customFormat="1">
      <c r="S376" s="90"/>
      <c r="T376" s="90"/>
      <c r="U376" s="90"/>
      <c r="V376" s="90"/>
    </row>
    <row r="377" spans="2:22" s="77" customFormat="1">
      <c r="B377" s="88"/>
      <c r="P377" s="89"/>
      <c r="S377" s="90"/>
      <c r="T377" s="90"/>
      <c r="U377" s="90"/>
      <c r="V377" s="90"/>
    </row>
    <row r="378" spans="2:22" s="77" customFormat="1">
      <c r="S378" s="90"/>
      <c r="T378" s="90"/>
      <c r="U378" s="90"/>
      <c r="V378" s="90"/>
    </row>
    <row r="379" spans="2:22" s="77" customFormat="1">
      <c r="S379" s="90"/>
      <c r="T379" s="90"/>
      <c r="U379" s="90"/>
      <c r="V379" s="90"/>
    </row>
    <row r="380" spans="2:22" s="77" customFormat="1">
      <c r="B380" s="88"/>
      <c r="P380" s="89"/>
      <c r="S380" s="90"/>
      <c r="T380" s="90"/>
      <c r="U380" s="90"/>
      <c r="V380" s="90"/>
    </row>
    <row r="381" spans="2:22" s="77" customFormat="1">
      <c r="S381" s="90"/>
      <c r="T381" s="90"/>
      <c r="U381" s="90"/>
      <c r="V381" s="90"/>
    </row>
    <row r="382" spans="2:22" s="77" customFormat="1">
      <c r="S382" s="90"/>
      <c r="T382" s="90"/>
      <c r="U382" s="90"/>
      <c r="V382" s="90"/>
    </row>
    <row r="383" spans="2:22" s="77" customFormat="1">
      <c r="B383" s="88"/>
      <c r="P383" s="89"/>
      <c r="S383" s="90"/>
      <c r="T383" s="90"/>
      <c r="U383" s="90"/>
      <c r="V383" s="90"/>
    </row>
    <row r="384" spans="2:22" s="77" customFormat="1">
      <c r="S384" s="90"/>
      <c r="T384" s="90"/>
      <c r="U384" s="90"/>
      <c r="V384" s="90"/>
    </row>
    <row r="385" spans="2:22" s="77" customFormat="1">
      <c r="S385" s="90"/>
      <c r="T385" s="90"/>
      <c r="U385" s="90"/>
      <c r="V385" s="90"/>
    </row>
    <row r="386" spans="2:22" s="77" customFormat="1">
      <c r="B386" s="88"/>
      <c r="P386" s="89"/>
      <c r="S386" s="90"/>
      <c r="T386" s="90"/>
      <c r="U386" s="90"/>
      <c r="V386" s="90"/>
    </row>
    <row r="387" spans="2:22" s="77" customFormat="1">
      <c r="S387" s="90"/>
      <c r="T387" s="90"/>
      <c r="U387" s="90"/>
      <c r="V387" s="90"/>
    </row>
    <row r="388" spans="2:22" s="77" customFormat="1">
      <c r="S388" s="90"/>
      <c r="T388" s="90"/>
      <c r="U388" s="90"/>
      <c r="V388" s="90"/>
    </row>
    <row r="389" spans="2:22" s="77" customFormat="1">
      <c r="B389" s="88"/>
      <c r="P389" s="89"/>
      <c r="S389" s="90"/>
      <c r="T389" s="90"/>
      <c r="U389" s="90"/>
      <c r="V389" s="90"/>
    </row>
    <row r="390" spans="2:22" s="77" customFormat="1">
      <c r="S390" s="90"/>
      <c r="T390" s="90"/>
      <c r="U390" s="90"/>
      <c r="V390" s="90"/>
    </row>
    <row r="391" spans="2:22" s="77" customFormat="1">
      <c r="S391" s="90"/>
      <c r="T391" s="90"/>
      <c r="U391" s="90"/>
      <c r="V391" s="90"/>
    </row>
    <row r="392" spans="2:22" s="77" customFormat="1">
      <c r="B392" s="88"/>
      <c r="P392" s="89"/>
      <c r="S392" s="90"/>
      <c r="T392" s="90"/>
      <c r="U392" s="90"/>
      <c r="V392" s="90"/>
    </row>
    <row r="393" spans="2:22" s="77" customFormat="1">
      <c r="S393" s="90"/>
      <c r="T393" s="90"/>
      <c r="U393" s="90"/>
      <c r="V393" s="90"/>
    </row>
    <row r="394" spans="2:22" s="77" customFormat="1">
      <c r="S394" s="90"/>
      <c r="T394" s="90"/>
      <c r="U394" s="90"/>
      <c r="V394" s="90"/>
    </row>
    <row r="395" spans="2:22" s="77" customFormat="1">
      <c r="B395" s="88"/>
      <c r="P395" s="89"/>
      <c r="S395" s="90"/>
      <c r="T395" s="90"/>
      <c r="U395" s="90"/>
      <c r="V395" s="90"/>
    </row>
    <row r="396" spans="2:22" s="77" customFormat="1">
      <c r="S396" s="90"/>
      <c r="T396" s="90"/>
      <c r="U396" s="90"/>
      <c r="V396" s="90"/>
    </row>
    <row r="397" spans="2:22" s="77" customFormat="1">
      <c r="S397" s="90"/>
      <c r="T397" s="90"/>
      <c r="U397" s="90"/>
      <c r="V397" s="90"/>
    </row>
    <row r="398" spans="2:22" s="77" customFormat="1">
      <c r="B398" s="88"/>
      <c r="P398" s="89"/>
      <c r="S398" s="90"/>
      <c r="T398" s="90"/>
      <c r="U398" s="90"/>
      <c r="V398" s="90"/>
    </row>
    <row r="399" spans="2:22" s="77" customFormat="1">
      <c r="S399" s="90"/>
      <c r="T399" s="90"/>
      <c r="U399" s="90"/>
      <c r="V399" s="90"/>
    </row>
    <row r="400" spans="2:22" s="77" customFormat="1">
      <c r="S400" s="90"/>
      <c r="T400" s="90"/>
      <c r="U400" s="90"/>
      <c r="V400" s="90"/>
    </row>
    <row r="401" spans="2:22" s="77" customFormat="1">
      <c r="B401" s="88"/>
      <c r="P401" s="89"/>
      <c r="S401" s="90"/>
      <c r="T401" s="90"/>
      <c r="U401" s="90"/>
      <c r="V401" s="90"/>
    </row>
    <row r="402" spans="2:22" s="77" customFormat="1">
      <c r="S402" s="90"/>
      <c r="T402" s="90"/>
      <c r="U402" s="90"/>
      <c r="V402" s="90"/>
    </row>
    <row r="403" spans="2:22" s="77" customFormat="1">
      <c r="S403" s="90"/>
      <c r="T403" s="90"/>
      <c r="U403" s="90"/>
      <c r="V403" s="90"/>
    </row>
    <row r="404" spans="2:22" s="77" customFormat="1">
      <c r="B404" s="88"/>
      <c r="P404" s="89"/>
      <c r="S404" s="90"/>
      <c r="T404" s="90"/>
      <c r="U404" s="90"/>
      <c r="V404" s="90"/>
    </row>
    <row r="405" spans="2:22" s="77" customFormat="1">
      <c r="S405" s="90"/>
      <c r="T405" s="90"/>
      <c r="U405" s="90"/>
      <c r="V405" s="90"/>
    </row>
    <row r="406" spans="2:22" s="77" customFormat="1">
      <c r="S406" s="90"/>
      <c r="T406" s="90"/>
      <c r="U406" s="90"/>
      <c r="V406" s="90"/>
    </row>
    <row r="407" spans="2:22" s="77" customFormat="1">
      <c r="B407" s="88"/>
      <c r="P407" s="89"/>
      <c r="S407" s="90"/>
      <c r="T407" s="90"/>
      <c r="U407" s="90"/>
      <c r="V407" s="90"/>
    </row>
    <row r="408" spans="2:22" s="77" customFormat="1">
      <c r="S408" s="90"/>
      <c r="T408" s="90"/>
      <c r="U408" s="90"/>
      <c r="V408" s="90"/>
    </row>
    <row r="409" spans="2:22" s="77" customFormat="1">
      <c r="S409" s="90"/>
      <c r="T409" s="90"/>
      <c r="U409" s="90"/>
      <c r="V409" s="90"/>
    </row>
    <row r="410" spans="2:22" s="77" customFormat="1">
      <c r="B410" s="88"/>
      <c r="P410" s="89"/>
      <c r="S410" s="90"/>
      <c r="T410" s="90"/>
      <c r="U410" s="90"/>
      <c r="V410" s="90"/>
    </row>
    <row r="411" spans="2:22" s="77" customFormat="1">
      <c r="S411" s="90"/>
      <c r="T411" s="90"/>
      <c r="U411" s="90"/>
      <c r="V411" s="90"/>
    </row>
    <row r="412" spans="2:22" s="77" customFormat="1">
      <c r="S412" s="90"/>
      <c r="T412" s="90"/>
      <c r="U412" s="90"/>
      <c r="V412" s="90"/>
    </row>
    <row r="413" spans="2:22" s="77" customFormat="1">
      <c r="B413" s="88"/>
      <c r="P413" s="89"/>
      <c r="S413" s="90"/>
      <c r="T413" s="90"/>
      <c r="U413" s="90"/>
      <c r="V413" s="90"/>
    </row>
    <row r="414" spans="2:22" s="77" customFormat="1">
      <c r="S414" s="90"/>
      <c r="T414" s="90"/>
      <c r="U414" s="90"/>
      <c r="V414" s="90"/>
    </row>
    <row r="415" spans="2:22" s="77" customFormat="1">
      <c r="S415" s="90"/>
      <c r="T415" s="90"/>
      <c r="U415" s="90"/>
      <c r="V415" s="90"/>
    </row>
    <row r="416" spans="2:22" s="77" customFormat="1">
      <c r="B416" s="88"/>
      <c r="P416" s="89"/>
      <c r="S416" s="90"/>
      <c r="T416" s="90"/>
      <c r="U416" s="90"/>
      <c r="V416" s="90"/>
    </row>
    <row r="417" spans="2:22" s="77" customFormat="1">
      <c r="S417" s="90"/>
      <c r="T417" s="90"/>
      <c r="U417" s="90"/>
      <c r="V417" s="90"/>
    </row>
    <row r="418" spans="2:22" s="77" customFormat="1">
      <c r="S418" s="90"/>
      <c r="T418" s="90"/>
      <c r="U418" s="90"/>
      <c r="V418" s="90"/>
    </row>
    <row r="419" spans="2:22" s="77" customFormat="1">
      <c r="B419" s="88"/>
      <c r="P419" s="89"/>
      <c r="S419" s="90"/>
      <c r="T419" s="90"/>
      <c r="U419" s="90"/>
      <c r="V419" s="90"/>
    </row>
    <row r="420" spans="2:22" s="77" customFormat="1">
      <c r="S420" s="90"/>
      <c r="T420" s="90"/>
      <c r="U420" s="90"/>
      <c r="V420" s="90"/>
    </row>
    <row r="421" spans="2:22" s="77" customFormat="1">
      <c r="S421" s="90"/>
      <c r="T421" s="90"/>
      <c r="U421" s="90"/>
      <c r="V421" s="90"/>
    </row>
    <row r="422" spans="2:22" s="77" customFormat="1">
      <c r="B422" s="88"/>
      <c r="P422" s="89"/>
      <c r="S422" s="90"/>
      <c r="T422" s="90"/>
      <c r="U422" s="90"/>
      <c r="V422" s="90"/>
    </row>
    <row r="423" spans="2:22" s="77" customFormat="1">
      <c r="S423" s="90"/>
      <c r="T423" s="90"/>
      <c r="U423" s="90"/>
      <c r="V423" s="90"/>
    </row>
    <row r="424" spans="2:22" s="77" customFormat="1">
      <c r="S424" s="90"/>
      <c r="T424" s="90"/>
      <c r="U424" s="90"/>
      <c r="V424" s="90"/>
    </row>
    <row r="425" spans="2:22" s="77" customFormat="1">
      <c r="B425" s="88"/>
      <c r="P425" s="89"/>
      <c r="S425" s="90"/>
      <c r="T425" s="90"/>
      <c r="U425" s="90"/>
      <c r="V425" s="90"/>
    </row>
    <row r="426" spans="2:22" s="77" customFormat="1">
      <c r="S426" s="90"/>
      <c r="T426" s="90"/>
      <c r="U426" s="90"/>
      <c r="V426" s="90"/>
    </row>
    <row r="427" spans="2:22" s="77" customFormat="1">
      <c r="S427" s="90"/>
      <c r="T427" s="90"/>
      <c r="U427" s="90"/>
      <c r="V427" s="90"/>
    </row>
    <row r="428" spans="2:22" s="77" customFormat="1">
      <c r="B428" s="88"/>
      <c r="P428" s="89"/>
      <c r="S428" s="90"/>
      <c r="T428" s="90"/>
      <c r="U428" s="90"/>
      <c r="V428" s="90"/>
    </row>
    <row r="429" spans="2:22" s="77" customFormat="1">
      <c r="S429" s="90"/>
      <c r="T429" s="90"/>
      <c r="U429" s="90"/>
      <c r="V429" s="90"/>
    </row>
    <row r="430" spans="2:22" s="77" customFormat="1">
      <c r="S430" s="90"/>
      <c r="T430" s="90"/>
      <c r="U430" s="90"/>
      <c r="V430" s="90"/>
    </row>
    <row r="431" spans="2:22" s="77" customFormat="1">
      <c r="B431" s="88"/>
      <c r="P431" s="89"/>
      <c r="S431" s="90"/>
      <c r="T431" s="90"/>
      <c r="U431" s="90"/>
      <c r="V431" s="90"/>
    </row>
    <row r="432" spans="2:22" s="77" customFormat="1">
      <c r="S432" s="90"/>
      <c r="T432" s="90"/>
      <c r="U432" s="90"/>
      <c r="V432" s="90"/>
    </row>
    <row r="433" spans="2:22" s="77" customFormat="1">
      <c r="S433" s="90"/>
      <c r="T433" s="90"/>
      <c r="U433" s="90"/>
      <c r="V433" s="90"/>
    </row>
    <row r="434" spans="2:22" s="77" customFormat="1">
      <c r="B434" s="88"/>
      <c r="P434" s="89"/>
      <c r="S434" s="90"/>
      <c r="T434" s="90"/>
      <c r="U434" s="90"/>
      <c r="V434" s="90"/>
    </row>
    <row r="435" spans="2:22" s="77" customFormat="1">
      <c r="S435" s="90"/>
      <c r="T435" s="90"/>
      <c r="U435" s="90"/>
      <c r="V435" s="90"/>
    </row>
    <row r="436" spans="2:22" s="77" customFormat="1">
      <c r="S436" s="90"/>
      <c r="T436" s="90"/>
      <c r="U436" s="90"/>
      <c r="V436" s="90"/>
    </row>
    <row r="437" spans="2:22" s="77" customFormat="1">
      <c r="B437" s="88"/>
      <c r="P437" s="89"/>
      <c r="S437" s="90"/>
      <c r="T437" s="90"/>
      <c r="U437" s="90"/>
      <c r="V437" s="90"/>
    </row>
    <row r="438" spans="2:22" s="77" customFormat="1">
      <c r="S438" s="90"/>
      <c r="T438" s="90"/>
      <c r="U438" s="90"/>
      <c r="V438" s="90"/>
    </row>
    <row r="439" spans="2:22" s="77" customFormat="1">
      <c r="S439" s="90"/>
      <c r="T439" s="90"/>
      <c r="U439" s="90"/>
      <c r="V439" s="90"/>
    </row>
    <row r="440" spans="2:22" s="77" customFormat="1">
      <c r="B440" s="88"/>
      <c r="P440" s="89"/>
      <c r="S440" s="90"/>
      <c r="T440" s="90"/>
      <c r="U440" s="90"/>
      <c r="V440" s="90"/>
    </row>
    <row r="441" spans="2:22" s="77" customFormat="1">
      <c r="S441" s="90"/>
      <c r="T441" s="90"/>
      <c r="U441" s="90"/>
      <c r="V441" s="90"/>
    </row>
    <row r="442" spans="2:22" s="77" customFormat="1">
      <c r="S442" s="90"/>
      <c r="T442" s="90"/>
      <c r="U442" s="90"/>
      <c r="V442" s="90"/>
    </row>
    <row r="443" spans="2:22" s="77" customFormat="1">
      <c r="B443" s="88"/>
      <c r="P443" s="89"/>
      <c r="S443" s="90"/>
      <c r="T443" s="90"/>
      <c r="U443" s="90"/>
      <c r="V443" s="90"/>
    </row>
    <row r="444" spans="2:22" s="77" customFormat="1">
      <c r="S444" s="90"/>
      <c r="T444" s="90"/>
      <c r="U444" s="90"/>
      <c r="V444" s="90"/>
    </row>
    <row r="445" spans="2:22" s="77" customFormat="1">
      <c r="S445" s="90"/>
      <c r="T445" s="90"/>
      <c r="U445" s="90"/>
      <c r="V445" s="90"/>
    </row>
    <row r="446" spans="2:22" s="77" customFormat="1">
      <c r="B446" s="88"/>
      <c r="P446" s="89"/>
      <c r="S446" s="90"/>
      <c r="T446" s="90"/>
      <c r="U446" s="90"/>
      <c r="V446" s="90"/>
    </row>
    <row r="447" spans="2:22" s="77" customFormat="1">
      <c r="S447" s="90"/>
      <c r="T447" s="90"/>
      <c r="U447" s="90"/>
      <c r="V447" s="90"/>
    </row>
    <row r="448" spans="2:22" s="77" customFormat="1">
      <c r="S448" s="90"/>
      <c r="T448" s="90"/>
      <c r="U448" s="90"/>
      <c r="V448" s="90"/>
    </row>
    <row r="449" spans="2:22" s="77" customFormat="1">
      <c r="B449" s="88"/>
      <c r="P449" s="89"/>
      <c r="S449" s="90"/>
      <c r="T449" s="90"/>
      <c r="U449" s="90"/>
      <c r="V449" s="90"/>
    </row>
    <row r="450" spans="2:22" s="77" customFormat="1">
      <c r="S450" s="90"/>
      <c r="T450" s="90"/>
      <c r="U450" s="90"/>
      <c r="V450" s="90"/>
    </row>
    <row r="451" spans="2:22" s="77" customFormat="1">
      <c r="S451" s="90"/>
      <c r="T451" s="90"/>
      <c r="U451" s="90"/>
      <c r="V451" s="90"/>
    </row>
    <row r="452" spans="2:22" s="77" customFormat="1">
      <c r="B452" s="88"/>
      <c r="P452" s="89"/>
      <c r="S452" s="90"/>
      <c r="T452" s="90"/>
      <c r="U452" s="90"/>
      <c r="V452" s="90"/>
    </row>
    <row r="453" spans="2:22" s="77" customFormat="1">
      <c r="S453" s="90"/>
      <c r="T453" s="90"/>
      <c r="U453" s="90"/>
      <c r="V453" s="90"/>
    </row>
    <row r="454" spans="2:22" s="77" customFormat="1">
      <c r="S454" s="90"/>
      <c r="T454" s="90"/>
      <c r="U454" s="90"/>
      <c r="V454" s="90"/>
    </row>
    <row r="455" spans="2:22" s="77" customFormat="1">
      <c r="B455" s="88"/>
      <c r="P455" s="89"/>
      <c r="S455" s="90"/>
      <c r="T455" s="90"/>
      <c r="U455" s="90"/>
      <c r="V455" s="90"/>
    </row>
    <row r="456" spans="2:22" s="77" customFormat="1">
      <c r="S456" s="90"/>
      <c r="T456" s="90"/>
      <c r="U456" s="90"/>
      <c r="V456" s="90"/>
    </row>
    <row r="457" spans="2:22" s="77" customFormat="1">
      <c r="S457" s="90"/>
      <c r="T457" s="90"/>
      <c r="U457" s="90"/>
      <c r="V457" s="90"/>
    </row>
    <row r="458" spans="2:22" s="77" customFormat="1">
      <c r="B458" s="88"/>
      <c r="P458" s="89"/>
      <c r="S458" s="90"/>
      <c r="T458" s="90"/>
      <c r="U458" s="90"/>
      <c r="V458" s="90"/>
    </row>
    <row r="459" spans="2:22" s="77" customFormat="1">
      <c r="S459" s="90"/>
      <c r="T459" s="90"/>
      <c r="U459" s="90"/>
      <c r="V459" s="90"/>
    </row>
    <row r="460" spans="2:22" s="77" customFormat="1">
      <c r="S460" s="90"/>
      <c r="T460" s="90"/>
      <c r="U460" s="90"/>
      <c r="V460" s="90"/>
    </row>
    <row r="461" spans="2:22" s="77" customFormat="1">
      <c r="B461" s="88"/>
      <c r="P461" s="89"/>
      <c r="S461" s="90"/>
      <c r="T461" s="90"/>
      <c r="U461" s="90"/>
      <c r="V461" s="90"/>
    </row>
    <row r="462" spans="2:22" s="77" customFormat="1">
      <c r="S462" s="90"/>
      <c r="T462" s="90"/>
      <c r="U462" s="90"/>
      <c r="V462" s="90"/>
    </row>
    <row r="463" spans="2:22" s="77" customFormat="1">
      <c r="S463" s="90"/>
      <c r="T463" s="90"/>
      <c r="U463" s="90"/>
      <c r="V463" s="90"/>
    </row>
    <row r="464" spans="2:22" s="77" customFormat="1">
      <c r="B464" s="88"/>
      <c r="P464" s="89"/>
      <c r="S464" s="90"/>
      <c r="T464" s="90"/>
      <c r="U464" s="90"/>
      <c r="V464" s="90"/>
    </row>
    <row r="465" spans="2:22" s="77" customFormat="1">
      <c r="S465" s="90"/>
      <c r="T465" s="90"/>
      <c r="U465" s="90"/>
      <c r="V465" s="90"/>
    </row>
    <row r="466" spans="2:22" s="77" customFormat="1">
      <c r="S466" s="90"/>
      <c r="T466" s="90"/>
      <c r="U466" s="90"/>
      <c r="V466" s="90"/>
    </row>
    <row r="467" spans="2:22" s="77" customFormat="1">
      <c r="B467" s="88"/>
      <c r="P467" s="89"/>
      <c r="S467" s="90"/>
      <c r="T467" s="90"/>
      <c r="U467" s="90"/>
      <c r="V467" s="90"/>
    </row>
    <row r="468" spans="2:22" s="77" customFormat="1">
      <c r="S468" s="90"/>
      <c r="T468" s="90"/>
      <c r="U468" s="90"/>
      <c r="V468" s="90"/>
    </row>
    <row r="469" spans="2:22" s="77" customFormat="1">
      <c r="S469" s="90"/>
      <c r="T469" s="90"/>
      <c r="U469" s="90"/>
      <c r="V469" s="90"/>
    </row>
    <row r="470" spans="2:22" s="77" customFormat="1">
      <c r="B470" s="88"/>
      <c r="P470" s="89"/>
      <c r="S470" s="90"/>
      <c r="T470" s="90"/>
      <c r="U470" s="90"/>
      <c r="V470" s="90"/>
    </row>
    <row r="471" spans="2:22" s="77" customFormat="1">
      <c r="S471" s="90"/>
      <c r="T471" s="90"/>
      <c r="U471" s="90"/>
      <c r="V471" s="90"/>
    </row>
    <row r="472" spans="2:22" s="77" customFormat="1">
      <c r="S472" s="90"/>
      <c r="T472" s="90"/>
      <c r="U472" s="90"/>
      <c r="V472" s="90"/>
    </row>
    <row r="473" spans="2:22" s="77" customFormat="1">
      <c r="B473" s="88"/>
      <c r="P473" s="89"/>
      <c r="S473" s="90"/>
      <c r="T473" s="90"/>
      <c r="U473" s="90"/>
      <c r="V473" s="90"/>
    </row>
    <row r="474" spans="2:22" s="77" customFormat="1">
      <c r="S474" s="90"/>
      <c r="T474" s="90"/>
      <c r="U474" s="90"/>
      <c r="V474" s="90"/>
    </row>
    <row r="475" spans="2:22" s="77" customFormat="1">
      <c r="S475" s="90"/>
      <c r="T475" s="90"/>
      <c r="U475" s="90"/>
      <c r="V475" s="90"/>
    </row>
    <row r="476" spans="2:22" s="77" customFormat="1">
      <c r="B476" s="88"/>
      <c r="P476" s="89"/>
      <c r="S476" s="90"/>
      <c r="T476" s="90"/>
      <c r="U476" s="90"/>
      <c r="V476" s="90"/>
    </row>
    <row r="477" spans="2:22" s="77" customFormat="1">
      <c r="S477" s="90"/>
      <c r="T477" s="90"/>
      <c r="U477" s="90"/>
      <c r="V477" s="90"/>
    </row>
    <row r="478" spans="2:22" s="77" customFormat="1">
      <c r="S478" s="90"/>
      <c r="T478" s="90"/>
      <c r="U478" s="90"/>
      <c r="V478" s="90"/>
    </row>
    <row r="479" spans="2:22" s="77" customFormat="1">
      <c r="B479" s="88"/>
      <c r="P479" s="89"/>
      <c r="S479" s="90"/>
      <c r="T479" s="90"/>
      <c r="U479" s="90"/>
      <c r="V479" s="90"/>
    </row>
    <row r="480" spans="2:22" s="77" customFormat="1">
      <c r="S480" s="90"/>
      <c r="T480" s="90"/>
      <c r="U480" s="90"/>
      <c r="V480" s="90"/>
    </row>
    <row r="481" spans="2:22" s="77" customFormat="1">
      <c r="S481" s="90"/>
      <c r="T481" s="90"/>
      <c r="U481" s="90"/>
      <c r="V481" s="90"/>
    </row>
    <row r="482" spans="2:22" s="77" customFormat="1">
      <c r="B482" s="88"/>
      <c r="P482" s="89"/>
      <c r="S482" s="90"/>
      <c r="T482" s="90"/>
      <c r="U482" s="90"/>
      <c r="V482" s="90"/>
    </row>
    <row r="483" spans="2:22" s="77" customFormat="1">
      <c r="S483" s="90"/>
      <c r="T483" s="90"/>
      <c r="U483" s="90"/>
      <c r="V483" s="90"/>
    </row>
    <row r="484" spans="2:22" s="77" customFormat="1">
      <c r="S484" s="90"/>
      <c r="T484" s="90"/>
      <c r="U484" s="90"/>
      <c r="V484" s="90"/>
    </row>
    <row r="485" spans="2:22" s="77" customFormat="1">
      <c r="B485" s="88"/>
      <c r="P485" s="89"/>
      <c r="S485" s="90"/>
      <c r="T485" s="90"/>
      <c r="U485" s="90"/>
      <c r="V485" s="90"/>
    </row>
    <row r="486" spans="2:22" s="77" customFormat="1">
      <c r="S486" s="90"/>
      <c r="T486" s="90"/>
      <c r="U486" s="90"/>
      <c r="V486" s="90"/>
    </row>
    <row r="487" spans="2:22" s="77" customFormat="1">
      <c r="S487" s="90"/>
      <c r="T487" s="90"/>
      <c r="U487" s="90"/>
      <c r="V487" s="90"/>
    </row>
    <row r="488" spans="2:22" s="77" customFormat="1">
      <c r="B488" s="88"/>
      <c r="P488" s="89"/>
      <c r="S488" s="90"/>
      <c r="T488" s="90"/>
      <c r="U488" s="90"/>
      <c r="V488" s="90"/>
    </row>
    <row r="489" spans="2:22" s="77" customFormat="1">
      <c r="S489" s="90"/>
      <c r="T489" s="90"/>
      <c r="U489" s="90"/>
      <c r="V489" s="90"/>
    </row>
    <row r="490" spans="2:22" s="77" customFormat="1">
      <c r="S490" s="90"/>
      <c r="T490" s="90"/>
      <c r="U490" s="90"/>
      <c r="V490" s="90"/>
    </row>
    <row r="491" spans="2:22" s="77" customFormat="1">
      <c r="B491" s="88"/>
      <c r="P491" s="89"/>
      <c r="S491" s="90"/>
      <c r="T491" s="90"/>
      <c r="U491" s="90"/>
      <c r="V491" s="90"/>
    </row>
    <row r="492" spans="2:22" s="77" customFormat="1">
      <c r="S492" s="90"/>
      <c r="T492" s="90"/>
      <c r="U492" s="90"/>
      <c r="V492" s="90"/>
    </row>
    <row r="493" spans="2:22" s="77" customFormat="1">
      <c r="S493" s="90"/>
      <c r="T493" s="90"/>
      <c r="U493" s="90"/>
      <c r="V493" s="90"/>
    </row>
    <row r="494" spans="2:22" s="77" customFormat="1">
      <c r="B494" s="88"/>
      <c r="P494" s="89"/>
      <c r="S494" s="90"/>
      <c r="T494" s="90"/>
      <c r="U494" s="90"/>
      <c r="V494" s="90"/>
    </row>
    <row r="495" spans="2:22" s="77" customFormat="1">
      <c r="S495" s="90"/>
      <c r="T495" s="90"/>
      <c r="U495" s="90"/>
      <c r="V495" s="90"/>
    </row>
    <row r="496" spans="2:22" s="77" customFormat="1">
      <c r="S496" s="90"/>
      <c r="T496" s="90"/>
      <c r="U496" s="90"/>
      <c r="V496" s="90"/>
    </row>
    <row r="497" spans="2:22" s="77" customFormat="1">
      <c r="B497" s="88"/>
      <c r="P497" s="89"/>
      <c r="S497" s="90"/>
      <c r="T497" s="90"/>
      <c r="U497" s="90"/>
      <c r="V497" s="90"/>
    </row>
    <row r="498" spans="2:22" s="77" customFormat="1">
      <c r="S498" s="90"/>
      <c r="T498" s="90"/>
      <c r="U498" s="90"/>
      <c r="V498" s="90"/>
    </row>
    <row r="499" spans="2:22" s="77" customFormat="1">
      <c r="S499" s="90"/>
      <c r="T499" s="90"/>
      <c r="U499" s="90"/>
      <c r="V499" s="90"/>
    </row>
    <row r="500" spans="2:22" s="77" customFormat="1">
      <c r="B500" s="88"/>
      <c r="P500" s="89"/>
      <c r="S500" s="90"/>
      <c r="T500" s="90"/>
      <c r="U500" s="90"/>
      <c r="V500" s="90"/>
    </row>
    <row r="501" spans="2:22" s="77" customFormat="1">
      <c r="S501" s="90"/>
      <c r="T501" s="90"/>
      <c r="U501" s="90"/>
      <c r="V501" s="90"/>
    </row>
    <row r="502" spans="2:22" s="77" customFormat="1">
      <c r="S502" s="90"/>
      <c r="T502" s="90"/>
      <c r="U502" s="90"/>
      <c r="V502" s="90"/>
    </row>
    <row r="503" spans="2:22" s="77" customFormat="1">
      <c r="B503" s="88"/>
      <c r="P503" s="89"/>
      <c r="S503" s="90"/>
      <c r="T503" s="90"/>
      <c r="U503" s="90"/>
      <c r="V503" s="90"/>
    </row>
    <row r="504" spans="2:22" s="77" customFormat="1">
      <c r="S504" s="90"/>
      <c r="T504" s="90"/>
      <c r="U504" s="90"/>
      <c r="V504" s="90"/>
    </row>
    <row r="505" spans="2:22" s="77" customFormat="1">
      <c r="S505" s="90"/>
      <c r="T505" s="90"/>
      <c r="U505" s="90"/>
      <c r="V505" s="90"/>
    </row>
    <row r="506" spans="2:22" s="77" customFormat="1">
      <c r="B506" s="88"/>
      <c r="P506" s="89"/>
      <c r="S506" s="90"/>
      <c r="T506" s="90"/>
      <c r="U506" s="90"/>
      <c r="V506" s="90"/>
    </row>
    <row r="507" spans="2:22" s="77" customFormat="1">
      <c r="S507" s="90"/>
      <c r="T507" s="90"/>
      <c r="U507" s="90"/>
      <c r="V507" s="90"/>
    </row>
    <row r="508" spans="2:22" s="77" customFormat="1">
      <c r="S508" s="90"/>
      <c r="T508" s="90"/>
      <c r="U508" s="90"/>
      <c r="V508" s="90"/>
    </row>
    <row r="509" spans="2:22" s="77" customFormat="1">
      <c r="B509" s="88"/>
      <c r="P509" s="89"/>
      <c r="S509" s="90"/>
      <c r="T509" s="90"/>
      <c r="U509" s="90"/>
      <c r="V509" s="90"/>
    </row>
    <row r="510" spans="2:22" s="77" customFormat="1">
      <c r="S510" s="90"/>
      <c r="T510" s="90"/>
      <c r="U510" s="90"/>
      <c r="V510" s="90"/>
    </row>
    <row r="511" spans="2:22" s="77" customFormat="1">
      <c r="S511" s="90"/>
      <c r="T511" s="90"/>
      <c r="U511" s="90"/>
      <c r="V511" s="90"/>
    </row>
    <row r="512" spans="2:22" s="77" customFormat="1">
      <c r="B512" s="88"/>
      <c r="P512" s="89"/>
      <c r="S512" s="90"/>
      <c r="T512" s="90"/>
      <c r="U512" s="90"/>
      <c r="V512" s="90"/>
    </row>
    <row r="513" spans="2:22" s="77" customFormat="1">
      <c r="S513" s="90"/>
      <c r="T513" s="90"/>
      <c r="U513" s="90"/>
      <c r="V513" s="90"/>
    </row>
    <row r="514" spans="2:22" s="77" customFormat="1">
      <c r="S514" s="90"/>
      <c r="T514" s="90"/>
      <c r="U514" s="90"/>
      <c r="V514" s="90"/>
    </row>
    <row r="515" spans="2:22" s="77" customFormat="1">
      <c r="B515" s="88"/>
      <c r="P515" s="89"/>
      <c r="S515" s="90"/>
      <c r="T515" s="90"/>
      <c r="U515" s="90"/>
      <c r="V515" s="90"/>
    </row>
    <row r="516" spans="2:22" s="77" customFormat="1">
      <c r="S516" s="90"/>
      <c r="T516" s="90"/>
      <c r="U516" s="90"/>
      <c r="V516" s="90"/>
    </row>
    <row r="517" spans="2:22" s="77" customFormat="1">
      <c r="S517" s="90"/>
      <c r="T517" s="90"/>
      <c r="U517" s="90"/>
      <c r="V517" s="90"/>
    </row>
    <row r="518" spans="2:22" s="77" customFormat="1">
      <c r="B518" s="88"/>
      <c r="P518" s="89"/>
      <c r="S518" s="90"/>
      <c r="T518" s="90"/>
      <c r="U518" s="90"/>
      <c r="V518" s="90"/>
    </row>
    <row r="519" spans="2:22" s="77" customFormat="1">
      <c r="S519" s="90"/>
      <c r="T519" s="90"/>
      <c r="U519" s="90"/>
      <c r="V519" s="90"/>
    </row>
    <row r="520" spans="2:22" s="77" customFormat="1">
      <c r="S520" s="90"/>
      <c r="T520" s="90"/>
      <c r="U520" s="90"/>
      <c r="V520" s="90"/>
    </row>
    <row r="521" spans="2:22" s="77" customFormat="1">
      <c r="B521" s="88"/>
      <c r="P521" s="89"/>
      <c r="S521" s="90"/>
      <c r="T521" s="90"/>
      <c r="U521" s="90"/>
      <c r="V521" s="90"/>
    </row>
    <row r="522" spans="2:22" s="77" customFormat="1">
      <c r="S522" s="90"/>
      <c r="T522" s="90"/>
      <c r="U522" s="90"/>
      <c r="V522" s="90"/>
    </row>
    <row r="523" spans="2:22" s="77" customFormat="1">
      <c r="S523" s="90"/>
      <c r="T523" s="90"/>
      <c r="U523" s="90"/>
      <c r="V523" s="90"/>
    </row>
    <row r="524" spans="2:22" s="77" customFormat="1">
      <c r="B524" s="88"/>
      <c r="P524" s="89"/>
      <c r="S524" s="90"/>
      <c r="T524" s="90"/>
      <c r="U524" s="90"/>
      <c r="V524" s="90"/>
    </row>
    <row r="525" spans="2:22" s="77" customFormat="1">
      <c r="S525" s="90"/>
      <c r="T525" s="90"/>
      <c r="U525" s="90"/>
      <c r="V525" s="90"/>
    </row>
    <row r="526" spans="2:22" s="77" customFormat="1">
      <c r="S526" s="90"/>
      <c r="T526" s="90"/>
      <c r="U526" s="90"/>
      <c r="V526" s="90"/>
    </row>
    <row r="527" spans="2:22" s="77" customFormat="1">
      <c r="B527" s="88"/>
      <c r="P527" s="89"/>
      <c r="S527" s="90"/>
      <c r="T527" s="90"/>
      <c r="U527" s="90"/>
      <c r="V527" s="90"/>
    </row>
    <row r="528" spans="2:22" s="77" customFormat="1">
      <c r="S528" s="90"/>
      <c r="T528" s="90"/>
      <c r="U528" s="90"/>
      <c r="V528" s="90"/>
    </row>
    <row r="529" spans="2:22" s="77" customFormat="1">
      <c r="S529" s="90"/>
      <c r="T529" s="90"/>
      <c r="U529" s="90"/>
      <c r="V529" s="90"/>
    </row>
    <row r="530" spans="2:22" s="77" customFormat="1">
      <c r="B530" s="88"/>
      <c r="P530" s="89"/>
      <c r="S530" s="90"/>
      <c r="T530" s="90"/>
      <c r="U530" s="90"/>
      <c r="V530" s="90"/>
    </row>
    <row r="531" spans="2:22" s="77" customFormat="1">
      <c r="S531" s="90"/>
      <c r="T531" s="90"/>
      <c r="U531" s="90"/>
      <c r="V531" s="90"/>
    </row>
    <row r="532" spans="2:22" s="77" customFormat="1">
      <c r="S532" s="90"/>
      <c r="T532" s="90"/>
      <c r="U532" s="90"/>
      <c r="V532" s="90"/>
    </row>
    <row r="533" spans="2:22" s="77" customFormat="1">
      <c r="B533" s="88"/>
      <c r="P533" s="89"/>
      <c r="S533" s="90"/>
      <c r="T533" s="90"/>
      <c r="U533" s="90"/>
      <c r="V533" s="90"/>
    </row>
    <row r="534" spans="2:22" s="77" customFormat="1">
      <c r="S534" s="90"/>
      <c r="T534" s="90"/>
      <c r="U534" s="90"/>
      <c r="V534" s="90"/>
    </row>
    <row r="535" spans="2:22" s="77" customFormat="1">
      <c r="S535" s="90"/>
      <c r="T535" s="90"/>
      <c r="U535" s="90"/>
      <c r="V535" s="90"/>
    </row>
    <row r="536" spans="2:22" s="77" customFormat="1">
      <c r="B536" s="88"/>
      <c r="P536" s="89"/>
      <c r="S536" s="90"/>
      <c r="T536" s="90"/>
      <c r="U536" s="90"/>
      <c r="V536" s="90"/>
    </row>
    <row r="537" spans="2:22" s="77" customFormat="1">
      <c r="S537" s="90"/>
      <c r="T537" s="90"/>
      <c r="U537" s="90"/>
      <c r="V537" s="90"/>
    </row>
    <row r="538" spans="2:22" s="77" customFormat="1">
      <c r="S538" s="90"/>
      <c r="T538" s="90"/>
      <c r="U538" s="90"/>
      <c r="V538" s="90"/>
    </row>
    <row r="539" spans="2:22" s="77" customFormat="1">
      <c r="B539" s="88"/>
      <c r="P539" s="89"/>
      <c r="S539" s="90"/>
      <c r="T539" s="90"/>
      <c r="U539" s="90"/>
      <c r="V539" s="90"/>
    </row>
    <row r="540" spans="2:22" s="77" customFormat="1">
      <c r="S540" s="90"/>
      <c r="T540" s="90"/>
      <c r="U540" s="90"/>
      <c r="V540" s="90"/>
    </row>
    <row r="541" spans="2:22" s="77" customFormat="1">
      <c r="S541" s="90"/>
      <c r="T541" s="90"/>
      <c r="U541" s="90"/>
      <c r="V541" s="90"/>
    </row>
    <row r="542" spans="2:22" s="77" customFormat="1">
      <c r="B542" s="88"/>
      <c r="P542" s="89"/>
      <c r="S542" s="90"/>
      <c r="T542" s="90"/>
      <c r="U542" s="90"/>
      <c r="V542" s="90"/>
    </row>
    <row r="543" spans="2:22" s="77" customFormat="1">
      <c r="S543" s="90"/>
      <c r="T543" s="90"/>
      <c r="U543" s="90"/>
      <c r="V543" s="90"/>
    </row>
    <row r="544" spans="2:22" s="77" customFormat="1">
      <c r="S544" s="90"/>
      <c r="T544" s="90"/>
      <c r="U544" s="90"/>
      <c r="V544" s="90"/>
    </row>
    <row r="545" spans="2:22" s="77" customFormat="1">
      <c r="B545" s="88"/>
      <c r="P545" s="89"/>
      <c r="S545" s="90"/>
      <c r="T545" s="90"/>
      <c r="U545" s="90"/>
      <c r="V545" s="90"/>
    </row>
    <row r="546" spans="2:22" s="77" customFormat="1">
      <c r="S546" s="90"/>
      <c r="T546" s="90"/>
      <c r="U546" s="90"/>
      <c r="V546" s="90"/>
    </row>
    <row r="547" spans="2:22" s="77" customFormat="1">
      <c r="S547" s="90"/>
      <c r="T547" s="90"/>
      <c r="U547" s="90"/>
      <c r="V547" s="90"/>
    </row>
    <row r="548" spans="2:22" s="77" customFormat="1">
      <c r="B548" s="88"/>
      <c r="P548" s="89"/>
      <c r="S548" s="90"/>
      <c r="T548" s="90"/>
      <c r="U548" s="90"/>
      <c r="V548" s="90"/>
    </row>
    <row r="549" spans="2:22" s="77" customFormat="1">
      <c r="S549" s="90"/>
      <c r="T549" s="90"/>
      <c r="U549" s="90"/>
      <c r="V549" s="90"/>
    </row>
    <row r="550" spans="2:22" s="77" customFormat="1">
      <c r="S550" s="90"/>
      <c r="T550" s="90"/>
      <c r="U550" s="90"/>
      <c r="V550" s="90"/>
    </row>
    <row r="551" spans="2:22" s="77" customFormat="1">
      <c r="B551" s="88"/>
      <c r="P551" s="89"/>
      <c r="S551" s="90"/>
      <c r="T551" s="90"/>
      <c r="U551" s="90"/>
      <c r="V551" s="90"/>
    </row>
    <row r="552" spans="2:22" s="77" customFormat="1">
      <c r="S552" s="90"/>
      <c r="T552" s="90"/>
      <c r="U552" s="90"/>
      <c r="V552" s="90"/>
    </row>
    <row r="553" spans="2:22" s="77" customFormat="1">
      <c r="S553" s="90"/>
      <c r="T553" s="90"/>
      <c r="U553" s="90"/>
      <c r="V553" s="90"/>
    </row>
    <row r="554" spans="2:22" s="77" customFormat="1">
      <c r="B554" s="88"/>
      <c r="P554" s="89"/>
      <c r="S554" s="90"/>
      <c r="T554" s="90"/>
      <c r="U554" s="90"/>
      <c r="V554" s="90"/>
    </row>
    <row r="555" spans="2:22" s="77" customFormat="1">
      <c r="S555" s="90"/>
      <c r="T555" s="90"/>
      <c r="U555" s="90"/>
      <c r="V555" s="90"/>
    </row>
    <row r="556" spans="2:22" s="77" customFormat="1">
      <c r="S556" s="90"/>
      <c r="T556" s="90"/>
      <c r="U556" s="90"/>
      <c r="V556" s="90"/>
    </row>
    <row r="557" spans="2:22" s="77" customFormat="1">
      <c r="B557" s="88"/>
      <c r="P557" s="89"/>
      <c r="S557" s="90"/>
      <c r="T557" s="90"/>
      <c r="U557" s="90"/>
      <c r="V557" s="90"/>
    </row>
    <row r="558" spans="2:22" s="77" customFormat="1">
      <c r="S558" s="90"/>
      <c r="T558" s="90"/>
      <c r="U558" s="90"/>
      <c r="V558" s="90"/>
    </row>
    <row r="559" spans="2:22" s="77" customFormat="1">
      <c r="S559" s="90"/>
      <c r="T559" s="90"/>
      <c r="U559" s="90"/>
      <c r="V559" s="90"/>
    </row>
    <row r="560" spans="2:22" s="77" customFormat="1">
      <c r="B560" s="88"/>
      <c r="P560" s="89"/>
      <c r="S560" s="90"/>
      <c r="T560" s="90"/>
      <c r="U560" s="90"/>
      <c r="V560" s="90"/>
    </row>
    <row r="561" spans="2:22" s="77" customFormat="1">
      <c r="S561" s="90"/>
      <c r="T561" s="90"/>
      <c r="U561" s="90"/>
      <c r="V561" s="90"/>
    </row>
    <row r="562" spans="2:22" s="77" customFormat="1">
      <c r="S562" s="90"/>
      <c r="T562" s="90"/>
      <c r="U562" s="90"/>
      <c r="V562" s="90"/>
    </row>
    <row r="563" spans="2:22" s="77" customFormat="1">
      <c r="B563" s="88"/>
      <c r="P563" s="89"/>
      <c r="S563" s="90"/>
      <c r="T563" s="90"/>
      <c r="U563" s="90"/>
      <c r="V563" s="90"/>
    </row>
    <row r="564" spans="2:22" s="77" customFormat="1">
      <c r="S564" s="90"/>
      <c r="T564" s="90"/>
      <c r="U564" s="90"/>
      <c r="V564" s="90"/>
    </row>
    <row r="565" spans="2:22" s="77" customFormat="1">
      <c r="S565" s="90"/>
      <c r="T565" s="90"/>
      <c r="U565" s="90"/>
      <c r="V565" s="90"/>
    </row>
    <row r="566" spans="2:22" s="77" customFormat="1">
      <c r="B566" s="88"/>
      <c r="P566" s="89"/>
      <c r="S566" s="90"/>
      <c r="T566" s="90"/>
      <c r="U566" s="90"/>
      <c r="V566" s="90"/>
    </row>
    <row r="567" spans="2:22" s="77" customFormat="1">
      <c r="S567" s="90"/>
      <c r="T567" s="90"/>
      <c r="U567" s="90"/>
      <c r="V567" s="90"/>
    </row>
    <row r="568" spans="2:22" s="77" customFormat="1">
      <c r="S568" s="90"/>
      <c r="T568" s="90"/>
      <c r="U568" s="90"/>
      <c r="V568" s="90"/>
    </row>
    <row r="569" spans="2:22" s="77" customFormat="1">
      <c r="B569" s="88"/>
      <c r="P569" s="89"/>
      <c r="S569" s="90"/>
      <c r="T569" s="90"/>
      <c r="U569" s="90"/>
      <c r="V569" s="90"/>
    </row>
    <row r="570" spans="2:22" s="77" customFormat="1">
      <c r="S570" s="90"/>
      <c r="T570" s="90"/>
      <c r="U570" s="90"/>
      <c r="V570" s="90"/>
    </row>
    <row r="571" spans="2:22" s="77" customFormat="1">
      <c r="S571" s="90"/>
      <c r="T571" s="90"/>
      <c r="U571" s="90"/>
      <c r="V571" s="90"/>
    </row>
    <row r="572" spans="2:22" s="77" customFormat="1">
      <c r="B572" s="88"/>
      <c r="P572" s="89"/>
      <c r="S572" s="90"/>
      <c r="T572" s="90"/>
      <c r="U572" s="90"/>
      <c r="V572" s="90"/>
    </row>
    <row r="573" spans="2:22" s="77" customFormat="1">
      <c r="S573" s="90"/>
      <c r="T573" s="90"/>
      <c r="U573" s="90"/>
      <c r="V573" s="90"/>
    </row>
    <row r="574" spans="2:22" s="77" customFormat="1">
      <c r="S574" s="90"/>
      <c r="T574" s="90"/>
      <c r="U574" s="90"/>
      <c r="V574" s="90"/>
    </row>
    <row r="575" spans="2:22" s="77" customFormat="1">
      <c r="B575" s="88"/>
      <c r="P575" s="89"/>
      <c r="S575" s="90"/>
      <c r="T575" s="90"/>
      <c r="U575" s="90"/>
      <c r="V575" s="90"/>
    </row>
    <row r="576" spans="2:22" s="77" customFormat="1">
      <c r="S576" s="90"/>
      <c r="T576" s="90"/>
      <c r="U576" s="90"/>
      <c r="V576" s="90"/>
    </row>
    <row r="577" spans="2:22" s="77" customFormat="1">
      <c r="S577" s="90"/>
      <c r="T577" s="90"/>
      <c r="U577" s="90"/>
      <c r="V577" s="90"/>
    </row>
    <row r="578" spans="2:22" s="77" customFormat="1">
      <c r="B578" s="88"/>
      <c r="P578" s="89"/>
      <c r="S578" s="90"/>
      <c r="T578" s="90"/>
      <c r="U578" s="90"/>
      <c r="V578" s="90"/>
    </row>
    <row r="579" spans="2:22" s="77" customFormat="1">
      <c r="S579" s="90"/>
      <c r="T579" s="90"/>
      <c r="U579" s="90"/>
      <c r="V579" s="90"/>
    </row>
    <row r="580" spans="2:22" s="77" customFormat="1">
      <c r="S580" s="90"/>
      <c r="T580" s="90"/>
      <c r="U580" s="90"/>
      <c r="V580" s="90"/>
    </row>
    <row r="581" spans="2:22" s="77" customFormat="1">
      <c r="B581" s="88"/>
      <c r="P581" s="89"/>
      <c r="S581" s="90"/>
      <c r="T581" s="90"/>
      <c r="U581" s="90"/>
      <c r="V581" s="90"/>
    </row>
    <row r="582" spans="2:22" s="77" customFormat="1">
      <c r="S582" s="90"/>
      <c r="T582" s="90"/>
      <c r="U582" s="90"/>
      <c r="V582" s="90"/>
    </row>
    <row r="583" spans="2:22" s="77" customFormat="1">
      <c r="S583" s="90"/>
      <c r="T583" s="90"/>
      <c r="U583" s="90"/>
      <c r="V583" s="90"/>
    </row>
    <row r="584" spans="2:22" s="77" customFormat="1">
      <c r="B584" s="88"/>
      <c r="P584" s="89"/>
      <c r="S584" s="90"/>
      <c r="T584" s="90"/>
      <c r="U584" s="90"/>
      <c r="V584" s="90"/>
    </row>
    <row r="585" spans="2:22" s="77" customFormat="1">
      <c r="S585" s="90"/>
      <c r="T585" s="90"/>
      <c r="U585" s="90"/>
      <c r="V585" s="90"/>
    </row>
    <row r="586" spans="2:22" s="77" customFormat="1">
      <c r="S586" s="90"/>
      <c r="T586" s="90"/>
      <c r="U586" s="90"/>
      <c r="V586" s="90"/>
    </row>
    <row r="587" spans="2:22" s="77" customFormat="1">
      <c r="B587" s="88"/>
      <c r="P587" s="89"/>
      <c r="S587" s="90"/>
      <c r="T587" s="90"/>
      <c r="U587" s="90"/>
      <c r="V587" s="90"/>
    </row>
    <row r="588" spans="2:22" s="77" customFormat="1">
      <c r="S588" s="90"/>
      <c r="T588" s="90"/>
      <c r="U588" s="90"/>
      <c r="V588" s="90"/>
    </row>
    <row r="589" spans="2:22" s="77" customFormat="1">
      <c r="S589" s="90"/>
      <c r="T589" s="90"/>
      <c r="U589" s="90"/>
      <c r="V589" s="90"/>
    </row>
    <row r="590" spans="2:22" s="77" customFormat="1">
      <c r="B590" s="88"/>
      <c r="P590" s="89"/>
      <c r="S590" s="90"/>
      <c r="T590" s="90"/>
      <c r="U590" s="90"/>
      <c r="V590" s="90"/>
    </row>
    <row r="591" spans="2:22" s="77" customFormat="1">
      <c r="S591" s="90"/>
      <c r="T591" s="90"/>
      <c r="U591" s="90"/>
      <c r="V591" s="90"/>
    </row>
    <row r="592" spans="2:22" s="77" customFormat="1">
      <c r="S592" s="90"/>
      <c r="T592" s="90"/>
      <c r="U592" s="90"/>
      <c r="V592" s="90"/>
    </row>
    <row r="593" spans="2:22" s="77" customFormat="1">
      <c r="B593" s="88"/>
      <c r="P593" s="89"/>
      <c r="S593" s="90"/>
      <c r="T593" s="90"/>
      <c r="U593" s="90"/>
      <c r="V593" s="90"/>
    </row>
    <row r="594" spans="2:22" s="77" customFormat="1">
      <c r="S594" s="90"/>
      <c r="T594" s="90"/>
      <c r="U594" s="90"/>
      <c r="V594" s="90"/>
    </row>
    <row r="595" spans="2:22" s="77" customFormat="1">
      <c r="S595" s="90"/>
      <c r="T595" s="90"/>
      <c r="U595" s="90"/>
      <c r="V595" s="90"/>
    </row>
    <row r="596" spans="2:22" s="77" customFormat="1">
      <c r="B596" s="88"/>
      <c r="P596" s="89"/>
      <c r="S596" s="90"/>
      <c r="T596" s="90"/>
      <c r="U596" s="90"/>
      <c r="V596" s="90"/>
    </row>
    <row r="597" spans="2:22" s="77" customFormat="1">
      <c r="S597" s="90"/>
      <c r="T597" s="90"/>
      <c r="U597" s="90"/>
      <c r="V597" s="90"/>
    </row>
    <row r="598" spans="2:22" s="77" customFormat="1">
      <c r="S598" s="90"/>
      <c r="T598" s="90"/>
      <c r="U598" s="90"/>
      <c r="V598" s="90"/>
    </row>
    <row r="599" spans="2:22" s="77" customFormat="1">
      <c r="B599" s="88"/>
      <c r="P599" s="89"/>
      <c r="S599" s="90"/>
      <c r="T599" s="90"/>
      <c r="U599" s="90"/>
      <c r="V599" s="90"/>
    </row>
    <row r="600" spans="2:22" s="77" customFormat="1">
      <c r="S600" s="90"/>
      <c r="T600" s="90"/>
      <c r="U600" s="90"/>
      <c r="V600" s="90"/>
    </row>
    <row r="601" spans="2:22" s="77" customFormat="1">
      <c r="S601" s="90"/>
      <c r="T601" s="90"/>
      <c r="U601" s="90"/>
      <c r="V601" s="90"/>
    </row>
    <row r="602" spans="2:22" s="77" customFormat="1">
      <c r="B602" s="88"/>
      <c r="P602" s="89"/>
      <c r="S602" s="90"/>
      <c r="T602" s="90"/>
      <c r="U602" s="90"/>
      <c r="V602" s="90"/>
    </row>
    <row r="603" spans="2:22" s="77" customFormat="1">
      <c r="S603" s="90"/>
      <c r="T603" s="90"/>
      <c r="U603" s="90"/>
      <c r="V603" s="90"/>
    </row>
    <row r="604" spans="2:22" s="77" customFormat="1">
      <c r="S604" s="90"/>
      <c r="T604" s="90"/>
      <c r="U604" s="90"/>
      <c r="V604" s="90"/>
    </row>
    <row r="605" spans="2:22" s="77" customFormat="1">
      <c r="B605" s="88"/>
      <c r="P605" s="89"/>
      <c r="S605" s="90"/>
      <c r="T605" s="90"/>
      <c r="U605" s="90"/>
      <c r="V605" s="90"/>
    </row>
    <row r="606" spans="2:22" s="77" customFormat="1">
      <c r="S606" s="90"/>
      <c r="T606" s="90"/>
      <c r="U606" s="90"/>
      <c r="V606" s="90"/>
    </row>
    <row r="607" spans="2:22" s="77" customFormat="1">
      <c r="S607" s="90"/>
      <c r="T607" s="90"/>
      <c r="U607" s="90"/>
      <c r="V607" s="90"/>
    </row>
    <row r="608" spans="2:22" s="77" customFormat="1">
      <c r="B608" s="88"/>
      <c r="P608" s="89"/>
      <c r="S608" s="90"/>
      <c r="T608" s="90"/>
      <c r="U608" s="90"/>
      <c r="V608" s="90"/>
    </row>
    <row r="609" spans="2:22" s="77" customFormat="1">
      <c r="S609" s="90"/>
      <c r="T609" s="90"/>
      <c r="U609" s="90"/>
      <c r="V609" s="90"/>
    </row>
    <row r="610" spans="2:22" s="77" customFormat="1">
      <c r="S610" s="90"/>
      <c r="T610" s="90"/>
      <c r="U610" s="90"/>
      <c r="V610" s="90"/>
    </row>
    <row r="611" spans="2:22" s="77" customFormat="1">
      <c r="B611" s="88"/>
      <c r="P611" s="89"/>
      <c r="S611" s="90"/>
      <c r="T611" s="90"/>
      <c r="U611" s="90"/>
      <c r="V611" s="90"/>
    </row>
    <row r="612" spans="2:22" s="77" customFormat="1">
      <c r="S612" s="90"/>
      <c r="T612" s="90"/>
      <c r="U612" s="90"/>
      <c r="V612" s="90"/>
    </row>
    <row r="613" spans="2:22" s="77" customFormat="1">
      <c r="S613" s="90"/>
      <c r="T613" s="90"/>
      <c r="U613" s="90"/>
      <c r="V613" s="90"/>
    </row>
    <row r="614" spans="2:22" s="77" customFormat="1">
      <c r="B614" s="88"/>
      <c r="P614" s="89"/>
      <c r="S614" s="90"/>
      <c r="T614" s="90"/>
      <c r="U614" s="90"/>
      <c r="V614" s="90"/>
    </row>
    <row r="615" spans="2:22" s="77" customFormat="1">
      <c r="S615" s="90"/>
      <c r="T615" s="90"/>
      <c r="U615" s="90"/>
      <c r="V615" s="90"/>
    </row>
    <row r="616" spans="2:22" s="77" customFormat="1">
      <c r="S616" s="90"/>
      <c r="T616" s="90"/>
      <c r="U616" s="90"/>
      <c r="V616" s="90"/>
    </row>
    <row r="617" spans="2:22" s="77" customFormat="1">
      <c r="B617" s="88"/>
      <c r="P617" s="89"/>
      <c r="S617" s="90"/>
      <c r="T617" s="90"/>
      <c r="U617" s="90"/>
      <c r="V617" s="90"/>
    </row>
    <row r="618" spans="2:22" s="77" customFormat="1"/>
    <row r="619" spans="2:22" s="77" customFormat="1"/>
    <row r="620" spans="2:22" s="77" customFormat="1"/>
    <row r="621" spans="2:22" s="77" customFormat="1"/>
    <row r="622" spans="2:22" s="77" customFormat="1"/>
    <row r="623" spans="2:22" s="77" customFormat="1"/>
    <row r="624" spans="2:22" s="77" customFormat="1"/>
    <row r="625" s="77" customFormat="1"/>
    <row r="626" s="77" customFormat="1"/>
    <row r="627" s="77" customFormat="1"/>
    <row r="628" s="77" customFormat="1"/>
    <row r="629" s="77" customFormat="1"/>
    <row r="630" s="77" customFormat="1"/>
    <row r="631" s="77" customFormat="1"/>
    <row r="632" s="77" customFormat="1"/>
    <row r="633" s="77" customFormat="1"/>
    <row r="634" s="77" customFormat="1"/>
    <row r="635" s="77" customFormat="1"/>
    <row r="636" s="77" customFormat="1"/>
    <row r="637" s="77" customFormat="1"/>
    <row r="638" s="77" customFormat="1"/>
    <row r="639" s="77" customFormat="1"/>
    <row r="640" s="77" customFormat="1"/>
    <row r="641" s="77" customFormat="1"/>
    <row r="642" s="77" customFormat="1"/>
    <row r="643" s="77" customFormat="1"/>
    <row r="644" s="77" customFormat="1"/>
    <row r="645" s="77" customFormat="1"/>
    <row r="646" s="77" customFormat="1"/>
    <row r="647" s="77" customFormat="1"/>
    <row r="648" s="77" customFormat="1"/>
    <row r="649" s="77" customFormat="1"/>
    <row r="650" s="77" customFormat="1"/>
    <row r="651" s="77" customFormat="1"/>
    <row r="652" s="77" customFormat="1"/>
    <row r="653" s="77" customFormat="1"/>
    <row r="654" s="77" customFormat="1"/>
    <row r="655" s="77" customFormat="1"/>
    <row r="656" s="77" customFormat="1"/>
    <row r="657" s="77" customFormat="1"/>
    <row r="658" s="77" customFormat="1"/>
    <row r="659" s="77" customFormat="1"/>
    <row r="660" s="77" customFormat="1"/>
    <row r="661" s="77" customFormat="1"/>
    <row r="662" s="77" customFormat="1"/>
    <row r="663" s="77" customFormat="1"/>
    <row r="664" s="77" customFormat="1"/>
    <row r="665" s="77" customFormat="1"/>
    <row r="666" s="77" customFormat="1"/>
    <row r="667" s="77" customFormat="1"/>
    <row r="668" s="77" customFormat="1"/>
    <row r="669" s="77" customFormat="1"/>
    <row r="670" s="77" customFormat="1"/>
    <row r="671" s="77" customFormat="1"/>
    <row r="672" s="77" customFormat="1"/>
    <row r="673" s="77" customFormat="1"/>
    <row r="674" s="77" customFormat="1"/>
    <row r="675" s="77" customFormat="1"/>
    <row r="676" s="77" customFormat="1"/>
    <row r="677" s="77" customFormat="1"/>
    <row r="678" s="77" customFormat="1"/>
    <row r="679" s="77" customFormat="1"/>
    <row r="680" s="77" customFormat="1"/>
    <row r="681" s="77" customFormat="1"/>
    <row r="682" s="77" customFormat="1"/>
    <row r="683" s="77" customFormat="1"/>
    <row r="684" s="77" customFormat="1"/>
    <row r="685" s="77" customFormat="1"/>
    <row r="686" s="77" customFormat="1"/>
    <row r="687" s="77" customFormat="1"/>
    <row r="688" s="77" customFormat="1"/>
    <row r="689" s="77" customFormat="1"/>
    <row r="690" s="77" customFormat="1"/>
    <row r="691" s="77" customFormat="1"/>
    <row r="692" s="77" customFormat="1"/>
    <row r="693" s="77" customFormat="1"/>
    <row r="694" s="77" customFormat="1"/>
    <row r="695" s="77" customFormat="1"/>
    <row r="696" s="77" customFormat="1"/>
    <row r="697" s="77" customFormat="1"/>
    <row r="698" s="77" customFormat="1"/>
    <row r="699" s="77" customFormat="1"/>
    <row r="700" s="77" customFormat="1"/>
    <row r="701" s="77" customFormat="1"/>
    <row r="702" s="77" customFormat="1"/>
    <row r="703" s="77" customFormat="1"/>
    <row r="704" s="77" customFormat="1"/>
    <row r="705" s="77" customFormat="1"/>
    <row r="706" s="77" customFormat="1"/>
    <row r="707" s="77" customFormat="1"/>
    <row r="708" s="77" customFormat="1"/>
    <row r="709" s="77" customFormat="1"/>
    <row r="710" s="77" customFormat="1"/>
    <row r="711" s="77" customFormat="1"/>
    <row r="712" s="77" customFormat="1"/>
    <row r="713" s="77" customFormat="1"/>
    <row r="714" s="77" customFormat="1"/>
    <row r="715" s="77" customFormat="1"/>
    <row r="716" s="77" customFormat="1"/>
    <row r="717" s="77" customFormat="1"/>
    <row r="718" s="77" customFormat="1"/>
    <row r="719" s="77" customFormat="1"/>
    <row r="720" s="77" customFormat="1"/>
    <row r="721" s="77" customFormat="1"/>
    <row r="722" s="77" customFormat="1"/>
    <row r="723" s="77" customFormat="1"/>
    <row r="724" s="77" customFormat="1"/>
    <row r="725" s="77" customFormat="1"/>
    <row r="726" s="77" customFormat="1"/>
    <row r="727" s="77" customFormat="1"/>
    <row r="728" s="77" customFormat="1"/>
    <row r="729" s="77" customFormat="1"/>
    <row r="730" s="77" customFormat="1"/>
    <row r="731" s="77" customFormat="1"/>
    <row r="732" s="77" customFormat="1"/>
    <row r="733" s="77" customFormat="1"/>
    <row r="734" s="77" customFormat="1"/>
    <row r="735" s="77" customFormat="1"/>
    <row r="736" s="77" customFormat="1"/>
    <row r="737" s="77" customFormat="1"/>
    <row r="738" s="77" customFormat="1"/>
    <row r="739" s="77" customFormat="1"/>
    <row r="740" s="77" customFormat="1"/>
    <row r="741" s="77" customFormat="1"/>
    <row r="742" s="77" customFormat="1"/>
    <row r="743" s="77" customFormat="1"/>
    <row r="744" s="77" customFormat="1"/>
    <row r="745" s="77" customFormat="1"/>
    <row r="746" s="77" customFormat="1"/>
    <row r="747" s="77" customFormat="1"/>
    <row r="748" s="77" customFormat="1"/>
    <row r="749" s="77" customFormat="1"/>
    <row r="750" s="77" customFormat="1"/>
    <row r="751" s="77" customFormat="1"/>
    <row r="752" s="77" customFormat="1"/>
    <row r="753" s="77" customFormat="1"/>
    <row r="754" s="77" customFormat="1"/>
    <row r="755" s="77" customFormat="1"/>
    <row r="756" s="77" customFormat="1"/>
    <row r="757" s="77" customFormat="1"/>
    <row r="758" s="77" customFormat="1"/>
    <row r="759" s="77" customFormat="1"/>
    <row r="760" s="77" customFormat="1"/>
    <row r="761" s="77" customFormat="1"/>
    <row r="762" s="77" customFormat="1"/>
    <row r="763" s="77" customFormat="1"/>
    <row r="764" s="77" customFormat="1"/>
    <row r="765" s="77" customFormat="1"/>
    <row r="766" s="77" customFormat="1"/>
    <row r="767" s="77" customFormat="1"/>
    <row r="768" s="77" customFormat="1"/>
    <row r="769" s="77" customFormat="1"/>
    <row r="770" s="77" customFormat="1"/>
    <row r="771" s="77" customFormat="1"/>
    <row r="772" s="77" customFormat="1"/>
    <row r="773" s="77" customFormat="1"/>
    <row r="774" s="77" customFormat="1"/>
    <row r="775" s="77" customFormat="1"/>
    <row r="776" s="77" customFormat="1"/>
    <row r="777" s="77" customFormat="1"/>
    <row r="778" s="77" customFormat="1"/>
    <row r="779" s="77" customFormat="1"/>
    <row r="780" s="77" customFormat="1"/>
    <row r="781" s="77" customFormat="1"/>
    <row r="782" s="77" customFormat="1"/>
    <row r="783" s="77" customFormat="1"/>
    <row r="784" s="77" customFormat="1"/>
    <row r="785" s="77" customFormat="1"/>
    <row r="786" s="77" customFormat="1"/>
    <row r="787" s="77" customFormat="1"/>
    <row r="788" s="77" customFormat="1"/>
    <row r="789" s="77" customFormat="1"/>
    <row r="790" s="77" customFormat="1"/>
    <row r="791" s="77" customFormat="1"/>
    <row r="792" s="77" customFormat="1"/>
    <row r="793" s="77" customFormat="1"/>
    <row r="794" s="77" customFormat="1"/>
    <row r="795" s="77" customFormat="1"/>
    <row r="796" s="77" customFormat="1"/>
    <row r="797" s="77" customFormat="1"/>
    <row r="798" s="77" customFormat="1"/>
    <row r="799" s="77" customFormat="1"/>
    <row r="800" s="77" customFormat="1"/>
    <row r="801" s="77" customFormat="1"/>
    <row r="802" s="77" customFormat="1"/>
    <row r="803" s="77" customFormat="1"/>
    <row r="804" s="77" customFormat="1"/>
    <row r="805" s="77" customFormat="1"/>
    <row r="806" s="77" customFormat="1"/>
    <row r="807" s="77" customFormat="1"/>
    <row r="808" s="77" customFormat="1"/>
    <row r="809" s="77" customFormat="1"/>
    <row r="810" s="77" customFormat="1"/>
    <row r="811" s="77" customFormat="1"/>
    <row r="812" s="77" customFormat="1"/>
    <row r="813" s="77" customFormat="1"/>
    <row r="814" s="77" customFormat="1"/>
    <row r="815" s="77" customFormat="1"/>
    <row r="816" s="77" customFormat="1"/>
    <row r="817" s="77" customFormat="1"/>
    <row r="818" s="77" customFormat="1"/>
    <row r="819" s="77" customFormat="1"/>
    <row r="820" s="77" customFormat="1"/>
    <row r="821" s="77" customFormat="1"/>
    <row r="822" s="77" customFormat="1"/>
    <row r="823" s="77" customFormat="1"/>
    <row r="824" s="77" customFormat="1"/>
    <row r="825" s="77" customFormat="1"/>
    <row r="826" s="77" customFormat="1"/>
    <row r="827" s="77" customFormat="1"/>
    <row r="828" s="77" customFormat="1"/>
    <row r="829" s="77" customFormat="1"/>
    <row r="830" s="77" customFormat="1"/>
    <row r="831" s="77" customFormat="1"/>
    <row r="832" s="77" customFormat="1"/>
    <row r="833" s="77" customFormat="1"/>
    <row r="834" s="77" customFormat="1"/>
    <row r="835" s="77" customFormat="1"/>
    <row r="836" s="77" customFormat="1"/>
    <row r="837" s="77" customFormat="1"/>
    <row r="838" s="77" customFormat="1"/>
    <row r="839" s="77" customFormat="1"/>
    <row r="840" s="77" customFormat="1"/>
    <row r="841" s="77" customFormat="1"/>
    <row r="842" s="77" customFormat="1"/>
    <row r="843" s="77" customFormat="1"/>
    <row r="844" s="77" customFormat="1"/>
    <row r="845" s="77" customFormat="1"/>
    <row r="846" s="77" customFormat="1"/>
    <row r="847" s="77" customFormat="1"/>
    <row r="848" s="77" customFormat="1"/>
    <row r="849" s="77" customFormat="1"/>
    <row r="850" s="77" customFormat="1"/>
    <row r="851" s="77" customFormat="1"/>
    <row r="852" s="77" customFormat="1"/>
    <row r="853" s="77" customFormat="1"/>
    <row r="854" s="77" customFormat="1"/>
    <row r="855" s="77" customFormat="1"/>
    <row r="856" s="77" customFormat="1"/>
    <row r="857" s="77" customFormat="1"/>
    <row r="858" s="77" customFormat="1"/>
    <row r="859" s="77" customFormat="1"/>
    <row r="860" s="77" customFormat="1"/>
    <row r="861" s="77" customFormat="1"/>
    <row r="862" s="77" customFormat="1"/>
    <row r="863" s="77" customFormat="1"/>
    <row r="864" s="77" customFormat="1"/>
    <row r="865" s="77" customFormat="1"/>
    <row r="866" s="77" customFormat="1"/>
    <row r="867" s="77" customFormat="1"/>
    <row r="868" s="77" customFormat="1"/>
    <row r="869" s="77" customFormat="1"/>
    <row r="870" s="77" customFormat="1"/>
    <row r="871" s="77" customFormat="1"/>
    <row r="872" s="77" customFormat="1"/>
    <row r="873" s="77" customFormat="1"/>
    <row r="874" s="77" customFormat="1"/>
    <row r="875" s="77" customFormat="1"/>
    <row r="876" s="77" customFormat="1"/>
    <row r="877" s="77" customFormat="1"/>
    <row r="878" s="77" customFormat="1"/>
    <row r="879" s="77" customFormat="1"/>
    <row r="880" s="77" customFormat="1"/>
    <row r="881" s="77" customFormat="1"/>
    <row r="882" s="77" customFormat="1"/>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71AF9-60DF-43DB-92D7-EF8449039E21}">
  <sheetPr>
    <tabColor rgb="FFFFFF00"/>
  </sheetPr>
  <dimension ref="A2:Z882"/>
  <sheetViews>
    <sheetView topLeftCell="A19" workbookViewId="0">
      <selection activeCell="A19" sqref="A1:XFD1048576"/>
    </sheetView>
  </sheetViews>
  <sheetFormatPr defaultColWidth="8.88671875" defaultRowHeight="15"/>
  <cols>
    <col min="1" max="1" width="5.44140625" style="57" customWidth="1"/>
    <col min="2" max="2" width="20.88671875" style="57" customWidth="1"/>
    <col min="3" max="10" width="7.21875" style="57" customWidth="1"/>
    <col min="11" max="11" width="7.88671875" style="57" customWidth="1"/>
    <col min="12" max="15" width="8.6640625" style="57" customWidth="1"/>
    <col min="16" max="16" width="7.88671875" style="57" customWidth="1"/>
    <col min="17" max="18" width="8.6640625" style="57" customWidth="1"/>
    <col min="19" max="19" width="7.88671875" style="57" customWidth="1"/>
    <col min="20" max="22" width="8.6640625" style="57" customWidth="1"/>
    <col min="23" max="23" width="7.88671875" style="57" customWidth="1"/>
    <col min="24" max="25" width="8.6640625" style="57" customWidth="1"/>
    <col min="26" max="26" width="7.88671875" style="57" customWidth="1"/>
    <col min="27" max="16384" width="8.88671875" style="57"/>
  </cols>
  <sheetData>
    <row r="2" spans="1:26">
      <c r="S2" s="58"/>
      <c r="T2" s="58"/>
    </row>
    <row r="3" spans="1:26">
      <c r="A3" s="59"/>
      <c r="B3" s="60"/>
      <c r="C3" s="50"/>
      <c r="D3" s="53"/>
      <c r="E3" s="53"/>
      <c r="F3" s="53"/>
      <c r="G3" s="53"/>
      <c r="H3" s="53"/>
      <c r="I3" s="53"/>
      <c r="J3" s="52"/>
      <c r="K3" s="53"/>
      <c r="L3" s="53"/>
      <c r="M3" s="53"/>
      <c r="N3" s="53"/>
      <c r="O3" s="52"/>
      <c r="P3" s="53"/>
      <c r="Q3" s="53"/>
      <c r="R3" s="52"/>
      <c r="S3" s="61"/>
      <c r="T3" s="62"/>
      <c r="U3" s="62"/>
      <c r="V3" s="62"/>
      <c r="W3" s="62"/>
      <c r="X3" s="62"/>
      <c r="Y3" s="62"/>
      <c r="Z3" s="62"/>
    </row>
    <row r="4" spans="1:26">
      <c r="A4" s="59"/>
      <c r="B4" s="60"/>
      <c r="C4" s="50"/>
      <c r="D4" s="51"/>
      <c r="E4" s="51"/>
      <c r="F4" s="51"/>
      <c r="G4" s="51"/>
      <c r="H4" s="51"/>
      <c r="I4" s="51"/>
      <c r="J4" s="55"/>
      <c r="K4" s="50"/>
      <c r="L4" s="63"/>
      <c r="M4" s="51"/>
      <c r="N4" s="51"/>
      <c r="O4" s="55"/>
      <c r="P4" s="50"/>
      <c r="Q4" s="63"/>
      <c r="R4" s="55"/>
      <c r="S4" s="64"/>
      <c r="T4" s="62"/>
      <c r="U4" s="62"/>
      <c r="V4" s="62"/>
      <c r="W4" s="62"/>
      <c r="X4" s="62"/>
      <c r="Y4" s="62"/>
      <c r="Z4" s="62"/>
    </row>
    <row r="5" spans="1:26">
      <c r="A5" s="65"/>
      <c r="B5" s="66"/>
      <c r="C5" s="59"/>
      <c r="D5" s="67"/>
      <c r="E5" s="67"/>
      <c r="F5" s="67"/>
      <c r="G5" s="67"/>
      <c r="H5" s="67"/>
      <c r="I5" s="67"/>
      <c r="J5" s="67"/>
      <c r="K5" s="56"/>
      <c r="L5" s="68"/>
      <c r="M5" s="69"/>
      <c r="N5" s="69"/>
      <c r="O5" s="69"/>
      <c r="P5" s="70"/>
      <c r="Q5" s="68"/>
      <c r="R5" s="69"/>
      <c r="S5" s="71"/>
      <c r="T5" s="62"/>
      <c r="U5" s="62"/>
      <c r="V5" s="62"/>
      <c r="W5" s="62"/>
      <c r="X5" s="62"/>
      <c r="Y5" s="62"/>
      <c r="Z5" s="62"/>
    </row>
    <row r="6" spans="1:26" s="77" customFormat="1">
      <c r="A6" s="72"/>
      <c r="B6" s="73"/>
      <c r="C6" s="73"/>
      <c r="D6" s="73"/>
      <c r="E6" s="73"/>
      <c r="F6" s="73"/>
      <c r="G6" s="73"/>
      <c r="H6" s="73"/>
      <c r="I6" s="73"/>
      <c r="J6" s="73"/>
      <c r="K6" s="74"/>
      <c r="L6" s="75"/>
      <c r="M6" s="73"/>
      <c r="N6" s="73"/>
      <c r="O6" s="73"/>
      <c r="P6" s="74"/>
      <c r="Q6" s="75"/>
      <c r="R6" s="73"/>
      <c r="S6" s="76"/>
      <c r="T6" s="62"/>
      <c r="U6" s="62"/>
      <c r="V6" s="62"/>
      <c r="W6" s="62"/>
      <c r="X6" s="62"/>
      <c r="Y6" s="62"/>
      <c r="Z6" s="62"/>
    </row>
    <row r="7" spans="1:26" s="77" customFormat="1">
      <c r="A7" s="78"/>
      <c r="B7" s="79"/>
      <c r="C7" s="79"/>
      <c r="D7" s="79"/>
      <c r="E7" s="79"/>
      <c r="F7" s="79"/>
      <c r="G7" s="79"/>
      <c r="H7" s="79"/>
      <c r="I7" s="79"/>
      <c r="J7" s="79"/>
      <c r="K7" s="80"/>
      <c r="L7" s="81"/>
      <c r="M7" s="79"/>
      <c r="N7" s="79"/>
      <c r="O7" s="79"/>
      <c r="P7" s="80"/>
      <c r="Q7" s="81"/>
      <c r="R7" s="79"/>
      <c r="S7" s="82"/>
      <c r="T7" s="62"/>
      <c r="U7" s="62"/>
      <c r="V7" s="62"/>
      <c r="W7" s="62"/>
      <c r="X7" s="62"/>
      <c r="Y7" s="62"/>
      <c r="Z7" s="62"/>
    </row>
    <row r="8" spans="1:26" s="77" customFormat="1">
      <c r="A8" s="78"/>
      <c r="B8" s="73"/>
      <c r="C8" s="73"/>
      <c r="D8" s="73"/>
      <c r="E8" s="73"/>
      <c r="F8" s="73"/>
      <c r="G8" s="73"/>
      <c r="H8" s="73"/>
      <c r="I8" s="73"/>
      <c r="J8" s="73"/>
      <c r="K8" s="74"/>
      <c r="L8" s="75"/>
      <c r="M8" s="73"/>
      <c r="N8" s="73"/>
      <c r="O8" s="73"/>
      <c r="P8" s="74"/>
      <c r="Q8" s="75"/>
      <c r="R8" s="73"/>
      <c r="S8" s="76"/>
      <c r="T8" s="62"/>
      <c r="U8" s="62"/>
      <c r="V8" s="62"/>
      <c r="W8" s="62"/>
      <c r="X8" s="62"/>
      <c r="Y8" s="62"/>
      <c r="Z8" s="62"/>
    </row>
    <row r="9" spans="1:26" s="77" customFormat="1">
      <c r="A9" s="78"/>
      <c r="B9" s="79"/>
      <c r="C9" s="79"/>
      <c r="D9" s="79"/>
      <c r="E9" s="79"/>
      <c r="F9" s="79"/>
      <c r="G9" s="79"/>
      <c r="H9" s="79"/>
      <c r="I9" s="79"/>
      <c r="J9" s="79"/>
      <c r="K9" s="80"/>
      <c r="L9" s="81"/>
      <c r="M9" s="79"/>
      <c r="N9" s="79"/>
      <c r="O9" s="79"/>
      <c r="P9" s="80"/>
      <c r="Q9" s="81"/>
      <c r="R9" s="79"/>
      <c r="S9" s="82"/>
      <c r="T9" s="62"/>
      <c r="U9" s="62"/>
      <c r="V9" s="62"/>
      <c r="W9" s="62"/>
      <c r="X9" s="62"/>
      <c r="Y9" s="62"/>
      <c r="Z9" s="62"/>
    </row>
    <row r="10" spans="1:26" s="77" customFormat="1">
      <c r="A10" s="78"/>
      <c r="B10" s="73"/>
      <c r="C10" s="73"/>
      <c r="D10" s="73"/>
      <c r="E10" s="73"/>
      <c r="F10" s="73"/>
      <c r="G10" s="73"/>
      <c r="H10" s="73"/>
      <c r="I10" s="73"/>
      <c r="J10" s="73"/>
      <c r="K10" s="74"/>
      <c r="L10" s="75"/>
      <c r="M10" s="73"/>
      <c r="N10" s="73"/>
      <c r="O10" s="73"/>
      <c r="P10" s="74"/>
      <c r="Q10" s="75"/>
      <c r="R10" s="73"/>
      <c r="S10" s="76"/>
      <c r="T10" s="62"/>
      <c r="U10" s="62"/>
      <c r="V10" s="62"/>
      <c r="W10" s="62"/>
      <c r="X10" s="62"/>
      <c r="Y10" s="62"/>
      <c r="Z10" s="62"/>
    </row>
    <row r="11" spans="1:26" s="77" customFormat="1">
      <c r="A11" s="78"/>
      <c r="B11" s="79"/>
      <c r="C11" s="79"/>
      <c r="D11" s="79"/>
      <c r="E11" s="79"/>
      <c r="F11" s="79"/>
      <c r="G11" s="79"/>
      <c r="H11" s="79"/>
      <c r="I11" s="79"/>
      <c r="J11" s="79"/>
      <c r="K11" s="80"/>
      <c r="L11" s="81"/>
      <c r="M11" s="79"/>
      <c r="N11" s="79"/>
      <c r="O11" s="79"/>
      <c r="P11" s="80"/>
      <c r="Q11" s="81"/>
      <c r="R11" s="79"/>
      <c r="S11" s="82"/>
      <c r="T11" s="62"/>
      <c r="U11" s="62"/>
      <c r="V11" s="62"/>
      <c r="W11" s="62"/>
      <c r="X11" s="62"/>
      <c r="Y11" s="62"/>
      <c r="Z11" s="62"/>
    </row>
    <row r="12" spans="1:26" s="77" customFormat="1">
      <c r="A12" s="78"/>
      <c r="B12" s="73"/>
      <c r="C12" s="73"/>
      <c r="D12" s="73"/>
      <c r="E12" s="73"/>
      <c r="F12" s="73"/>
      <c r="G12" s="73"/>
      <c r="H12" s="73"/>
      <c r="I12" s="73"/>
      <c r="J12" s="73"/>
      <c r="K12" s="74"/>
      <c r="L12" s="75"/>
      <c r="M12" s="73"/>
      <c r="N12" s="73"/>
      <c r="O12" s="73"/>
      <c r="P12" s="74"/>
      <c r="Q12" s="75"/>
      <c r="R12" s="73"/>
      <c r="S12" s="76"/>
      <c r="T12" s="62"/>
      <c r="U12" s="62"/>
      <c r="V12" s="62"/>
      <c r="W12" s="62"/>
      <c r="X12" s="62"/>
      <c r="Y12" s="62"/>
      <c r="Z12" s="62"/>
    </row>
    <row r="13" spans="1:26" s="77" customFormat="1">
      <c r="A13" s="83"/>
      <c r="B13" s="79"/>
      <c r="C13" s="79"/>
      <c r="D13" s="79"/>
      <c r="E13" s="79"/>
      <c r="F13" s="79"/>
      <c r="G13" s="79"/>
      <c r="H13" s="79"/>
      <c r="I13" s="79"/>
      <c r="J13" s="79"/>
      <c r="K13" s="80"/>
      <c r="L13" s="81"/>
      <c r="M13" s="79"/>
      <c r="N13" s="79"/>
      <c r="O13" s="79"/>
      <c r="P13" s="80"/>
      <c r="Q13" s="81"/>
      <c r="R13" s="79"/>
      <c r="S13" s="82"/>
      <c r="T13" s="62"/>
      <c r="U13" s="62"/>
      <c r="V13" s="62"/>
      <c r="W13" s="62"/>
      <c r="X13" s="62"/>
      <c r="Y13" s="62"/>
      <c r="Z13" s="62"/>
    </row>
    <row r="14" spans="1:26" s="77" customFormat="1">
      <c r="A14" s="72"/>
      <c r="B14" s="73"/>
      <c r="C14" s="73"/>
      <c r="D14" s="73"/>
      <c r="E14" s="73"/>
      <c r="F14" s="73"/>
      <c r="G14" s="73"/>
      <c r="H14" s="73"/>
      <c r="I14" s="73"/>
      <c r="J14" s="73"/>
      <c r="K14" s="75"/>
      <c r="L14" s="73"/>
      <c r="M14" s="73"/>
      <c r="N14" s="73"/>
      <c r="O14" s="73"/>
      <c r="P14" s="75"/>
      <c r="Q14" s="73"/>
      <c r="R14" s="84"/>
      <c r="S14" s="76"/>
      <c r="T14" s="62"/>
      <c r="U14" s="62"/>
      <c r="V14" s="62"/>
      <c r="W14" s="62"/>
      <c r="X14" s="62"/>
      <c r="Y14" s="62"/>
      <c r="Z14" s="62"/>
    </row>
    <row r="15" spans="1:26" s="77" customFormat="1">
      <c r="A15" s="78"/>
      <c r="B15" s="79"/>
      <c r="C15" s="79"/>
      <c r="D15" s="79"/>
      <c r="E15" s="79"/>
      <c r="F15" s="79"/>
      <c r="G15" s="79"/>
      <c r="H15" s="79"/>
      <c r="I15" s="79"/>
      <c r="J15" s="79"/>
      <c r="K15" s="81"/>
      <c r="L15" s="79"/>
      <c r="M15" s="79"/>
      <c r="N15" s="79"/>
      <c r="O15" s="79"/>
      <c r="P15" s="81"/>
      <c r="Q15" s="79"/>
      <c r="R15" s="85"/>
      <c r="S15" s="82"/>
      <c r="T15" s="62"/>
      <c r="U15" s="62"/>
      <c r="V15" s="62"/>
      <c r="W15" s="62"/>
      <c r="X15" s="62"/>
      <c r="Y15" s="62"/>
      <c r="Z15" s="62"/>
    </row>
    <row r="16" spans="1:26" s="77" customFormat="1">
      <c r="A16" s="78"/>
      <c r="B16" s="73"/>
      <c r="C16" s="73"/>
      <c r="D16" s="73"/>
      <c r="E16" s="73"/>
      <c r="F16" s="73"/>
      <c r="G16" s="73"/>
      <c r="H16" s="73"/>
      <c r="I16" s="73"/>
      <c r="J16" s="73"/>
      <c r="K16" s="86"/>
      <c r="L16" s="73"/>
      <c r="M16" s="73"/>
      <c r="N16" s="73"/>
      <c r="O16" s="73"/>
      <c r="P16" s="86"/>
      <c r="Q16" s="73"/>
      <c r="R16" s="84"/>
      <c r="S16" s="76"/>
      <c r="T16" s="62"/>
      <c r="U16" s="62"/>
      <c r="V16" s="62"/>
      <c r="W16" s="62"/>
      <c r="X16" s="62"/>
      <c r="Y16" s="62"/>
      <c r="Z16" s="62"/>
    </row>
    <row r="17" spans="1:26" s="77" customFormat="1">
      <c r="A17" s="78"/>
      <c r="B17" s="79"/>
      <c r="C17" s="79"/>
      <c r="D17" s="79"/>
      <c r="E17" s="79"/>
      <c r="F17" s="79"/>
      <c r="G17" s="79"/>
      <c r="H17" s="79"/>
      <c r="I17" s="79"/>
      <c r="J17" s="79"/>
      <c r="K17" s="87"/>
      <c r="L17" s="79"/>
      <c r="M17" s="79"/>
      <c r="N17" s="79"/>
      <c r="O17" s="79"/>
      <c r="P17" s="87"/>
      <c r="Q17" s="79"/>
      <c r="R17" s="85"/>
      <c r="S17" s="82"/>
      <c r="T17" s="62"/>
      <c r="U17" s="62"/>
      <c r="V17" s="62"/>
      <c r="W17" s="62"/>
      <c r="X17" s="62"/>
      <c r="Y17" s="62"/>
      <c r="Z17" s="62"/>
    </row>
    <row r="18" spans="1:26" s="77" customFormat="1">
      <c r="A18" s="78"/>
      <c r="B18" s="73"/>
      <c r="C18" s="73"/>
      <c r="D18" s="73"/>
      <c r="E18" s="73"/>
      <c r="F18" s="73"/>
      <c r="G18" s="73"/>
      <c r="H18" s="73"/>
      <c r="I18" s="73"/>
      <c r="J18" s="73"/>
      <c r="K18" s="75"/>
      <c r="L18" s="73"/>
      <c r="M18" s="73"/>
      <c r="N18" s="73"/>
      <c r="O18" s="73"/>
      <c r="P18" s="75"/>
      <c r="Q18" s="73"/>
      <c r="R18" s="84"/>
      <c r="S18" s="76"/>
      <c r="T18" s="62"/>
      <c r="U18" s="62"/>
      <c r="V18" s="62"/>
      <c r="W18" s="62"/>
      <c r="X18" s="62"/>
      <c r="Y18" s="62"/>
      <c r="Z18" s="62"/>
    </row>
    <row r="19" spans="1:26" s="77" customFormat="1">
      <c r="A19" s="78"/>
      <c r="B19" s="79"/>
      <c r="C19" s="79"/>
      <c r="D19" s="79"/>
      <c r="E19" s="79"/>
      <c r="F19" s="79"/>
      <c r="G19" s="79"/>
      <c r="H19" s="79"/>
      <c r="I19" s="79"/>
      <c r="J19" s="79"/>
      <c r="K19" s="81"/>
      <c r="L19" s="79"/>
      <c r="M19" s="79"/>
      <c r="N19" s="79"/>
      <c r="O19" s="79"/>
      <c r="P19" s="81"/>
      <c r="Q19" s="79"/>
      <c r="R19" s="85"/>
      <c r="S19" s="82"/>
      <c r="T19" s="62"/>
      <c r="U19" s="62"/>
      <c r="V19" s="62"/>
      <c r="W19" s="62"/>
      <c r="X19" s="62"/>
      <c r="Y19" s="62"/>
      <c r="Z19" s="62"/>
    </row>
    <row r="20" spans="1:26" s="77" customFormat="1">
      <c r="A20" s="78"/>
      <c r="B20" s="73"/>
      <c r="C20" s="73"/>
      <c r="D20" s="73"/>
      <c r="E20" s="73"/>
      <c r="F20" s="73"/>
      <c r="G20" s="73"/>
      <c r="H20" s="73"/>
      <c r="I20" s="73"/>
      <c r="J20" s="73"/>
      <c r="K20" s="75"/>
      <c r="L20" s="73"/>
      <c r="M20" s="73"/>
      <c r="N20" s="73"/>
      <c r="O20" s="73"/>
      <c r="P20" s="75"/>
      <c r="Q20" s="73"/>
      <c r="R20" s="84"/>
      <c r="S20" s="76"/>
      <c r="T20" s="62"/>
      <c r="U20" s="62"/>
      <c r="V20" s="62"/>
      <c r="W20" s="62"/>
      <c r="X20" s="62"/>
      <c r="Y20" s="62"/>
      <c r="Z20" s="62"/>
    </row>
    <row r="21" spans="1:26" s="77" customFormat="1">
      <c r="A21" s="83"/>
      <c r="B21" s="79"/>
      <c r="C21" s="79"/>
      <c r="D21" s="79"/>
      <c r="E21" s="79"/>
      <c r="F21" s="79"/>
      <c r="G21" s="79"/>
      <c r="H21" s="79"/>
      <c r="I21" s="79"/>
      <c r="J21" s="79"/>
      <c r="K21" s="81"/>
      <c r="L21" s="79"/>
      <c r="M21" s="79"/>
      <c r="N21" s="79"/>
      <c r="O21" s="79"/>
      <c r="P21" s="81"/>
      <c r="Q21" s="79"/>
      <c r="R21" s="85"/>
      <c r="S21" s="82"/>
      <c r="T21" s="62"/>
      <c r="U21" s="62"/>
      <c r="V21" s="62"/>
      <c r="W21" s="62"/>
      <c r="X21" s="62"/>
      <c r="Y21" s="62"/>
      <c r="Z21" s="62"/>
    </row>
    <row r="22" spans="1:26" s="77" customFormat="1">
      <c r="A22" s="72"/>
      <c r="B22" s="73"/>
      <c r="C22" s="73"/>
      <c r="D22" s="73"/>
      <c r="E22" s="73"/>
      <c r="F22" s="73"/>
      <c r="G22" s="73"/>
      <c r="H22" s="73"/>
      <c r="I22" s="73"/>
      <c r="J22" s="73"/>
      <c r="K22" s="75"/>
      <c r="L22" s="73"/>
      <c r="M22" s="73"/>
      <c r="N22" s="73"/>
      <c r="O22" s="73"/>
      <c r="P22" s="75"/>
      <c r="Q22" s="73"/>
      <c r="R22" s="84"/>
      <c r="S22" s="76"/>
      <c r="T22" s="62"/>
      <c r="U22" s="62"/>
      <c r="V22" s="62"/>
      <c r="W22" s="62"/>
      <c r="X22" s="62"/>
      <c r="Y22" s="62"/>
      <c r="Z22" s="62"/>
    </row>
    <row r="23" spans="1:26" s="77" customFormat="1">
      <c r="A23" s="78"/>
      <c r="B23" s="79"/>
      <c r="C23" s="79"/>
      <c r="D23" s="79"/>
      <c r="E23" s="79"/>
      <c r="F23" s="79"/>
      <c r="G23" s="79"/>
      <c r="H23" s="79"/>
      <c r="I23" s="79"/>
      <c r="J23" s="79"/>
      <c r="K23" s="81"/>
      <c r="L23" s="79"/>
      <c r="M23" s="79"/>
      <c r="N23" s="79"/>
      <c r="O23" s="79"/>
      <c r="P23" s="81"/>
      <c r="Q23" s="79"/>
      <c r="R23" s="85"/>
      <c r="S23" s="82"/>
      <c r="T23" s="62"/>
      <c r="U23" s="62"/>
      <c r="V23" s="62"/>
      <c r="W23" s="62"/>
      <c r="X23" s="62"/>
      <c r="Y23" s="62"/>
      <c r="Z23" s="62"/>
    </row>
    <row r="24" spans="1:26" s="77" customFormat="1">
      <c r="A24" s="78"/>
      <c r="B24" s="73"/>
      <c r="C24" s="73"/>
      <c r="D24" s="73"/>
      <c r="E24" s="73"/>
      <c r="F24" s="73"/>
      <c r="G24" s="73"/>
      <c r="H24" s="73"/>
      <c r="I24" s="73"/>
      <c r="J24" s="73"/>
      <c r="K24" s="75"/>
      <c r="L24" s="73"/>
      <c r="M24" s="73"/>
      <c r="N24" s="73"/>
      <c r="O24" s="73"/>
      <c r="P24" s="75"/>
      <c r="Q24" s="73"/>
      <c r="R24" s="84"/>
      <c r="S24" s="76"/>
      <c r="T24" s="62"/>
      <c r="U24" s="62"/>
      <c r="V24" s="62"/>
      <c r="W24" s="62"/>
      <c r="X24" s="62"/>
      <c r="Y24" s="62"/>
      <c r="Z24" s="62"/>
    </row>
    <row r="25" spans="1:26" s="77" customFormat="1">
      <c r="A25" s="78"/>
      <c r="B25" s="79"/>
      <c r="C25" s="79"/>
      <c r="D25" s="79"/>
      <c r="E25" s="79"/>
      <c r="F25" s="79"/>
      <c r="G25" s="79"/>
      <c r="H25" s="79"/>
      <c r="I25" s="79"/>
      <c r="J25" s="79"/>
      <c r="K25" s="81"/>
      <c r="L25" s="79"/>
      <c r="M25" s="79"/>
      <c r="N25" s="79"/>
      <c r="O25" s="79"/>
      <c r="P25" s="81"/>
      <c r="Q25" s="79"/>
      <c r="R25" s="85"/>
      <c r="S25" s="82"/>
      <c r="T25" s="62"/>
      <c r="U25" s="62"/>
      <c r="V25" s="62"/>
      <c r="W25" s="62"/>
      <c r="X25" s="62"/>
      <c r="Y25" s="62"/>
      <c r="Z25" s="62"/>
    </row>
    <row r="26" spans="1:26" s="77" customFormat="1">
      <c r="A26" s="78"/>
      <c r="B26" s="73"/>
      <c r="C26" s="73"/>
      <c r="D26" s="73"/>
      <c r="E26" s="73"/>
      <c r="F26" s="73"/>
      <c r="G26" s="73"/>
      <c r="H26" s="73"/>
      <c r="I26" s="73"/>
      <c r="J26" s="73"/>
      <c r="K26" s="75"/>
      <c r="L26" s="73"/>
      <c r="M26" s="73"/>
      <c r="N26" s="73"/>
      <c r="O26" s="73"/>
      <c r="P26" s="75"/>
      <c r="Q26" s="73"/>
      <c r="R26" s="84"/>
      <c r="S26" s="76"/>
      <c r="T26" s="62"/>
      <c r="U26" s="62"/>
      <c r="V26" s="62"/>
      <c r="W26" s="62"/>
      <c r="X26" s="62"/>
      <c r="Y26" s="62"/>
      <c r="Z26" s="62"/>
    </row>
    <row r="27" spans="1:26" s="77" customFormat="1">
      <c r="A27" s="78"/>
      <c r="B27" s="79"/>
      <c r="C27" s="79"/>
      <c r="D27" s="79"/>
      <c r="E27" s="79"/>
      <c r="F27" s="79"/>
      <c r="G27" s="79"/>
      <c r="H27" s="79"/>
      <c r="I27" s="79"/>
      <c r="J27" s="79"/>
      <c r="K27" s="81"/>
      <c r="L27" s="79"/>
      <c r="M27" s="79"/>
      <c r="N27" s="79"/>
      <c r="O27" s="79"/>
      <c r="P27" s="81"/>
      <c r="Q27" s="79"/>
      <c r="R27" s="85"/>
      <c r="S27" s="82"/>
      <c r="T27" s="62"/>
      <c r="U27" s="62"/>
      <c r="V27" s="62"/>
      <c r="W27" s="62"/>
      <c r="X27" s="62"/>
      <c r="Y27" s="62"/>
      <c r="Z27" s="62"/>
    </row>
    <row r="28" spans="1:26" s="77" customFormat="1">
      <c r="A28" s="78"/>
      <c r="B28" s="73"/>
      <c r="C28" s="73"/>
      <c r="D28" s="73"/>
      <c r="E28" s="73"/>
      <c r="F28" s="73"/>
      <c r="G28" s="73"/>
      <c r="H28" s="73"/>
      <c r="I28" s="73"/>
      <c r="J28" s="73"/>
      <c r="K28" s="75"/>
      <c r="L28" s="73"/>
      <c r="M28" s="73"/>
      <c r="N28" s="73"/>
      <c r="O28" s="73"/>
      <c r="P28" s="75"/>
      <c r="Q28" s="73"/>
      <c r="R28" s="84"/>
      <c r="S28" s="76"/>
      <c r="T28" s="62"/>
      <c r="U28" s="62"/>
      <c r="V28" s="62"/>
      <c r="W28" s="62"/>
      <c r="X28" s="62"/>
      <c r="Y28" s="62"/>
      <c r="Z28" s="62"/>
    </row>
    <row r="29" spans="1:26" s="77" customFormat="1">
      <c r="A29" s="83"/>
      <c r="B29" s="79"/>
      <c r="C29" s="79"/>
      <c r="D29" s="79"/>
      <c r="E29" s="79"/>
      <c r="F29" s="79"/>
      <c r="G29" s="79"/>
      <c r="H29" s="79"/>
      <c r="I29" s="79"/>
      <c r="J29" s="79"/>
      <c r="K29" s="81"/>
      <c r="L29" s="79"/>
      <c r="M29" s="79"/>
      <c r="N29" s="79"/>
      <c r="O29" s="79"/>
      <c r="P29" s="81"/>
      <c r="Q29" s="79"/>
      <c r="R29" s="85"/>
      <c r="S29" s="82"/>
      <c r="T29" s="62"/>
      <c r="U29" s="62"/>
      <c r="V29" s="62"/>
      <c r="W29" s="62"/>
      <c r="X29" s="62"/>
      <c r="Y29" s="62"/>
      <c r="Z29" s="62"/>
    </row>
    <row r="30" spans="1:26" s="77" customFormat="1">
      <c r="A30" s="72"/>
      <c r="B30" s="73"/>
      <c r="C30" s="73"/>
      <c r="D30" s="73"/>
      <c r="E30" s="73"/>
      <c r="F30" s="73"/>
      <c r="G30" s="73"/>
      <c r="H30" s="73"/>
      <c r="I30" s="73"/>
      <c r="J30" s="73"/>
      <c r="K30" s="75"/>
      <c r="L30" s="73"/>
      <c r="M30" s="73"/>
      <c r="N30" s="73"/>
      <c r="O30" s="73"/>
      <c r="P30" s="75"/>
      <c r="Q30" s="73"/>
      <c r="R30" s="84"/>
      <c r="S30" s="76"/>
      <c r="T30" s="62"/>
      <c r="U30" s="62"/>
      <c r="V30" s="62"/>
      <c r="W30" s="62"/>
      <c r="X30" s="62"/>
      <c r="Y30" s="62"/>
      <c r="Z30" s="62"/>
    </row>
    <row r="31" spans="1:26" s="77" customFormat="1">
      <c r="A31" s="78"/>
      <c r="B31" s="79"/>
      <c r="C31" s="79"/>
      <c r="D31" s="79"/>
      <c r="E31" s="79"/>
      <c r="F31" s="79"/>
      <c r="G31" s="79"/>
      <c r="H31" s="79"/>
      <c r="I31" s="79"/>
      <c r="J31" s="79"/>
      <c r="K31" s="81"/>
      <c r="L31" s="79"/>
      <c r="M31" s="79"/>
      <c r="N31" s="79"/>
      <c r="O31" s="79"/>
      <c r="P31" s="81"/>
      <c r="Q31" s="79"/>
      <c r="R31" s="85"/>
      <c r="S31" s="82"/>
      <c r="T31" s="62"/>
      <c r="U31" s="62"/>
      <c r="V31" s="62"/>
      <c r="W31" s="62"/>
      <c r="X31" s="62"/>
      <c r="Y31" s="62"/>
      <c r="Z31" s="62"/>
    </row>
    <row r="32" spans="1:26" s="77" customFormat="1">
      <c r="A32" s="78"/>
      <c r="B32" s="73"/>
      <c r="C32" s="73"/>
      <c r="D32" s="73"/>
      <c r="E32" s="73"/>
      <c r="F32" s="73"/>
      <c r="G32" s="73"/>
      <c r="H32" s="73"/>
      <c r="I32" s="73"/>
      <c r="J32" s="73"/>
      <c r="K32" s="75"/>
      <c r="L32" s="73"/>
      <c r="M32" s="73"/>
      <c r="N32" s="73"/>
      <c r="O32" s="73"/>
      <c r="P32" s="75"/>
      <c r="Q32" s="73"/>
      <c r="R32" s="84"/>
      <c r="S32" s="76"/>
      <c r="T32" s="62"/>
      <c r="U32" s="62"/>
      <c r="V32" s="62"/>
      <c r="W32" s="62"/>
      <c r="X32" s="62"/>
      <c r="Y32" s="62"/>
      <c r="Z32" s="62"/>
    </row>
    <row r="33" spans="1:26" s="77" customFormat="1">
      <c r="A33" s="78"/>
      <c r="B33" s="79"/>
      <c r="C33" s="79"/>
      <c r="D33" s="79"/>
      <c r="E33" s="79"/>
      <c r="F33" s="79"/>
      <c r="G33" s="79"/>
      <c r="H33" s="79"/>
      <c r="I33" s="79"/>
      <c r="J33" s="79"/>
      <c r="K33" s="81"/>
      <c r="L33" s="79"/>
      <c r="M33" s="79"/>
      <c r="N33" s="79"/>
      <c r="O33" s="79"/>
      <c r="P33" s="81"/>
      <c r="Q33" s="79"/>
      <c r="R33" s="85"/>
      <c r="S33" s="82"/>
      <c r="T33" s="62"/>
      <c r="U33" s="62"/>
      <c r="V33" s="62"/>
      <c r="W33" s="62"/>
      <c r="X33" s="62"/>
      <c r="Y33" s="62"/>
      <c r="Z33" s="62"/>
    </row>
    <row r="34" spans="1:26" s="77" customFormat="1">
      <c r="A34" s="78"/>
      <c r="B34" s="73"/>
      <c r="C34" s="73"/>
      <c r="D34" s="73"/>
      <c r="E34" s="73"/>
      <c r="F34" s="73"/>
      <c r="G34" s="73"/>
      <c r="H34" s="73"/>
      <c r="I34" s="73"/>
      <c r="J34" s="73"/>
      <c r="K34" s="75"/>
      <c r="L34" s="73"/>
      <c r="M34" s="73"/>
      <c r="N34" s="73"/>
      <c r="O34" s="73"/>
      <c r="P34" s="75"/>
      <c r="Q34" s="73"/>
      <c r="R34" s="84"/>
      <c r="S34" s="76"/>
      <c r="T34" s="62"/>
      <c r="U34" s="62"/>
      <c r="V34" s="62"/>
      <c r="W34" s="62"/>
      <c r="X34" s="62"/>
      <c r="Y34" s="62"/>
      <c r="Z34" s="62"/>
    </row>
    <row r="35" spans="1:26" s="77" customFormat="1">
      <c r="A35" s="78"/>
      <c r="B35" s="79"/>
      <c r="C35" s="79"/>
      <c r="D35" s="79"/>
      <c r="E35" s="79"/>
      <c r="F35" s="79"/>
      <c r="G35" s="79"/>
      <c r="H35" s="79"/>
      <c r="I35" s="79"/>
      <c r="J35" s="79"/>
      <c r="K35" s="81"/>
      <c r="L35" s="79"/>
      <c r="M35" s="79"/>
      <c r="N35" s="79"/>
      <c r="O35" s="79"/>
      <c r="P35" s="81"/>
      <c r="Q35" s="79"/>
      <c r="R35" s="85"/>
      <c r="S35" s="82"/>
      <c r="T35" s="62"/>
      <c r="U35" s="62"/>
      <c r="V35" s="62"/>
      <c r="W35" s="62"/>
      <c r="X35" s="62"/>
      <c r="Y35" s="62"/>
      <c r="Z35" s="62"/>
    </row>
    <row r="36" spans="1:26" s="77" customFormat="1">
      <c r="A36" s="78"/>
      <c r="B36" s="73"/>
      <c r="C36" s="73"/>
      <c r="D36" s="73"/>
      <c r="E36" s="73"/>
      <c r="F36" s="73"/>
      <c r="G36" s="73"/>
      <c r="H36" s="73"/>
      <c r="I36" s="73"/>
      <c r="J36" s="73"/>
      <c r="K36" s="75"/>
      <c r="L36" s="73"/>
      <c r="M36" s="73"/>
      <c r="N36" s="73"/>
      <c r="O36" s="73"/>
      <c r="P36" s="75"/>
      <c r="Q36" s="73"/>
      <c r="R36" s="84"/>
      <c r="S36" s="76"/>
      <c r="T36" s="62"/>
      <c r="U36" s="62"/>
      <c r="V36" s="62"/>
      <c r="W36" s="62"/>
      <c r="X36" s="62"/>
      <c r="Y36" s="62"/>
      <c r="Z36" s="62"/>
    </row>
    <row r="37" spans="1:26" s="77" customFormat="1">
      <c r="A37" s="83"/>
      <c r="B37" s="79"/>
      <c r="C37" s="79"/>
      <c r="D37" s="79"/>
      <c r="E37" s="79"/>
      <c r="F37" s="79"/>
      <c r="G37" s="79"/>
      <c r="H37" s="79"/>
      <c r="I37" s="79"/>
      <c r="J37" s="79"/>
      <c r="K37" s="81"/>
      <c r="L37" s="79"/>
      <c r="M37" s="79"/>
      <c r="N37" s="79"/>
      <c r="O37" s="79"/>
      <c r="P37" s="81"/>
      <c r="Q37" s="79"/>
      <c r="R37" s="85"/>
      <c r="S37" s="82"/>
      <c r="T37" s="62"/>
      <c r="U37" s="62"/>
      <c r="V37" s="62"/>
      <c r="W37" s="62"/>
      <c r="X37" s="62"/>
      <c r="Y37" s="62"/>
      <c r="Z37" s="62"/>
    </row>
    <row r="38" spans="1:26" s="77" customFormat="1">
      <c r="A38" s="72"/>
      <c r="B38" s="73"/>
      <c r="C38" s="73"/>
      <c r="D38" s="73"/>
      <c r="E38" s="73"/>
      <c r="F38" s="73"/>
      <c r="G38" s="73"/>
      <c r="H38" s="73"/>
      <c r="I38" s="73"/>
      <c r="J38" s="73"/>
      <c r="K38" s="75"/>
      <c r="L38" s="73"/>
      <c r="M38" s="73"/>
      <c r="N38" s="73"/>
      <c r="O38" s="73"/>
      <c r="P38" s="75"/>
      <c r="Q38" s="73"/>
      <c r="R38" s="84"/>
      <c r="S38" s="76"/>
      <c r="T38" s="62"/>
      <c r="U38" s="62"/>
      <c r="V38" s="62"/>
      <c r="W38" s="62"/>
      <c r="X38" s="62"/>
      <c r="Y38" s="62"/>
      <c r="Z38" s="62"/>
    </row>
    <row r="39" spans="1:26" s="77" customFormat="1">
      <c r="A39" s="78"/>
      <c r="B39" s="79"/>
      <c r="C39" s="79"/>
      <c r="D39" s="79"/>
      <c r="E39" s="79"/>
      <c r="F39" s="79"/>
      <c r="G39" s="79"/>
      <c r="H39" s="79"/>
      <c r="I39" s="79"/>
      <c r="J39" s="79"/>
      <c r="K39" s="81"/>
      <c r="L39" s="79"/>
      <c r="M39" s="79"/>
      <c r="N39" s="79"/>
      <c r="O39" s="79"/>
      <c r="P39" s="81"/>
      <c r="Q39" s="79"/>
      <c r="R39" s="85"/>
      <c r="S39" s="82"/>
      <c r="T39" s="62"/>
      <c r="U39" s="62"/>
      <c r="V39" s="62"/>
      <c r="W39" s="62"/>
      <c r="X39" s="62"/>
      <c r="Y39" s="62"/>
      <c r="Z39" s="62"/>
    </row>
    <row r="40" spans="1:26" s="77" customFormat="1">
      <c r="A40" s="78"/>
      <c r="B40" s="73"/>
      <c r="C40" s="73"/>
      <c r="D40" s="73"/>
      <c r="E40" s="73"/>
      <c r="F40" s="73"/>
      <c r="G40" s="73"/>
      <c r="H40" s="73"/>
      <c r="I40" s="73"/>
      <c r="J40" s="73"/>
      <c r="K40" s="75"/>
      <c r="L40" s="73"/>
      <c r="M40" s="73"/>
      <c r="N40" s="73"/>
      <c r="O40" s="73"/>
      <c r="P40" s="75"/>
      <c r="Q40" s="73"/>
      <c r="R40" s="84"/>
      <c r="S40" s="76"/>
      <c r="T40" s="62"/>
      <c r="U40" s="62"/>
      <c r="V40" s="62"/>
      <c r="W40" s="62"/>
      <c r="X40" s="62"/>
      <c r="Y40" s="62"/>
      <c r="Z40" s="62"/>
    </row>
    <row r="41" spans="1:26" s="77" customFormat="1">
      <c r="A41" s="78"/>
      <c r="B41" s="79"/>
      <c r="C41" s="79"/>
      <c r="D41" s="79"/>
      <c r="E41" s="79"/>
      <c r="F41" s="79"/>
      <c r="G41" s="79"/>
      <c r="H41" s="79"/>
      <c r="I41" s="79"/>
      <c r="J41" s="79"/>
      <c r="K41" s="81"/>
      <c r="L41" s="79"/>
      <c r="M41" s="79"/>
      <c r="N41" s="79"/>
      <c r="O41" s="79"/>
      <c r="P41" s="81"/>
      <c r="Q41" s="79"/>
      <c r="R41" s="85"/>
      <c r="S41" s="82"/>
      <c r="T41" s="62"/>
      <c r="U41" s="62"/>
      <c r="V41" s="62"/>
      <c r="W41" s="62"/>
      <c r="X41" s="62"/>
      <c r="Y41" s="62"/>
      <c r="Z41" s="62"/>
    </row>
    <row r="42" spans="1:26" s="77" customFormat="1">
      <c r="A42" s="78"/>
      <c r="B42" s="73"/>
      <c r="C42" s="73"/>
      <c r="D42" s="73"/>
      <c r="E42" s="73"/>
      <c r="F42" s="73"/>
      <c r="G42" s="73"/>
      <c r="H42" s="73"/>
      <c r="I42" s="73"/>
      <c r="J42" s="73"/>
      <c r="K42" s="75"/>
      <c r="L42" s="73"/>
      <c r="M42" s="73"/>
      <c r="N42" s="73"/>
      <c r="O42" s="73"/>
      <c r="P42" s="75"/>
      <c r="Q42" s="73"/>
      <c r="R42" s="84"/>
      <c r="S42" s="76"/>
      <c r="T42" s="62"/>
      <c r="U42" s="62"/>
      <c r="V42" s="62"/>
      <c r="W42" s="62"/>
      <c r="X42" s="62"/>
      <c r="Y42" s="62"/>
      <c r="Z42" s="62"/>
    </row>
    <row r="43" spans="1:26" s="77" customFormat="1">
      <c r="A43" s="78"/>
      <c r="B43" s="79"/>
      <c r="C43" s="79"/>
      <c r="D43" s="79"/>
      <c r="E43" s="79"/>
      <c r="F43" s="79"/>
      <c r="G43" s="79"/>
      <c r="H43" s="79"/>
      <c r="I43" s="79"/>
      <c r="J43" s="79"/>
      <c r="K43" s="81"/>
      <c r="L43" s="79"/>
      <c r="M43" s="79"/>
      <c r="N43" s="79"/>
      <c r="O43" s="79"/>
      <c r="P43" s="81"/>
      <c r="Q43" s="79"/>
      <c r="R43" s="85"/>
      <c r="S43" s="82"/>
      <c r="T43" s="62"/>
      <c r="U43" s="62"/>
      <c r="V43" s="62"/>
      <c r="W43" s="62"/>
      <c r="X43" s="62"/>
      <c r="Y43" s="62"/>
      <c r="Z43" s="62"/>
    </row>
    <row r="44" spans="1:26" s="77" customFormat="1">
      <c r="A44" s="78"/>
      <c r="B44" s="73"/>
      <c r="C44" s="73"/>
      <c r="D44" s="73"/>
      <c r="E44" s="73"/>
      <c r="F44" s="73"/>
      <c r="G44" s="73"/>
      <c r="H44" s="73"/>
      <c r="I44" s="73"/>
      <c r="J44" s="73"/>
      <c r="K44" s="75"/>
      <c r="L44" s="73"/>
      <c r="M44" s="73"/>
      <c r="N44" s="73"/>
      <c r="O44" s="73"/>
      <c r="P44" s="75"/>
      <c r="Q44" s="73"/>
      <c r="R44" s="84"/>
      <c r="S44" s="76"/>
      <c r="T44" s="62"/>
      <c r="U44" s="62"/>
      <c r="V44" s="62"/>
      <c r="W44" s="62"/>
      <c r="X44" s="62"/>
      <c r="Y44" s="62"/>
      <c r="Z44" s="62"/>
    </row>
    <row r="45" spans="1:26" s="77" customFormat="1">
      <c r="A45" s="83"/>
      <c r="B45" s="79"/>
      <c r="C45" s="79"/>
      <c r="D45" s="79"/>
      <c r="E45" s="79"/>
      <c r="F45" s="79"/>
      <c r="G45" s="79"/>
      <c r="H45" s="79"/>
      <c r="I45" s="79"/>
      <c r="J45" s="79"/>
      <c r="K45" s="81"/>
      <c r="L45" s="79"/>
      <c r="M45" s="79"/>
      <c r="N45" s="79"/>
      <c r="O45" s="79"/>
      <c r="P45" s="81"/>
      <c r="Q45" s="79"/>
      <c r="R45" s="85"/>
      <c r="S45" s="82"/>
      <c r="T45" s="62"/>
      <c r="U45" s="62"/>
      <c r="V45" s="62"/>
      <c r="W45" s="62"/>
      <c r="X45" s="62"/>
      <c r="Y45" s="62"/>
      <c r="Z45" s="62"/>
    </row>
    <row r="46" spans="1:26" s="77" customFormat="1">
      <c r="A46" s="72"/>
      <c r="B46" s="73"/>
      <c r="C46" s="73"/>
      <c r="D46" s="73"/>
      <c r="E46" s="73"/>
      <c r="F46" s="73"/>
      <c r="G46" s="73"/>
      <c r="H46" s="73"/>
      <c r="I46" s="73"/>
      <c r="J46" s="73"/>
      <c r="K46" s="75"/>
      <c r="L46" s="73"/>
      <c r="M46" s="73"/>
      <c r="N46" s="73"/>
      <c r="O46" s="73"/>
      <c r="P46" s="75"/>
      <c r="Q46" s="73"/>
      <c r="R46" s="84"/>
      <c r="S46" s="76"/>
      <c r="T46" s="62"/>
      <c r="U46" s="62"/>
      <c r="V46" s="62"/>
      <c r="W46" s="62"/>
      <c r="X46" s="62"/>
      <c r="Y46" s="62"/>
      <c r="Z46" s="62"/>
    </row>
    <row r="47" spans="1:26" s="77" customFormat="1">
      <c r="A47" s="78"/>
      <c r="B47" s="79"/>
      <c r="C47" s="79"/>
      <c r="D47" s="79"/>
      <c r="E47" s="79"/>
      <c r="F47" s="79"/>
      <c r="G47" s="79"/>
      <c r="H47" s="79"/>
      <c r="I47" s="79"/>
      <c r="J47" s="79"/>
      <c r="K47" s="81"/>
      <c r="L47" s="79"/>
      <c r="M47" s="79"/>
      <c r="N47" s="79"/>
      <c r="O47" s="79"/>
      <c r="P47" s="81"/>
      <c r="Q47" s="79"/>
      <c r="R47" s="85"/>
      <c r="S47" s="82"/>
      <c r="T47" s="62"/>
      <c r="U47" s="62"/>
      <c r="V47" s="62"/>
      <c r="W47" s="62"/>
      <c r="X47" s="62"/>
      <c r="Y47" s="62"/>
      <c r="Z47" s="62"/>
    </row>
    <row r="48" spans="1:26" s="77" customFormat="1">
      <c r="A48" s="78"/>
      <c r="B48" s="73"/>
      <c r="C48" s="73"/>
      <c r="D48" s="73"/>
      <c r="E48" s="73"/>
      <c r="F48" s="73"/>
      <c r="G48" s="73"/>
      <c r="H48" s="73"/>
      <c r="I48" s="73"/>
      <c r="J48" s="73"/>
      <c r="K48" s="75"/>
      <c r="L48" s="73"/>
      <c r="M48" s="73"/>
      <c r="N48" s="73"/>
      <c r="O48" s="73"/>
      <c r="P48" s="75"/>
      <c r="Q48" s="73"/>
      <c r="R48" s="84"/>
      <c r="S48" s="76"/>
      <c r="T48" s="62"/>
      <c r="U48" s="62"/>
      <c r="V48" s="62"/>
      <c r="W48" s="62"/>
      <c r="X48" s="62"/>
      <c r="Y48" s="62"/>
      <c r="Z48" s="62"/>
    </row>
    <row r="49" spans="1:26" s="77" customFormat="1">
      <c r="A49" s="78"/>
      <c r="B49" s="79"/>
      <c r="C49" s="79"/>
      <c r="D49" s="79"/>
      <c r="E49" s="79"/>
      <c r="F49" s="79"/>
      <c r="G49" s="79"/>
      <c r="H49" s="79"/>
      <c r="I49" s="79"/>
      <c r="J49" s="79"/>
      <c r="K49" s="81"/>
      <c r="L49" s="79"/>
      <c r="M49" s="79"/>
      <c r="N49" s="79"/>
      <c r="O49" s="79"/>
      <c r="P49" s="81"/>
      <c r="Q49" s="79"/>
      <c r="R49" s="85"/>
      <c r="S49" s="82"/>
      <c r="T49" s="62"/>
      <c r="U49" s="62"/>
      <c r="V49" s="62"/>
      <c r="W49" s="62"/>
      <c r="X49" s="62"/>
      <c r="Y49" s="62"/>
      <c r="Z49" s="62"/>
    </row>
    <row r="50" spans="1:26" s="77" customFormat="1">
      <c r="A50" s="78"/>
      <c r="B50" s="73"/>
      <c r="C50" s="73"/>
      <c r="D50" s="73"/>
      <c r="E50" s="73"/>
      <c r="F50" s="73"/>
      <c r="G50" s="73"/>
      <c r="H50" s="73"/>
      <c r="I50" s="73"/>
      <c r="J50" s="73"/>
      <c r="K50" s="75"/>
      <c r="L50" s="73"/>
      <c r="M50" s="73"/>
      <c r="N50" s="73"/>
      <c r="O50" s="73"/>
      <c r="P50" s="75"/>
      <c r="Q50" s="73"/>
      <c r="R50" s="84"/>
      <c r="S50" s="76"/>
      <c r="T50" s="62"/>
      <c r="U50" s="62"/>
      <c r="V50" s="62"/>
      <c r="W50" s="62"/>
      <c r="X50" s="62"/>
      <c r="Y50" s="62"/>
      <c r="Z50" s="62"/>
    </row>
    <row r="51" spans="1:26" s="77" customFormat="1">
      <c r="A51" s="78"/>
      <c r="B51" s="79"/>
      <c r="C51" s="79"/>
      <c r="D51" s="79"/>
      <c r="E51" s="79"/>
      <c r="F51" s="79"/>
      <c r="G51" s="79"/>
      <c r="H51" s="79"/>
      <c r="I51" s="79"/>
      <c r="J51" s="79"/>
      <c r="K51" s="81"/>
      <c r="L51" s="79"/>
      <c r="M51" s="79"/>
      <c r="N51" s="79"/>
      <c r="O51" s="79"/>
      <c r="P51" s="81"/>
      <c r="Q51" s="79"/>
      <c r="R51" s="85"/>
      <c r="S51" s="82"/>
      <c r="T51" s="62"/>
      <c r="U51" s="62"/>
      <c r="V51" s="62"/>
      <c r="W51" s="62"/>
      <c r="X51" s="62"/>
      <c r="Y51" s="62"/>
      <c r="Z51" s="62"/>
    </row>
    <row r="52" spans="1:26" s="77" customFormat="1">
      <c r="A52" s="78"/>
      <c r="B52" s="73"/>
      <c r="C52" s="73"/>
      <c r="D52" s="73"/>
      <c r="E52" s="73"/>
      <c r="F52" s="73"/>
      <c r="G52" s="73"/>
      <c r="H52" s="73"/>
      <c r="I52" s="73"/>
      <c r="J52" s="73"/>
      <c r="K52" s="75"/>
      <c r="L52" s="73"/>
      <c r="M52" s="73"/>
      <c r="N52" s="73"/>
      <c r="O52" s="73"/>
      <c r="P52" s="75"/>
      <c r="Q52" s="73"/>
      <c r="R52" s="84"/>
      <c r="S52" s="76"/>
      <c r="T52" s="62"/>
      <c r="U52" s="62"/>
      <c r="V52" s="62"/>
      <c r="W52" s="62"/>
      <c r="X52" s="62"/>
      <c r="Y52" s="62"/>
      <c r="Z52" s="62"/>
    </row>
    <row r="53" spans="1:26" s="77" customFormat="1">
      <c r="A53" s="83"/>
      <c r="B53" s="79"/>
      <c r="C53" s="79"/>
      <c r="D53" s="79"/>
      <c r="E53" s="79"/>
      <c r="F53" s="79"/>
      <c r="G53" s="79"/>
      <c r="H53" s="79"/>
      <c r="I53" s="79"/>
      <c r="J53" s="79"/>
      <c r="K53" s="81"/>
      <c r="L53" s="79"/>
      <c r="M53" s="79"/>
      <c r="N53" s="79"/>
      <c r="O53" s="79"/>
      <c r="P53" s="81"/>
      <c r="Q53" s="79"/>
      <c r="R53" s="85"/>
      <c r="S53" s="82"/>
      <c r="T53" s="62"/>
      <c r="U53" s="62"/>
      <c r="V53" s="62"/>
      <c r="W53" s="62"/>
      <c r="X53" s="62"/>
      <c r="Y53" s="62"/>
      <c r="Z53" s="62"/>
    </row>
    <row r="54" spans="1:26" s="77" customFormat="1">
      <c r="A54" s="72"/>
      <c r="B54" s="73"/>
      <c r="C54" s="73"/>
      <c r="D54" s="73"/>
      <c r="E54" s="73"/>
      <c r="F54" s="73"/>
      <c r="G54" s="73"/>
      <c r="H54" s="73"/>
      <c r="I54" s="73"/>
      <c r="J54" s="73"/>
      <c r="K54" s="75"/>
      <c r="L54" s="73"/>
      <c r="M54" s="73"/>
      <c r="N54" s="73"/>
      <c r="O54" s="73"/>
      <c r="P54" s="75"/>
      <c r="Q54" s="73"/>
      <c r="R54" s="84"/>
      <c r="S54" s="76"/>
      <c r="T54" s="62"/>
      <c r="U54" s="62"/>
      <c r="V54" s="62"/>
      <c r="W54" s="62"/>
      <c r="X54" s="62"/>
      <c r="Y54" s="62"/>
      <c r="Z54" s="62"/>
    </row>
    <row r="55" spans="1:26" s="77" customFormat="1">
      <c r="A55" s="78"/>
      <c r="B55" s="79"/>
      <c r="C55" s="79"/>
      <c r="D55" s="79"/>
      <c r="E55" s="79"/>
      <c r="F55" s="79"/>
      <c r="G55" s="79"/>
      <c r="H55" s="79"/>
      <c r="I55" s="79"/>
      <c r="J55" s="79"/>
      <c r="K55" s="81"/>
      <c r="L55" s="79"/>
      <c r="M55" s="79"/>
      <c r="N55" s="79"/>
      <c r="O55" s="79"/>
      <c r="P55" s="81"/>
      <c r="Q55" s="79"/>
      <c r="R55" s="85"/>
      <c r="S55" s="82"/>
      <c r="T55" s="62"/>
      <c r="U55" s="62"/>
      <c r="V55" s="62"/>
      <c r="W55" s="62"/>
      <c r="X55" s="62"/>
      <c r="Y55" s="62"/>
      <c r="Z55" s="62"/>
    </row>
    <row r="56" spans="1:26" s="77" customFormat="1">
      <c r="A56" s="78"/>
      <c r="B56" s="73"/>
      <c r="C56" s="73"/>
      <c r="D56" s="73"/>
      <c r="E56" s="73"/>
      <c r="F56" s="73"/>
      <c r="G56" s="73"/>
      <c r="H56" s="73"/>
      <c r="I56" s="73"/>
      <c r="J56" s="73"/>
      <c r="K56" s="75"/>
      <c r="L56" s="73"/>
      <c r="M56" s="73"/>
      <c r="N56" s="73"/>
      <c r="O56" s="73"/>
      <c r="P56" s="75"/>
      <c r="Q56" s="73"/>
      <c r="R56" s="84"/>
      <c r="S56" s="76"/>
      <c r="T56" s="62"/>
      <c r="U56" s="62"/>
      <c r="V56" s="62"/>
      <c r="W56" s="62"/>
      <c r="X56" s="62"/>
      <c r="Y56" s="62"/>
      <c r="Z56" s="62"/>
    </row>
    <row r="57" spans="1:26" s="77" customFormat="1">
      <c r="A57" s="78"/>
      <c r="B57" s="79"/>
      <c r="C57" s="79"/>
      <c r="D57" s="79"/>
      <c r="E57" s="79"/>
      <c r="F57" s="79"/>
      <c r="G57" s="79"/>
      <c r="H57" s="79"/>
      <c r="I57" s="79"/>
      <c r="J57" s="79"/>
      <c r="K57" s="81"/>
      <c r="L57" s="79"/>
      <c r="M57" s="79"/>
      <c r="N57" s="79"/>
      <c r="O57" s="79"/>
      <c r="P57" s="81"/>
      <c r="Q57" s="79"/>
      <c r="R57" s="85"/>
      <c r="S57" s="82"/>
      <c r="T57" s="62"/>
      <c r="U57" s="62"/>
      <c r="V57" s="62"/>
      <c r="W57" s="62"/>
      <c r="X57" s="62"/>
      <c r="Y57" s="62"/>
      <c r="Z57" s="62"/>
    </row>
    <row r="58" spans="1:26" s="77" customFormat="1">
      <c r="A58" s="78"/>
      <c r="B58" s="73"/>
      <c r="C58" s="73"/>
      <c r="D58" s="73"/>
      <c r="E58" s="73"/>
      <c r="F58" s="73"/>
      <c r="G58" s="73"/>
      <c r="H58" s="73"/>
      <c r="I58" s="73"/>
      <c r="J58" s="73"/>
      <c r="K58" s="75"/>
      <c r="L58" s="73"/>
      <c r="M58" s="73"/>
      <c r="N58" s="73"/>
      <c r="O58" s="73"/>
      <c r="P58" s="75"/>
      <c r="Q58" s="73"/>
      <c r="R58" s="84"/>
      <c r="S58" s="76"/>
      <c r="T58" s="62"/>
      <c r="U58" s="62"/>
      <c r="V58" s="62"/>
      <c r="W58" s="62"/>
      <c r="X58" s="62"/>
      <c r="Y58" s="62"/>
      <c r="Z58" s="62"/>
    </row>
    <row r="59" spans="1:26" s="77" customFormat="1">
      <c r="A59" s="78"/>
      <c r="B59" s="79"/>
      <c r="C59" s="79"/>
      <c r="D59" s="79"/>
      <c r="E59" s="79"/>
      <c r="F59" s="79"/>
      <c r="G59" s="79"/>
      <c r="H59" s="79"/>
      <c r="I59" s="79"/>
      <c r="J59" s="79"/>
      <c r="K59" s="81"/>
      <c r="L59" s="79"/>
      <c r="M59" s="79"/>
      <c r="N59" s="79"/>
      <c r="O59" s="79"/>
      <c r="P59" s="81"/>
      <c r="Q59" s="79"/>
      <c r="R59" s="85"/>
      <c r="S59" s="82"/>
      <c r="T59" s="62"/>
      <c r="U59" s="62"/>
      <c r="V59" s="62"/>
      <c r="W59" s="62"/>
      <c r="X59" s="62"/>
      <c r="Y59" s="62"/>
      <c r="Z59" s="62"/>
    </row>
    <row r="60" spans="1:26" s="77" customFormat="1">
      <c r="A60" s="78"/>
      <c r="B60" s="73"/>
      <c r="C60" s="73"/>
      <c r="D60" s="73"/>
      <c r="E60" s="73"/>
      <c r="F60" s="73"/>
      <c r="G60" s="73"/>
      <c r="H60" s="73"/>
      <c r="I60" s="73"/>
      <c r="J60" s="73"/>
      <c r="K60" s="75"/>
      <c r="L60" s="73"/>
      <c r="M60" s="73"/>
      <c r="N60" s="73"/>
      <c r="O60" s="73"/>
      <c r="P60" s="75"/>
      <c r="Q60" s="73"/>
      <c r="R60" s="84"/>
      <c r="S60" s="76"/>
      <c r="T60" s="62"/>
      <c r="U60" s="62"/>
      <c r="V60" s="62"/>
      <c r="W60" s="62"/>
      <c r="X60" s="62"/>
      <c r="Y60" s="62"/>
      <c r="Z60" s="62"/>
    </row>
    <row r="61" spans="1:26" s="77" customFormat="1">
      <c r="A61" s="83"/>
      <c r="B61" s="79"/>
      <c r="C61" s="79"/>
      <c r="D61" s="79"/>
      <c r="E61" s="79"/>
      <c r="F61" s="79"/>
      <c r="G61" s="79"/>
      <c r="H61" s="79"/>
      <c r="I61" s="79"/>
      <c r="J61" s="79"/>
      <c r="K61" s="81"/>
      <c r="L61" s="79"/>
      <c r="M61" s="79"/>
      <c r="N61" s="79"/>
      <c r="O61" s="79"/>
      <c r="P61" s="81"/>
      <c r="Q61" s="79"/>
      <c r="R61" s="85"/>
      <c r="S61" s="82"/>
      <c r="T61" s="62"/>
      <c r="U61" s="62"/>
      <c r="V61" s="62"/>
      <c r="W61" s="62"/>
      <c r="X61" s="62"/>
      <c r="Y61" s="62"/>
      <c r="Z61" s="62"/>
    </row>
    <row r="62" spans="1:26" s="77" customFormat="1">
      <c r="A62" s="72"/>
      <c r="B62" s="73"/>
      <c r="C62" s="73"/>
      <c r="D62" s="73"/>
      <c r="E62" s="73"/>
      <c r="F62" s="73"/>
      <c r="G62" s="73"/>
      <c r="H62" s="73"/>
      <c r="I62" s="73"/>
      <c r="J62" s="73"/>
      <c r="K62" s="75"/>
      <c r="L62" s="73"/>
      <c r="M62" s="73"/>
      <c r="N62" s="73"/>
      <c r="O62" s="73"/>
      <c r="P62" s="75"/>
      <c r="Q62" s="73"/>
      <c r="R62" s="84"/>
      <c r="S62" s="76"/>
      <c r="T62" s="62"/>
      <c r="U62" s="62"/>
      <c r="V62" s="62"/>
      <c r="W62" s="62"/>
      <c r="X62" s="62"/>
      <c r="Y62" s="62"/>
      <c r="Z62" s="62"/>
    </row>
    <row r="63" spans="1:26" s="77" customFormat="1">
      <c r="A63" s="78"/>
      <c r="B63" s="79"/>
      <c r="C63" s="79"/>
      <c r="D63" s="79"/>
      <c r="E63" s="79"/>
      <c r="F63" s="79"/>
      <c r="G63" s="79"/>
      <c r="H63" s="79"/>
      <c r="I63" s="79"/>
      <c r="J63" s="79"/>
      <c r="K63" s="81"/>
      <c r="L63" s="79"/>
      <c r="M63" s="79"/>
      <c r="N63" s="79"/>
      <c r="O63" s="79"/>
      <c r="P63" s="81"/>
      <c r="Q63" s="79"/>
      <c r="R63" s="85"/>
      <c r="S63" s="82"/>
      <c r="T63" s="62"/>
      <c r="U63" s="62"/>
      <c r="V63" s="62"/>
      <c r="W63" s="62"/>
      <c r="X63" s="62"/>
      <c r="Y63" s="62"/>
      <c r="Z63" s="62"/>
    </row>
    <row r="64" spans="1:26" s="77" customFormat="1">
      <c r="A64" s="78"/>
      <c r="B64" s="73"/>
      <c r="C64" s="73"/>
      <c r="D64" s="73"/>
      <c r="E64" s="73"/>
      <c r="F64" s="73"/>
      <c r="G64" s="73"/>
      <c r="H64" s="73"/>
      <c r="I64" s="73"/>
      <c r="J64" s="73"/>
      <c r="K64" s="75"/>
      <c r="L64" s="73"/>
      <c r="M64" s="73"/>
      <c r="N64" s="73"/>
      <c r="O64" s="73"/>
      <c r="P64" s="75"/>
      <c r="Q64" s="73"/>
      <c r="R64" s="84"/>
      <c r="S64" s="76"/>
      <c r="T64" s="62"/>
      <c r="U64" s="62"/>
      <c r="V64" s="62"/>
      <c r="W64" s="62"/>
      <c r="X64" s="62"/>
      <c r="Y64" s="62"/>
      <c r="Z64" s="62"/>
    </row>
    <row r="65" spans="1:26" s="77" customFormat="1">
      <c r="A65" s="78"/>
      <c r="B65" s="79"/>
      <c r="C65" s="79"/>
      <c r="D65" s="79"/>
      <c r="E65" s="79"/>
      <c r="F65" s="79"/>
      <c r="G65" s="79"/>
      <c r="H65" s="79"/>
      <c r="I65" s="79"/>
      <c r="J65" s="79"/>
      <c r="K65" s="81"/>
      <c r="L65" s="79"/>
      <c r="M65" s="79"/>
      <c r="N65" s="79"/>
      <c r="O65" s="79"/>
      <c r="P65" s="81"/>
      <c r="Q65" s="79"/>
      <c r="R65" s="85"/>
      <c r="S65" s="82"/>
      <c r="T65" s="62"/>
      <c r="U65" s="62"/>
      <c r="V65" s="62"/>
      <c r="W65" s="62"/>
      <c r="X65" s="62"/>
      <c r="Y65" s="62"/>
      <c r="Z65" s="62"/>
    </row>
    <row r="66" spans="1:26" s="77" customFormat="1">
      <c r="A66" s="78"/>
      <c r="B66" s="73"/>
      <c r="C66" s="73"/>
      <c r="D66" s="73"/>
      <c r="E66" s="73"/>
      <c r="F66" s="73"/>
      <c r="G66" s="73"/>
      <c r="H66" s="73"/>
      <c r="I66" s="73"/>
      <c r="J66" s="73"/>
      <c r="K66" s="75"/>
      <c r="L66" s="73"/>
      <c r="M66" s="73"/>
      <c r="N66" s="73"/>
      <c r="O66" s="73"/>
      <c r="P66" s="75"/>
      <c r="Q66" s="73"/>
      <c r="R66" s="84"/>
      <c r="S66" s="76"/>
      <c r="T66" s="62"/>
      <c r="U66" s="62"/>
      <c r="V66" s="62"/>
      <c r="W66" s="62"/>
      <c r="X66" s="62"/>
      <c r="Y66" s="62"/>
      <c r="Z66" s="62"/>
    </row>
    <row r="67" spans="1:26" s="77" customFormat="1">
      <c r="A67" s="78"/>
      <c r="B67" s="79"/>
      <c r="C67" s="79"/>
      <c r="D67" s="79"/>
      <c r="E67" s="79"/>
      <c r="F67" s="79"/>
      <c r="G67" s="79"/>
      <c r="H67" s="79"/>
      <c r="I67" s="79"/>
      <c r="J67" s="79"/>
      <c r="K67" s="81"/>
      <c r="L67" s="79"/>
      <c r="M67" s="79"/>
      <c r="N67" s="79"/>
      <c r="O67" s="79"/>
      <c r="P67" s="81"/>
      <c r="Q67" s="79"/>
      <c r="R67" s="85"/>
      <c r="S67" s="82"/>
      <c r="T67" s="62"/>
      <c r="U67" s="62"/>
      <c r="V67" s="62"/>
      <c r="W67" s="62"/>
      <c r="X67" s="62"/>
      <c r="Y67" s="62"/>
      <c r="Z67" s="62"/>
    </row>
    <row r="68" spans="1:26" s="77" customFormat="1">
      <c r="A68" s="78"/>
      <c r="B68" s="73"/>
      <c r="C68" s="73"/>
      <c r="D68" s="73"/>
      <c r="E68" s="73"/>
      <c r="F68" s="73"/>
      <c r="G68" s="73"/>
      <c r="H68" s="73"/>
      <c r="I68" s="73"/>
      <c r="J68" s="73"/>
      <c r="K68" s="75"/>
      <c r="L68" s="73"/>
      <c r="M68" s="73"/>
      <c r="N68" s="73"/>
      <c r="O68" s="73"/>
      <c r="P68" s="75"/>
      <c r="Q68" s="73"/>
      <c r="R68" s="84"/>
      <c r="S68" s="76"/>
      <c r="T68" s="62"/>
      <c r="U68" s="62"/>
      <c r="V68" s="62"/>
      <c r="W68" s="62"/>
      <c r="X68" s="62"/>
      <c r="Y68" s="62"/>
      <c r="Z68" s="62"/>
    </row>
    <row r="69" spans="1:26" s="77" customFormat="1">
      <c r="A69" s="83"/>
      <c r="B69" s="79"/>
      <c r="C69" s="79"/>
      <c r="D69" s="79"/>
      <c r="E69" s="79"/>
      <c r="F69" s="79"/>
      <c r="G69" s="79"/>
      <c r="H69" s="79"/>
      <c r="I69" s="79"/>
      <c r="J69" s="79"/>
      <c r="K69" s="81"/>
      <c r="L69" s="79"/>
      <c r="M69" s="79"/>
      <c r="N69" s="79"/>
      <c r="O69" s="79"/>
      <c r="P69" s="81"/>
      <c r="Q69" s="79"/>
      <c r="R69" s="85"/>
      <c r="S69" s="82"/>
      <c r="T69" s="62"/>
      <c r="U69" s="62"/>
      <c r="V69" s="62"/>
      <c r="W69" s="62"/>
      <c r="X69" s="62"/>
      <c r="Y69" s="62"/>
      <c r="Z69" s="62"/>
    </row>
    <row r="70" spans="1:26" s="77" customFormat="1">
      <c r="A70" s="72"/>
      <c r="B70" s="73"/>
      <c r="C70" s="73"/>
      <c r="D70" s="73"/>
      <c r="E70" s="73"/>
      <c r="F70" s="73"/>
      <c r="G70" s="73"/>
      <c r="H70" s="73"/>
      <c r="I70" s="73"/>
      <c r="J70" s="73"/>
      <c r="K70" s="75"/>
      <c r="L70" s="73"/>
      <c r="M70" s="73"/>
      <c r="N70" s="73"/>
      <c r="O70" s="73"/>
      <c r="P70" s="75"/>
      <c r="Q70" s="73"/>
      <c r="R70" s="84"/>
      <c r="S70" s="76"/>
      <c r="T70" s="62"/>
      <c r="U70" s="62"/>
      <c r="V70" s="62"/>
      <c r="W70" s="62"/>
      <c r="X70" s="62"/>
      <c r="Y70" s="62"/>
      <c r="Z70" s="62"/>
    </row>
    <row r="71" spans="1:26" s="77" customFormat="1">
      <c r="A71" s="78"/>
      <c r="B71" s="79"/>
      <c r="C71" s="79"/>
      <c r="D71" s="79"/>
      <c r="E71" s="79"/>
      <c r="F71" s="79"/>
      <c r="G71" s="79"/>
      <c r="H71" s="79"/>
      <c r="I71" s="79"/>
      <c r="J71" s="79"/>
      <c r="K71" s="81"/>
      <c r="L71" s="79"/>
      <c r="M71" s="79"/>
      <c r="N71" s="79"/>
      <c r="O71" s="79"/>
      <c r="P71" s="81"/>
      <c r="Q71" s="79"/>
      <c r="R71" s="85"/>
      <c r="S71" s="82"/>
      <c r="T71" s="62"/>
      <c r="U71" s="62"/>
      <c r="V71" s="62"/>
      <c r="W71" s="62"/>
      <c r="X71" s="62"/>
      <c r="Y71" s="62"/>
      <c r="Z71" s="62"/>
    </row>
    <row r="72" spans="1:26" s="77" customFormat="1">
      <c r="A72" s="78"/>
      <c r="B72" s="73"/>
      <c r="C72" s="73"/>
      <c r="D72" s="73"/>
      <c r="E72" s="73"/>
      <c r="F72" s="73"/>
      <c r="G72" s="73"/>
      <c r="H72" s="73"/>
      <c r="I72" s="73"/>
      <c r="J72" s="73"/>
      <c r="K72" s="75"/>
      <c r="L72" s="73"/>
      <c r="M72" s="73"/>
      <c r="N72" s="73"/>
      <c r="O72" s="73"/>
      <c r="P72" s="75"/>
      <c r="Q72" s="73"/>
      <c r="R72" s="84"/>
      <c r="S72" s="76"/>
      <c r="T72" s="62"/>
      <c r="U72" s="62"/>
      <c r="V72" s="62"/>
      <c r="W72" s="62"/>
      <c r="X72" s="62"/>
      <c r="Y72" s="62"/>
      <c r="Z72" s="62"/>
    </row>
    <row r="73" spans="1:26" s="77" customFormat="1">
      <c r="A73" s="78"/>
      <c r="B73" s="79"/>
      <c r="C73" s="79"/>
      <c r="D73" s="79"/>
      <c r="E73" s="79"/>
      <c r="F73" s="79"/>
      <c r="G73" s="79"/>
      <c r="H73" s="79"/>
      <c r="I73" s="79"/>
      <c r="J73" s="79"/>
      <c r="K73" s="81"/>
      <c r="L73" s="79"/>
      <c r="M73" s="79"/>
      <c r="N73" s="79"/>
      <c r="O73" s="79"/>
      <c r="P73" s="81"/>
      <c r="Q73" s="79"/>
      <c r="R73" s="85"/>
      <c r="S73" s="82"/>
      <c r="T73" s="62"/>
      <c r="U73" s="62"/>
      <c r="V73" s="62"/>
      <c r="W73" s="62"/>
      <c r="X73" s="62"/>
      <c r="Y73" s="62"/>
      <c r="Z73" s="62"/>
    </row>
    <row r="74" spans="1:26" s="77" customFormat="1">
      <c r="A74" s="78"/>
      <c r="B74" s="73"/>
      <c r="C74" s="73"/>
      <c r="D74" s="73"/>
      <c r="E74" s="73"/>
      <c r="F74" s="73"/>
      <c r="G74" s="73"/>
      <c r="H74" s="73"/>
      <c r="I74" s="73"/>
      <c r="J74" s="73"/>
      <c r="K74" s="75"/>
      <c r="L74" s="73"/>
      <c r="M74" s="73"/>
      <c r="N74" s="73"/>
      <c r="O74" s="73"/>
      <c r="P74" s="75"/>
      <c r="Q74" s="73"/>
      <c r="R74" s="84"/>
      <c r="S74" s="76"/>
      <c r="T74" s="62"/>
      <c r="U74" s="62"/>
      <c r="V74" s="62"/>
      <c r="W74" s="62"/>
      <c r="X74" s="62"/>
      <c r="Y74" s="62"/>
      <c r="Z74" s="62"/>
    </row>
    <row r="75" spans="1:26" s="77" customFormat="1">
      <c r="A75" s="78"/>
      <c r="B75" s="79"/>
      <c r="C75" s="79"/>
      <c r="D75" s="79"/>
      <c r="E75" s="79"/>
      <c r="F75" s="79"/>
      <c r="G75" s="79"/>
      <c r="H75" s="79"/>
      <c r="I75" s="79"/>
      <c r="J75" s="79"/>
      <c r="K75" s="81"/>
      <c r="L75" s="79"/>
      <c r="M75" s="79"/>
      <c r="N75" s="79"/>
      <c r="O75" s="79"/>
      <c r="P75" s="81"/>
      <c r="Q75" s="79"/>
      <c r="R75" s="85"/>
      <c r="S75" s="82"/>
      <c r="T75" s="62"/>
      <c r="U75" s="62"/>
      <c r="V75" s="62"/>
      <c r="W75" s="62"/>
      <c r="X75" s="62"/>
      <c r="Y75" s="62"/>
      <c r="Z75" s="62"/>
    </row>
    <row r="76" spans="1:26" s="77" customFormat="1">
      <c r="A76" s="78"/>
      <c r="B76" s="73"/>
      <c r="C76" s="73"/>
      <c r="D76" s="73"/>
      <c r="E76" s="73"/>
      <c r="F76" s="73"/>
      <c r="G76" s="73"/>
      <c r="H76" s="73"/>
      <c r="I76" s="73"/>
      <c r="J76" s="73"/>
      <c r="K76" s="75"/>
      <c r="L76" s="73"/>
      <c r="M76" s="73"/>
      <c r="N76" s="73"/>
      <c r="O76" s="73"/>
      <c r="P76" s="75"/>
      <c r="Q76" s="73"/>
      <c r="R76" s="84"/>
      <c r="S76" s="76"/>
      <c r="T76" s="62"/>
      <c r="U76" s="62"/>
      <c r="V76" s="62"/>
      <c r="W76" s="62"/>
      <c r="X76" s="62"/>
      <c r="Y76" s="62"/>
      <c r="Z76" s="62"/>
    </row>
    <row r="77" spans="1:26" s="77" customFormat="1">
      <c r="A77" s="83"/>
      <c r="B77" s="79"/>
      <c r="C77" s="79"/>
      <c r="D77" s="79"/>
      <c r="E77" s="79"/>
      <c r="F77" s="79"/>
      <c r="G77" s="79"/>
      <c r="H77" s="79"/>
      <c r="I77" s="79"/>
      <c r="J77" s="79"/>
      <c r="K77" s="81"/>
      <c r="L77" s="79"/>
      <c r="M77" s="79"/>
      <c r="N77" s="79"/>
      <c r="O77" s="79"/>
      <c r="P77" s="81"/>
      <c r="Q77" s="79"/>
      <c r="R77" s="85"/>
      <c r="S77" s="82"/>
      <c r="T77" s="62"/>
      <c r="U77" s="62"/>
      <c r="V77" s="62"/>
      <c r="W77" s="62"/>
      <c r="X77" s="62"/>
      <c r="Y77" s="62"/>
      <c r="Z77" s="62"/>
    </row>
    <row r="78" spans="1:26" s="77" customFormat="1">
      <c r="A78" s="72"/>
      <c r="B78" s="73"/>
      <c r="C78" s="73"/>
      <c r="D78" s="73"/>
      <c r="E78" s="73"/>
      <c r="F78" s="73"/>
      <c r="G78" s="73"/>
      <c r="H78" s="73"/>
      <c r="I78" s="73"/>
      <c r="J78" s="73"/>
      <c r="K78" s="75"/>
      <c r="L78" s="73"/>
      <c r="M78" s="73"/>
      <c r="N78" s="73"/>
      <c r="O78" s="73"/>
      <c r="P78" s="75"/>
      <c r="Q78" s="73"/>
      <c r="R78" s="84"/>
      <c r="S78" s="76"/>
      <c r="T78" s="62"/>
      <c r="U78" s="62"/>
      <c r="V78" s="62"/>
      <c r="W78" s="62"/>
      <c r="X78" s="62"/>
      <c r="Y78" s="62"/>
      <c r="Z78" s="62"/>
    </row>
    <row r="79" spans="1:26" s="77" customFormat="1">
      <c r="A79" s="78"/>
      <c r="B79" s="79"/>
      <c r="C79" s="79"/>
      <c r="D79" s="79"/>
      <c r="E79" s="79"/>
      <c r="F79" s="79"/>
      <c r="G79" s="79"/>
      <c r="H79" s="79"/>
      <c r="I79" s="79"/>
      <c r="J79" s="79"/>
      <c r="K79" s="81"/>
      <c r="L79" s="79"/>
      <c r="M79" s="79"/>
      <c r="N79" s="79"/>
      <c r="O79" s="79"/>
      <c r="P79" s="81"/>
      <c r="Q79" s="79"/>
      <c r="R79" s="85"/>
      <c r="S79" s="82"/>
      <c r="T79" s="62"/>
      <c r="U79" s="62"/>
      <c r="V79" s="62"/>
      <c r="W79" s="62"/>
      <c r="X79" s="62"/>
      <c r="Y79" s="62"/>
      <c r="Z79" s="62"/>
    </row>
    <row r="80" spans="1:26" s="77" customFormat="1">
      <c r="A80" s="78"/>
      <c r="B80" s="73"/>
      <c r="C80" s="73"/>
      <c r="D80" s="73"/>
      <c r="E80" s="73"/>
      <c r="F80" s="73"/>
      <c r="G80" s="73"/>
      <c r="H80" s="73"/>
      <c r="I80" s="73"/>
      <c r="J80" s="73"/>
      <c r="K80" s="75"/>
      <c r="L80" s="73"/>
      <c r="M80" s="73"/>
      <c r="N80" s="73"/>
      <c r="O80" s="73"/>
      <c r="P80" s="75"/>
      <c r="Q80" s="73"/>
      <c r="R80" s="84"/>
      <c r="S80" s="76"/>
      <c r="T80" s="62"/>
      <c r="U80" s="62"/>
      <c r="V80" s="62"/>
      <c r="W80" s="62"/>
      <c r="X80" s="62"/>
      <c r="Y80" s="62"/>
      <c r="Z80" s="62"/>
    </row>
    <row r="81" spans="1:26" s="77" customFormat="1">
      <c r="A81" s="78"/>
      <c r="B81" s="79"/>
      <c r="C81" s="79"/>
      <c r="D81" s="79"/>
      <c r="E81" s="79"/>
      <c r="F81" s="79"/>
      <c r="G81" s="79"/>
      <c r="H81" s="79"/>
      <c r="I81" s="79"/>
      <c r="J81" s="79"/>
      <c r="K81" s="81"/>
      <c r="L81" s="79"/>
      <c r="M81" s="79"/>
      <c r="N81" s="79"/>
      <c r="O81" s="79"/>
      <c r="P81" s="81"/>
      <c r="Q81" s="79"/>
      <c r="R81" s="85"/>
      <c r="S81" s="82"/>
      <c r="T81" s="62"/>
      <c r="U81" s="62"/>
      <c r="V81" s="62"/>
      <c r="W81" s="62"/>
      <c r="X81" s="62"/>
      <c r="Y81" s="62"/>
      <c r="Z81" s="62"/>
    </row>
    <row r="82" spans="1:26" s="77" customFormat="1">
      <c r="A82" s="78"/>
      <c r="B82" s="73"/>
      <c r="C82" s="73"/>
      <c r="D82" s="73"/>
      <c r="E82" s="73"/>
      <c r="F82" s="73"/>
      <c r="G82" s="73"/>
      <c r="H82" s="73"/>
      <c r="I82" s="73"/>
      <c r="J82" s="73"/>
      <c r="K82" s="75"/>
      <c r="L82" s="73"/>
      <c r="M82" s="73"/>
      <c r="N82" s="73"/>
      <c r="O82" s="73"/>
      <c r="P82" s="75"/>
      <c r="Q82" s="73"/>
      <c r="R82" s="84"/>
      <c r="S82" s="76"/>
      <c r="T82" s="62"/>
      <c r="U82" s="62"/>
      <c r="V82" s="62"/>
      <c r="W82" s="62"/>
      <c r="X82" s="62"/>
      <c r="Y82" s="62"/>
      <c r="Z82" s="62"/>
    </row>
    <row r="83" spans="1:26" s="77" customFormat="1">
      <c r="A83" s="78"/>
      <c r="B83" s="79"/>
      <c r="C83" s="79"/>
      <c r="D83" s="79"/>
      <c r="E83" s="79"/>
      <c r="F83" s="79"/>
      <c r="G83" s="79"/>
      <c r="H83" s="79"/>
      <c r="I83" s="79"/>
      <c r="J83" s="79"/>
      <c r="K83" s="81"/>
      <c r="L83" s="79"/>
      <c r="M83" s="79"/>
      <c r="N83" s="79"/>
      <c r="O83" s="79"/>
      <c r="P83" s="81"/>
      <c r="Q83" s="79"/>
      <c r="R83" s="85"/>
      <c r="S83" s="82"/>
      <c r="T83" s="62"/>
      <c r="U83" s="62"/>
      <c r="V83" s="62"/>
      <c r="W83" s="62"/>
      <c r="X83" s="62"/>
      <c r="Y83" s="62"/>
      <c r="Z83" s="62"/>
    </row>
    <row r="84" spans="1:26" s="77" customFormat="1">
      <c r="A84" s="78"/>
      <c r="B84" s="73"/>
      <c r="C84" s="73"/>
      <c r="D84" s="73"/>
      <c r="E84" s="73"/>
      <c r="F84" s="73"/>
      <c r="G84" s="73"/>
      <c r="H84" s="73"/>
      <c r="I84" s="73"/>
      <c r="J84" s="73"/>
      <c r="K84" s="75"/>
      <c r="L84" s="73"/>
      <c r="M84" s="73"/>
      <c r="N84" s="73"/>
      <c r="O84" s="73"/>
      <c r="P84" s="75"/>
      <c r="Q84" s="73"/>
      <c r="R84" s="84"/>
      <c r="S84" s="76"/>
      <c r="T84" s="62"/>
      <c r="U84" s="62"/>
      <c r="V84" s="62"/>
      <c r="W84" s="62"/>
      <c r="X84" s="62"/>
      <c r="Y84" s="62"/>
      <c r="Z84" s="62"/>
    </row>
    <row r="85" spans="1:26" s="77" customFormat="1">
      <c r="A85" s="83"/>
      <c r="B85" s="79"/>
      <c r="C85" s="79"/>
      <c r="D85" s="79"/>
      <c r="E85" s="79"/>
      <c r="F85" s="79"/>
      <c r="G85" s="79"/>
      <c r="H85" s="79"/>
      <c r="I85" s="79"/>
      <c r="J85" s="79"/>
      <c r="K85" s="81"/>
      <c r="L85" s="79"/>
      <c r="M85" s="79"/>
      <c r="N85" s="79"/>
      <c r="O85" s="79"/>
      <c r="P85" s="81"/>
      <c r="Q85" s="79"/>
      <c r="R85" s="85"/>
      <c r="S85" s="82"/>
      <c r="T85" s="62"/>
      <c r="U85" s="62"/>
      <c r="V85" s="62"/>
      <c r="W85" s="62"/>
      <c r="X85" s="62"/>
      <c r="Y85" s="62"/>
      <c r="Z85" s="62"/>
    </row>
    <row r="86" spans="1:26" s="77" customFormat="1">
      <c r="A86" s="72"/>
      <c r="B86" s="73"/>
      <c r="C86" s="73"/>
      <c r="D86" s="73"/>
      <c r="E86" s="73"/>
      <c r="F86" s="73"/>
      <c r="G86" s="73"/>
      <c r="H86" s="73"/>
      <c r="I86" s="73"/>
      <c r="J86" s="73"/>
      <c r="K86" s="75"/>
      <c r="L86" s="73"/>
      <c r="M86" s="73"/>
      <c r="N86" s="73"/>
      <c r="O86" s="73"/>
      <c r="P86" s="75"/>
      <c r="Q86" s="73"/>
      <c r="R86" s="84"/>
      <c r="S86" s="76"/>
      <c r="T86" s="62"/>
      <c r="U86" s="62"/>
      <c r="V86" s="62"/>
      <c r="W86" s="62"/>
      <c r="X86" s="62"/>
      <c r="Y86" s="62"/>
      <c r="Z86" s="62"/>
    </row>
    <row r="87" spans="1:26" s="77" customFormat="1">
      <c r="A87" s="78"/>
      <c r="B87" s="79"/>
      <c r="C87" s="79"/>
      <c r="D87" s="79"/>
      <c r="E87" s="79"/>
      <c r="F87" s="79"/>
      <c r="G87" s="79"/>
      <c r="H87" s="79"/>
      <c r="I87" s="79"/>
      <c r="J87" s="79"/>
      <c r="K87" s="81"/>
      <c r="L87" s="79"/>
      <c r="M87" s="79"/>
      <c r="N87" s="79"/>
      <c r="O87" s="79"/>
      <c r="P87" s="81"/>
      <c r="Q87" s="79"/>
      <c r="R87" s="85"/>
      <c r="S87" s="82"/>
      <c r="T87" s="62"/>
      <c r="U87" s="62"/>
      <c r="V87" s="62"/>
      <c r="W87" s="62"/>
      <c r="X87" s="62"/>
      <c r="Y87" s="62"/>
      <c r="Z87" s="62"/>
    </row>
    <row r="88" spans="1:26" s="77" customFormat="1">
      <c r="A88" s="78"/>
      <c r="B88" s="73"/>
      <c r="C88" s="73"/>
      <c r="D88" s="73"/>
      <c r="E88" s="73"/>
      <c r="F88" s="73"/>
      <c r="G88" s="73"/>
      <c r="H88" s="73"/>
      <c r="I88" s="73"/>
      <c r="J88" s="73"/>
      <c r="K88" s="75"/>
      <c r="L88" s="73"/>
      <c r="M88" s="73"/>
      <c r="N88" s="73"/>
      <c r="O88" s="73"/>
      <c r="P88" s="75"/>
      <c r="Q88" s="73"/>
      <c r="R88" s="84"/>
      <c r="S88" s="76"/>
      <c r="T88" s="62"/>
      <c r="U88" s="62"/>
      <c r="V88" s="62"/>
      <c r="W88" s="62"/>
      <c r="X88" s="62"/>
      <c r="Y88" s="62"/>
      <c r="Z88" s="62"/>
    </row>
    <row r="89" spans="1:26" s="77" customFormat="1">
      <c r="A89" s="78"/>
      <c r="B89" s="79"/>
      <c r="C89" s="79"/>
      <c r="D89" s="79"/>
      <c r="E89" s="79"/>
      <c r="F89" s="79"/>
      <c r="G89" s="79"/>
      <c r="H89" s="79"/>
      <c r="I89" s="79"/>
      <c r="J89" s="79"/>
      <c r="K89" s="81"/>
      <c r="L89" s="79"/>
      <c r="M89" s="79"/>
      <c r="N89" s="79"/>
      <c r="O89" s="79"/>
      <c r="P89" s="81"/>
      <c r="Q89" s="79"/>
      <c r="R89" s="85"/>
      <c r="S89" s="82"/>
      <c r="T89" s="62"/>
      <c r="U89" s="62"/>
      <c r="V89" s="62"/>
      <c r="W89" s="62"/>
      <c r="X89" s="62"/>
      <c r="Y89" s="62"/>
      <c r="Z89" s="62"/>
    </row>
    <row r="90" spans="1:26" s="77" customFormat="1">
      <c r="A90" s="78"/>
      <c r="B90" s="73"/>
      <c r="C90" s="73"/>
      <c r="D90" s="73"/>
      <c r="E90" s="73"/>
      <c r="F90" s="73"/>
      <c r="G90" s="73"/>
      <c r="H90" s="73"/>
      <c r="I90" s="73"/>
      <c r="J90" s="73"/>
      <c r="K90" s="75"/>
      <c r="L90" s="73"/>
      <c r="M90" s="73"/>
      <c r="N90" s="73"/>
      <c r="O90" s="73"/>
      <c r="P90" s="75"/>
      <c r="Q90" s="73"/>
      <c r="R90" s="84"/>
      <c r="S90" s="76"/>
      <c r="T90" s="62"/>
      <c r="U90" s="62"/>
      <c r="V90" s="62"/>
      <c r="W90" s="62"/>
      <c r="X90" s="62"/>
      <c r="Y90" s="62"/>
      <c r="Z90" s="62"/>
    </row>
    <row r="91" spans="1:26" s="77" customFormat="1">
      <c r="A91" s="78"/>
      <c r="B91" s="79"/>
      <c r="C91" s="79"/>
      <c r="D91" s="79"/>
      <c r="E91" s="79"/>
      <c r="F91" s="79"/>
      <c r="G91" s="79"/>
      <c r="H91" s="79"/>
      <c r="I91" s="79"/>
      <c r="J91" s="79"/>
      <c r="K91" s="81"/>
      <c r="L91" s="79"/>
      <c r="M91" s="79"/>
      <c r="N91" s="79"/>
      <c r="O91" s="79"/>
      <c r="P91" s="81"/>
      <c r="Q91" s="79"/>
      <c r="R91" s="85"/>
      <c r="S91" s="82"/>
      <c r="T91" s="62"/>
      <c r="U91" s="62"/>
      <c r="V91" s="62"/>
      <c r="W91" s="62"/>
      <c r="X91" s="62"/>
      <c r="Y91" s="62"/>
      <c r="Z91" s="62"/>
    </row>
    <row r="92" spans="1:26" s="77" customFormat="1">
      <c r="A92" s="78"/>
      <c r="B92" s="73"/>
      <c r="C92" s="73"/>
      <c r="D92" s="73"/>
      <c r="E92" s="73"/>
      <c r="F92" s="73"/>
      <c r="G92" s="73"/>
      <c r="H92" s="73"/>
      <c r="I92" s="73"/>
      <c r="J92" s="73"/>
      <c r="K92" s="75"/>
      <c r="L92" s="73"/>
      <c r="M92" s="73"/>
      <c r="N92" s="73"/>
      <c r="O92" s="73"/>
      <c r="P92" s="75"/>
      <c r="Q92" s="73"/>
      <c r="R92" s="84"/>
      <c r="S92" s="76"/>
      <c r="T92" s="62"/>
      <c r="U92" s="62"/>
      <c r="V92" s="62"/>
      <c r="W92" s="62"/>
      <c r="X92" s="62"/>
      <c r="Y92" s="62"/>
      <c r="Z92" s="62"/>
    </row>
    <row r="93" spans="1:26" s="77" customFormat="1">
      <c r="A93" s="83"/>
      <c r="B93" s="79"/>
      <c r="C93" s="79"/>
      <c r="D93" s="79"/>
      <c r="E93" s="79"/>
      <c r="F93" s="79"/>
      <c r="G93" s="79"/>
      <c r="H93" s="79"/>
      <c r="I93" s="79"/>
      <c r="J93" s="79"/>
      <c r="K93" s="81"/>
      <c r="L93" s="79"/>
      <c r="M93" s="79"/>
      <c r="N93" s="79"/>
      <c r="O93" s="79"/>
      <c r="P93" s="81"/>
      <c r="Q93" s="79"/>
      <c r="R93" s="85"/>
      <c r="S93" s="82"/>
      <c r="T93" s="62"/>
      <c r="U93" s="62"/>
      <c r="V93" s="62"/>
      <c r="W93" s="62"/>
      <c r="X93" s="62"/>
      <c r="Y93" s="62"/>
      <c r="Z93" s="62"/>
    </row>
    <row r="94" spans="1:26" s="77" customFormat="1">
      <c r="A94" s="72"/>
      <c r="B94" s="73"/>
      <c r="C94" s="73"/>
      <c r="D94" s="73"/>
      <c r="E94" s="73"/>
      <c r="F94" s="73"/>
      <c r="G94" s="73"/>
      <c r="H94" s="73"/>
      <c r="I94" s="73"/>
      <c r="J94" s="73"/>
      <c r="K94" s="75"/>
      <c r="L94" s="73"/>
      <c r="M94" s="73"/>
      <c r="N94" s="73"/>
      <c r="O94" s="73"/>
      <c r="P94" s="75"/>
      <c r="Q94" s="73"/>
      <c r="R94" s="84"/>
      <c r="S94" s="76"/>
      <c r="T94" s="62"/>
      <c r="U94" s="62"/>
      <c r="V94" s="62"/>
      <c r="W94" s="62"/>
      <c r="X94" s="62"/>
      <c r="Y94" s="62"/>
      <c r="Z94" s="62"/>
    </row>
    <row r="95" spans="1:26" s="77" customFormat="1">
      <c r="A95" s="78"/>
      <c r="B95" s="79"/>
      <c r="C95" s="79"/>
      <c r="D95" s="79"/>
      <c r="E95" s="79"/>
      <c r="F95" s="79"/>
      <c r="G95" s="79"/>
      <c r="H95" s="79"/>
      <c r="I95" s="79"/>
      <c r="J95" s="79"/>
      <c r="K95" s="81"/>
      <c r="L95" s="79"/>
      <c r="M95" s="79"/>
      <c r="N95" s="79"/>
      <c r="O95" s="79"/>
      <c r="P95" s="81"/>
      <c r="Q95" s="79"/>
      <c r="R95" s="85"/>
      <c r="S95" s="82"/>
      <c r="T95" s="62"/>
      <c r="U95" s="62"/>
      <c r="V95" s="62"/>
      <c r="W95" s="62"/>
      <c r="X95" s="62"/>
      <c r="Y95" s="62"/>
      <c r="Z95" s="62"/>
    </row>
    <row r="96" spans="1:26" s="77" customFormat="1">
      <c r="A96" s="78"/>
      <c r="B96" s="73"/>
      <c r="C96" s="73"/>
      <c r="D96" s="73"/>
      <c r="E96" s="73"/>
      <c r="F96" s="73"/>
      <c r="G96" s="73"/>
      <c r="H96" s="73"/>
      <c r="I96" s="73"/>
      <c r="J96" s="73"/>
      <c r="K96" s="75"/>
      <c r="L96" s="73"/>
      <c r="M96" s="73"/>
      <c r="N96" s="73"/>
      <c r="O96" s="73"/>
      <c r="P96" s="75"/>
      <c r="Q96" s="73"/>
      <c r="R96" s="84"/>
      <c r="S96" s="76"/>
      <c r="T96" s="62"/>
      <c r="U96" s="62"/>
      <c r="V96" s="62"/>
      <c r="W96" s="62"/>
      <c r="X96" s="62"/>
      <c r="Y96" s="62"/>
      <c r="Z96" s="62"/>
    </row>
    <row r="97" spans="1:26" s="77" customFormat="1">
      <c r="A97" s="78"/>
      <c r="B97" s="79"/>
      <c r="C97" s="79"/>
      <c r="D97" s="79"/>
      <c r="E97" s="79"/>
      <c r="F97" s="79"/>
      <c r="G97" s="79"/>
      <c r="H97" s="79"/>
      <c r="I97" s="79"/>
      <c r="J97" s="79"/>
      <c r="K97" s="81"/>
      <c r="L97" s="79"/>
      <c r="M97" s="79"/>
      <c r="N97" s="79"/>
      <c r="O97" s="79"/>
      <c r="P97" s="81"/>
      <c r="Q97" s="79"/>
      <c r="R97" s="85"/>
      <c r="S97" s="82"/>
      <c r="T97" s="62"/>
      <c r="U97" s="62"/>
      <c r="V97" s="62"/>
      <c r="W97" s="62"/>
      <c r="X97" s="62"/>
      <c r="Y97" s="62"/>
      <c r="Z97" s="62"/>
    </row>
    <row r="98" spans="1:26" s="77" customFormat="1">
      <c r="A98" s="78"/>
      <c r="B98" s="73"/>
      <c r="C98" s="73"/>
      <c r="D98" s="73"/>
      <c r="E98" s="73"/>
      <c r="F98" s="73"/>
      <c r="G98" s="73"/>
      <c r="H98" s="73"/>
      <c r="I98" s="73"/>
      <c r="J98" s="73"/>
      <c r="K98" s="75"/>
      <c r="L98" s="73"/>
      <c r="M98" s="73"/>
      <c r="N98" s="73"/>
      <c r="O98" s="73"/>
      <c r="P98" s="75"/>
      <c r="Q98" s="73"/>
      <c r="R98" s="84"/>
      <c r="S98" s="76"/>
      <c r="T98" s="62"/>
      <c r="U98" s="62"/>
      <c r="V98" s="62"/>
      <c r="W98" s="62"/>
      <c r="X98" s="62"/>
      <c r="Y98" s="62"/>
      <c r="Z98" s="62"/>
    </row>
    <row r="99" spans="1:26" s="77" customFormat="1">
      <c r="A99" s="78"/>
      <c r="B99" s="79"/>
      <c r="C99" s="79"/>
      <c r="D99" s="79"/>
      <c r="E99" s="79"/>
      <c r="F99" s="79"/>
      <c r="G99" s="79"/>
      <c r="H99" s="79"/>
      <c r="I99" s="79"/>
      <c r="J99" s="79"/>
      <c r="K99" s="81"/>
      <c r="L99" s="79"/>
      <c r="M99" s="79"/>
      <c r="N99" s="79"/>
      <c r="O99" s="79"/>
      <c r="P99" s="81"/>
      <c r="Q99" s="79"/>
      <c r="R99" s="85"/>
      <c r="S99" s="82"/>
      <c r="T99" s="62"/>
      <c r="U99" s="62"/>
      <c r="V99" s="62"/>
      <c r="W99" s="62"/>
      <c r="X99" s="62"/>
      <c r="Y99" s="62"/>
      <c r="Z99" s="62"/>
    </row>
    <row r="100" spans="1:26" s="77" customFormat="1">
      <c r="A100" s="78"/>
      <c r="B100" s="73"/>
      <c r="C100" s="73"/>
      <c r="D100" s="73"/>
      <c r="E100" s="73"/>
      <c r="F100" s="73"/>
      <c r="G100" s="73"/>
      <c r="H100" s="73"/>
      <c r="I100" s="73"/>
      <c r="J100" s="73"/>
      <c r="K100" s="75"/>
      <c r="L100" s="73"/>
      <c r="M100" s="73"/>
      <c r="N100" s="73"/>
      <c r="O100" s="73"/>
      <c r="P100" s="75"/>
      <c r="Q100" s="73"/>
      <c r="R100" s="84"/>
      <c r="S100" s="76"/>
      <c r="T100" s="62"/>
      <c r="U100" s="62"/>
      <c r="V100" s="62"/>
      <c r="W100" s="62"/>
      <c r="X100" s="62"/>
      <c r="Y100" s="62"/>
      <c r="Z100" s="62"/>
    </row>
    <row r="101" spans="1:26" s="77" customFormat="1">
      <c r="A101" s="83"/>
      <c r="B101" s="79"/>
      <c r="C101" s="79"/>
      <c r="D101" s="79"/>
      <c r="E101" s="79"/>
      <c r="F101" s="79"/>
      <c r="G101" s="79"/>
      <c r="H101" s="79"/>
      <c r="I101" s="79"/>
      <c r="J101" s="79"/>
      <c r="K101" s="81"/>
      <c r="L101" s="79"/>
      <c r="M101" s="79"/>
      <c r="N101" s="79"/>
      <c r="O101" s="79"/>
      <c r="P101" s="81"/>
      <c r="Q101" s="79"/>
      <c r="R101" s="85"/>
      <c r="S101" s="82"/>
      <c r="T101" s="62"/>
      <c r="U101" s="62"/>
      <c r="V101" s="62"/>
      <c r="W101" s="62"/>
      <c r="X101" s="62"/>
      <c r="Y101" s="62"/>
      <c r="Z101" s="62"/>
    </row>
    <row r="102" spans="1:26" s="77" customFormat="1">
      <c r="A102" s="72"/>
      <c r="B102" s="73"/>
      <c r="C102" s="73"/>
      <c r="D102" s="73"/>
      <c r="E102" s="73"/>
      <c r="F102" s="73"/>
      <c r="G102" s="73"/>
      <c r="H102" s="73"/>
      <c r="I102" s="73"/>
      <c r="J102" s="73"/>
      <c r="K102" s="75"/>
      <c r="L102" s="73"/>
      <c r="M102" s="73"/>
      <c r="N102" s="73"/>
      <c r="O102" s="73"/>
      <c r="P102" s="75"/>
      <c r="Q102" s="73"/>
      <c r="R102" s="84"/>
      <c r="S102" s="76"/>
      <c r="T102" s="62"/>
      <c r="U102" s="62"/>
      <c r="V102" s="62"/>
      <c r="W102" s="62"/>
      <c r="X102" s="62"/>
      <c r="Y102" s="62"/>
      <c r="Z102" s="62"/>
    </row>
    <row r="103" spans="1:26" s="77" customFormat="1">
      <c r="A103" s="78"/>
      <c r="B103" s="79"/>
      <c r="C103" s="79"/>
      <c r="D103" s="79"/>
      <c r="E103" s="79"/>
      <c r="F103" s="79"/>
      <c r="G103" s="79"/>
      <c r="H103" s="79"/>
      <c r="I103" s="79"/>
      <c r="J103" s="79"/>
      <c r="K103" s="81"/>
      <c r="L103" s="79"/>
      <c r="M103" s="79"/>
      <c r="N103" s="79"/>
      <c r="O103" s="79"/>
      <c r="P103" s="81"/>
      <c r="Q103" s="79"/>
      <c r="R103" s="85"/>
      <c r="S103" s="82"/>
      <c r="T103" s="62"/>
      <c r="U103" s="62"/>
      <c r="V103" s="62"/>
      <c r="W103" s="62"/>
      <c r="X103" s="62"/>
      <c r="Y103" s="62"/>
      <c r="Z103" s="62"/>
    </row>
    <row r="104" spans="1:26" s="77" customFormat="1">
      <c r="A104" s="78"/>
      <c r="B104" s="73"/>
      <c r="C104" s="73"/>
      <c r="D104" s="73"/>
      <c r="E104" s="73"/>
      <c r="F104" s="73"/>
      <c r="G104" s="73"/>
      <c r="H104" s="73"/>
      <c r="I104" s="73"/>
      <c r="J104" s="73"/>
      <c r="K104" s="75"/>
      <c r="L104" s="73"/>
      <c r="M104" s="73"/>
      <c r="N104" s="73"/>
      <c r="O104" s="73"/>
      <c r="P104" s="75"/>
      <c r="Q104" s="73"/>
      <c r="R104" s="84"/>
      <c r="S104" s="76"/>
      <c r="T104" s="62"/>
      <c r="U104" s="62"/>
      <c r="V104" s="62"/>
      <c r="W104" s="62"/>
      <c r="X104" s="62"/>
      <c r="Y104" s="62"/>
      <c r="Z104" s="62"/>
    </row>
    <row r="105" spans="1:26" s="77" customFormat="1">
      <c r="A105" s="78"/>
      <c r="B105" s="79"/>
      <c r="C105" s="79"/>
      <c r="D105" s="79"/>
      <c r="E105" s="79"/>
      <c r="F105" s="79"/>
      <c r="G105" s="79"/>
      <c r="H105" s="79"/>
      <c r="I105" s="79"/>
      <c r="J105" s="79"/>
      <c r="K105" s="81"/>
      <c r="L105" s="79"/>
      <c r="M105" s="79"/>
      <c r="N105" s="79"/>
      <c r="O105" s="79"/>
      <c r="P105" s="81"/>
      <c r="Q105" s="79"/>
      <c r="R105" s="85"/>
      <c r="S105" s="82"/>
      <c r="T105" s="62"/>
      <c r="U105" s="62"/>
      <c r="V105" s="62"/>
      <c r="W105" s="62"/>
      <c r="X105" s="62"/>
      <c r="Y105" s="62"/>
      <c r="Z105" s="62"/>
    </row>
    <row r="106" spans="1:26" s="77" customFormat="1">
      <c r="A106" s="78"/>
      <c r="B106" s="73"/>
      <c r="C106" s="73"/>
      <c r="D106" s="73"/>
      <c r="E106" s="73"/>
      <c r="F106" s="73"/>
      <c r="G106" s="73"/>
      <c r="H106" s="73"/>
      <c r="I106" s="73"/>
      <c r="J106" s="73"/>
      <c r="K106" s="75"/>
      <c r="L106" s="73"/>
      <c r="M106" s="73"/>
      <c r="N106" s="73"/>
      <c r="O106" s="73"/>
      <c r="P106" s="75"/>
      <c r="Q106" s="73"/>
      <c r="R106" s="84"/>
      <c r="S106" s="76"/>
      <c r="T106" s="62"/>
      <c r="U106" s="62"/>
      <c r="V106" s="62"/>
      <c r="W106" s="62"/>
      <c r="X106" s="62"/>
      <c r="Y106" s="62"/>
      <c r="Z106" s="62"/>
    </row>
    <row r="107" spans="1:26" s="77" customFormat="1">
      <c r="A107" s="78"/>
      <c r="B107" s="79"/>
      <c r="C107" s="79"/>
      <c r="D107" s="79"/>
      <c r="E107" s="79"/>
      <c r="F107" s="79"/>
      <c r="G107" s="79"/>
      <c r="H107" s="79"/>
      <c r="I107" s="79"/>
      <c r="J107" s="79"/>
      <c r="K107" s="81"/>
      <c r="L107" s="79"/>
      <c r="M107" s="79"/>
      <c r="N107" s="79"/>
      <c r="O107" s="79"/>
      <c r="P107" s="81"/>
      <c r="Q107" s="79"/>
      <c r="R107" s="85"/>
      <c r="S107" s="82"/>
      <c r="T107" s="62"/>
      <c r="U107" s="62"/>
      <c r="V107" s="62"/>
      <c r="W107" s="62"/>
      <c r="X107" s="62"/>
      <c r="Y107" s="62"/>
      <c r="Z107" s="62"/>
    </row>
    <row r="108" spans="1:26" s="77" customFormat="1">
      <c r="A108" s="78"/>
      <c r="B108" s="73"/>
      <c r="C108" s="73"/>
      <c r="D108" s="73"/>
      <c r="E108" s="73"/>
      <c r="F108" s="73"/>
      <c r="G108" s="73"/>
      <c r="H108" s="73"/>
      <c r="I108" s="73"/>
      <c r="J108" s="73"/>
      <c r="K108" s="75"/>
      <c r="L108" s="73"/>
      <c r="M108" s="73"/>
      <c r="N108" s="73"/>
      <c r="O108" s="73"/>
      <c r="P108" s="75"/>
      <c r="Q108" s="73"/>
      <c r="R108" s="84"/>
      <c r="S108" s="76"/>
      <c r="T108" s="62"/>
      <c r="U108" s="62"/>
      <c r="V108" s="62"/>
      <c r="W108" s="62"/>
      <c r="X108" s="62"/>
      <c r="Y108" s="62"/>
      <c r="Z108" s="62"/>
    </row>
    <row r="109" spans="1:26" s="77" customFormat="1">
      <c r="A109" s="83"/>
      <c r="B109" s="79"/>
      <c r="C109" s="79"/>
      <c r="D109" s="79"/>
      <c r="E109" s="79"/>
      <c r="F109" s="79"/>
      <c r="G109" s="79"/>
      <c r="H109" s="79"/>
      <c r="I109" s="79"/>
      <c r="J109" s="79"/>
      <c r="K109" s="81"/>
      <c r="L109" s="79"/>
      <c r="M109" s="79"/>
      <c r="N109" s="79"/>
      <c r="O109" s="79"/>
      <c r="P109" s="81"/>
      <c r="Q109" s="79"/>
      <c r="R109" s="85"/>
      <c r="S109" s="82"/>
      <c r="T109" s="62"/>
      <c r="U109" s="62"/>
      <c r="V109" s="62"/>
      <c r="W109" s="62"/>
      <c r="X109" s="62"/>
      <c r="Y109" s="62"/>
      <c r="Z109" s="62"/>
    </row>
    <row r="110" spans="1:26" s="77" customFormat="1">
      <c r="A110" s="72"/>
      <c r="B110" s="73"/>
      <c r="C110" s="73"/>
      <c r="D110" s="73"/>
      <c r="E110" s="73"/>
      <c r="F110" s="73"/>
      <c r="G110" s="73"/>
      <c r="H110" s="73"/>
      <c r="I110" s="73"/>
      <c r="J110" s="73"/>
      <c r="K110" s="75"/>
      <c r="L110" s="73"/>
      <c r="M110" s="73"/>
      <c r="N110" s="73"/>
      <c r="O110" s="73"/>
      <c r="P110" s="75"/>
      <c r="Q110" s="73"/>
      <c r="R110" s="84"/>
      <c r="S110" s="76"/>
      <c r="T110" s="62"/>
      <c r="U110" s="62"/>
      <c r="V110" s="62"/>
      <c r="W110" s="62"/>
      <c r="X110" s="62"/>
      <c r="Y110" s="62"/>
      <c r="Z110" s="62"/>
    </row>
    <row r="111" spans="1:26" s="77" customFormat="1">
      <c r="A111" s="78"/>
      <c r="B111" s="79"/>
      <c r="C111" s="79"/>
      <c r="D111" s="79"/>
      <c r="E111" s="79"/>
      <c r="F111" s="79"/>
      <c r="G111" s="79"/>
      <c r="H111" s="79"/>
      <c r="I111" s="79"/>
      <c r="J111" s="79"/>
      <c r="K111" s="81"/>
      <c r="L111" s="79"/>
      <c r="M111" s="79"/>
      <c r="N111" s="79"/>
      <c r="O111" s="79"/>
      <c r="P111" s="81"/>
      <c r="Q111" s="79"/>
      <c r="R111" s="85"/>
      <c r="S111" s="82"/>
      <c r="T111" s="62"/>
      <c r="U111" s="62"/>
      <c r="V111" s="62"/>
      <c r="W111" s="62"/>
      <c r="X111" s="62"/>
      <c r="Y111" s="62"/>
      <c r="Z111" s="62"/>
    </row>
    <row r="112" spans="1:26" s="77" customFormat="1">
      <c r="A112" s="78"/>
      <c r="B112" s="73"/>
      <c r="C112" s="73"/>
      <c r="D112" s="73"/>
      <c r="E112" s="73"/>
      <c r="F112" s="73"/>
      <c r="G112" s="73"/>
      <c r="H112" s="73"/>
      <c r="I112" s="73"/>
      <c r="J112" s="73"/>
      <c r="K112" s="75"/>
      <c r="L112" s="73"/>
      <c r="M112" s="73"/>
      <c r="N112" s="73"/>
      <c r="O112" s="73"/>
      <c r="P112" s="75"/>
      <c r="Q112" s="73"/>
      <c r="R112" s="84"/>
      <c r="S112" s="76"/>
      <c r="T112" s="62"/>
      <c r="U112" s="62"/>
      <c r="V112" s="62"/>
      <c r="W112" s="62"/>
      <c r="X112" s="62"/>
      <c r="Y112" s="62"/>
      <c r="Z112" s="62"/>
    </row>
    <row r="113" spans="1:26" s="77" customFormat="1">
      <c r="A113" s="78"/>
      <c r="B113" s="79"/>
      <c r="C113" s="79"/>
      <c r="D113" s="79"/>
      <c r="E113" s="79"/>
      <c r="F113" s="79"/>
      <c r="G113" s="79"/>
      <c r="H113" s="79"/>
      <c r="I113" s="79"/>
      <c r="J113" s="79"/>
      <c r="K113" s="81"/>
      <c r="L113" s="79"/>
      <c r="M113" s="79"/>
      <c r="N113" s="79"/>
      <c r="O113" s="79"/>
      <c r="P113" s="81"/>
      <c r="Q113" s="79"/>
      <c r="R113" s="85"/>
      <c r="S113" s="82"/>
      <c r="T113" s="62"/>
      <c r="U113" s="62"/>
      <c r="V113" s="62"/>
      <c r="W113" s="62"/>
      <c r="X113" s="62"/>
      <c r="Y113" s="62"/>
      <c r="Z113" s="62"/>
    </row>
    <row r="114" spans="1:26" s="77" customFormat="1">
      <c r="A114" s="78"/>
      <c r="B114" s="73"/>
      <c r="C114" s="73"/>
      <c r="D114" s="73"/>
      <c r="E114" s="73"/>
      <c r="F114" s="73"/>
      <c r="G114" s="73"/>
      <c r="H114" s="73"/>
      <c r="I114" s="73"/>
      <c r="J114" s="73"/>
      <c r="K114" s="75"/>
      <c r="L114" s="73"/>
      <c r="M114" s="73"/>
      <c r="N114" s="73"/>
      <c r="O114" s="73"/>
      <c r="P114" s="75"/>
      <c r="Q114" s="73"/>
      <c r="R114" s="84"/>
      <c r="S114" s="76"/>
      <c r="T114" s="62"/>
      <c r="U114" s="62"/>
      <c r="V114" s="62"/>
      <c r="W114" s="62"/>
      <c r="X114" s="62"/>
      <c r="Y114" s="62"/>
      <c r="Z114" s="62"/>
    </row>
    <row r="115" spans="1:26" s="77" customFormat="1">
      <c r="A115" s="78"/>
      <c r="B115" s="79"/>
      <c r="C115" s="79"/>
      <c r="D115" s="79"/>
      <c r="E115" s="79"/>
      <c r="F115" s="79"/>
      <c r="G115" s="79"/>
      <c r="H115" s="79"/>
      <c r="I115" s="79"/>
      <c r="J115" s="79"/>
      <c r="K115" s="81"/>
      <c r="L115" s="79"/>
      <c r="M115" s="79"/>
      <c r="N115" s="79"/>
      <c r="O115" s="79"/>
      <c r="P115" s="81"/>
      <c r="Q115" s="79"/>
      <c r="R115" s="85"/>
      <c r="S115" s="82"/>
      <c r="T115" s="62"/>
      <c r="U115" s="62"/>
      <c r="V115" s="62"/>
      <c r="W115" s="62"/>
      <c r="X115" s="62"/>
      <c r="Y115" s="62"/>
      <c r="Z115" s="62"/>
    </row>
    <row r="116" spans="1:26" s="77" customFormat="1">
      <c r="A116" s="78"/>
      <c r="B116" s="73"/>
      <c r="C116" s="73"/>
      <c r="D116" s="73"/>
      <c r="E116" s="73"/>
      <c r="F116" s="73"/>
      <c r="G116" s="73"/>
      <c r="H116" s="73"/>
      <c r="I116" s="73"/>
      <c r="J116" s="73"/>
      <c r="K116" s="75"/>
      <c r="L116" s="73"/>
      <c r="M116" s="73"/>
      <c r="N116" s="73"/>
      <c r="O116" s="73"/>
      <c r="P116" s="75"/>
      <c r="Q116" s="73"/>
      <c r="R116" s="84"/>
      <c r="S116" s="76"/>
      <c r="T116" s="62"/>
      <c r="U116" s="62"/>
      <c r="V116" s="62"/>
      <c r="W116" s="62"/>
      <c r="X116" s="62"/>
      <c r="Y116" s="62"/>
      <c r="Z116" s="62"/>
    </row>
    <row r="117" spans="1:26" s="77" customFormat="1">
      <c r="A117" s="83"/>
      <c r="B117" s="79"/>
      <c r="C117" s="79"/>
      <c r="D117" s="79"/>
      <c r="E117" s="79"/>
      <c r="F117" s="79"/>
      <c r="G117" s="79"/>
      <c r="H117" s="79"/>
      <c r="I117" s="79"/>
      <c r="J117" s="79"/>
      <c r="K117" s="81"/>
      <c r="L117" s="79"/>
      <c r="M117" s="79"/>
      <c r="N117" s="79"/>
      <c r="O117" s="79"/>
      <c r="P117" s="81"/>
      <c r="Q117" s="79"/>
      <c r="R117" s="85"/>
      <c r="S117" s="82"/>
      <c r="T117" s="62"/>
      <c r="U117" s="62"/>
      <c r="V117" s="62"/>
      <c r="W117" s="62"/>
      <c r="X117" s="62"/>
      <c r="Y117" s="62"/>
      <c r="Z117" s="62"/>
    </row>
    <row r="118" spans="1:26" s="77" customFormat="1">
      <c r="A118" s="72"/>
      <c r="B118" s="73"/>
      <c r="C118" s="73"/>
      <c r="D118" s="73"/>
      <c r="E118" s="73"/>
      <c r="F118" s="73"/>
      <c r="G118" s="73"/>
      <c r="H118" s="73"/>
      <c r="I118" s="73"/>
      <c r="J118" s="73"/>
      <c r="K118" s="75"/>
      <c r="L118" s="73"/>
      <c r="M118" s="73"/>
      <c r="N118" s="73"/>
      <c r="O118" s="73"/>
      <c r="P118" s="75"/>
      <c r="Q118" s="73"/>
      <c r="R118" s="84"/>
      <c r="S118" s="76"/>
      <c r="T118" s="62"/>
      <c r="U118" s="62"/>
      <c r="V118" s="62"/>
      <c r="W118" s="62"/>
      <c r="X118" s="62"/>
      <c r="Y118" s="62"/>
      <c r="Z118" s="62"/>
    </row>
    <row r="119" spans="1:26" s="77" customFormat="1">
      <c r="A119" s="78"/>
      <c r="B119" s="79"/>
      <c r="C119" s="79"/>
      <c r="D119" s="79"/>
      <c r="E119" s="79"/>
      <c r="F119" s="79"/>
      <c r="G119" s="79"/>
      <c r="H119" s="79"/>
      <c r="I119" s="79"/>
      <c r="J119" s="79"/>
      <c r="K119" s="81"/>
      <c r="L119" s="79"/>
      <c r="M119" s="79"/>
      <c r="N119" s="79"/>
      <c r="O119" s="79"/>
      <c r="P119" s="81"/>
      <c r="Q119" s="79"/>
      <c r="R119" s="85"/>
      <c r="S119" s="82"/>
      <c r="T119" s="62"/>
      <c r="U119" s="62"/>
      <c r="V119" s="62"/>
      <c r="W119" s="62"/>
      <c r="X119" s="62"/>
      <c r="Y119" s="62"/>
      <c r="Z119" s="62"/>
    </row>
    <row r="120" spans="1:26" s="77" customFormat="1">
      <c r="A120" s="78"/>
      <c r="B120" s="73"/>
      <c r="C120" s="73"/>
      <c r="D120" s="73"/>
      <c r="E120" s="73"/>
      <c r="F120" s="73"/>
      <c r="G120" s="73"/>
      <c r="H120" s="73"/>
      <c r="I120" s="73"/>
      <c r="J120" s="73"/>
      <c r="K120" s="75"/>
      <c r="L120" s="73"/>
      <c r="M120" s="73"/>
      <c r="N120" s="73"/>
      <c r="O120" s="73"/>
      <c r="P120" s="75"/>
      <c r="Q120" s="73"/>
      <c r="R120" s="84"/>
      <c r="S120" s="76"/>
      <c r="T120" s="62"/>
      <c r="U120" s="62"/>
      <c r="V120" s="62"/>
      <c r="W120" s="62"/>
      <c r="X120" s="62"/>
      <c r="Y120" s="62"/>
      <c r="Z120" s="62"/>
    </row>
    <row r="121" spans="1:26" s="77" customFormat="1">
      <c r="A121" s="78"/>
      <c r="B121" s="79"/>
      <c r="C121" s="79"/>
      <c r="D121" s="79"/>
      <c r="E121" s="79"/>
      <c r="F121" s="79"/>
      <c r="G121" s="79"/>
      <c r="H121" s="79"/>
      <c r="I121" s="79"/>
      <c r="J121" s="79"/>
      <c r="K121" s="81"/>
      <c r="L121" s="79"/>
      <c r="M121" s="79"/>
      <c r="N121" s="79"/>
      <c r="O121" s="79"/>
      <c r="P121" s="81"/>
      <c r="Q121" s="79"/>
      <c r="R121" s="85"/>
      <c r="S121" s="82"/>
      <c r="T121" s="62"/>
      <c r="U121" s="62"/>
      <c r="V121" s="62"/>
      <c r="W121" s="62"/>
      <c r="X121" s="62"/>
      <c r="Y121" s="62"/>
      <c r="Z121" s="62"/>
    </row>
    <row r="122" spans="1:26" s="77" customFormat="1">
      <c r="A122" s="78"/>
      <c r="B122" s="73"/>
      <c r="C122" s="73"/>
      <c r="D122" s="73"/>
      <c r="E122" s="73"/>
      <c r="F122" s="73"/>
      <c r="G122" s="73"/>
      <c r="H122" s="73"/>
      <c r="I122" s="73"/>
      <c r="J122" s="73"/>
      <c r="K122" s="75"/>
      <c r="L122" s="73"/>
      <c r="M122" s="73"/>
      <c r="N122" s="73"/>
      <c r="O122" s="73"/>
      <c r="P122" s="75"/>
      <c r="Q122" s="73"/>
      <c r="R122" s="84"/>
      <c r="S122" s="76"/>
      <c r="T122" s="62"/>
      <c r="U122" s="62"/>
      <c r="V122" s="62"/>
      <c r="W122" s="62"/>
      <c r="X122" s="62"/>
      <c r="Y122" s="62"/>
      <c r="Z122" s="62"/>
    </row>
    <row r="123" spans="1:26" s="77" customFormat="1">
      <c r="A123" s="78"/>
      <c r="B123" s="79"/>
      <c r="C123" s="79"/>
      <c r="D123" s="79"/>
      <c r="E123" s="79"/>
      <c r="F123" s="79"/>
      <c r="G123" s="79"/>
      <c r="H123" s="79"/>
      <c r="I123" s="79"/>
      <c r="J123" s="79"/>
      <c r="K123" s="81"/>
      <c r="L123" s="79"/>
      <c r="M123" s="79"/>
      <c r="N123" s="79"/>
      <c r="O123" s="79"/>
      <c r="P123" s="81"/>
      <c r="Q123" s="79"/>
      <c r="R123" s="85"/>
      <c r="S123" s="82"/>
      <c r="T123" s="62"/>
      <c r="U123" s="62"/>
      <c r="V123" s="62"/>
      <c r="W123" s="62"/>
      <c r="X123" s="62"/>
      <c r="Y123" s="62"/>
      <c r="Z123" s="62"/>
    </row>
    <row r="124" spans="1:26" s="77" customFormat="1">
      <c r="A124" s="78"/>
      <c r="B124" s="73"/>
      <c r="C124" s="73"/>
      <c r="D124" s="73"/>
      <c r="E124" s="73"/>
      <c r="F124" s="73"/>
      <c r="G124" s="73"/>
      <c r="H124" s="73"/>
      <c r="I124" s="73"/>
      <c r="J124" s="73"/>
      <c r="K124" s="75"/>
      <c r="L124" s="73"/>
      <c r="M124" s="73"/>
      <c r="N124" s="73"/>
      <c r="O124" s="73"/>
      <c r="P124" s="75"/>
      <c r="Q124" s="73"/>
      <c r="R124" s="84"/>
      <c r="S124" s="76"/>
      <c r="T124" s="62"/>
      <c r="U124" s="62"/>
      <c r="V124" s="62"/>
      <c r="W124" s="62"/>
      <c r="X124" s="62"/>
      <c r="Y124" s="62"/>
      <c r="Z124" s="62"/>
    </row>
    <row r="125" spans="1:26" s="77" customFormat="1">
      <c r="A125" s="83"/>
      <c r="B125" s="79"/>
      <c r="C125" s="79"/>
      <c r="D125" s="79"/>
      <c r="E125" s="79"/>
      <c r="F125" s="79"/>
      <c r="G125" s="79"/>
      <c r="H125" s="79"/>
      <c r="I125" s="79"/>
      <c r="J125" s="79"/>
      <c r="K125" s="81"/>
      <c r="L125" s="79"/>
      <c r="M125" s="79"/>
      <c r="N125" s="79"/>
      <c r="O125" s="79"/>
      <c r="P125" s="81"/>
      <c r="Q125" s="79"/>
      <c r="R125" s="85"/>
      <c r="S125" s="82"/>
      <c r="T125" s="62"/>
      <c r="U125" s="62"/>
      <c r="V125" s="62"/>
      <c r="W125" s="62"/>
      <c r="X125" s="62"/>
      <c r="Y125" s="62"/>
      <c r="Z125" s="62"/>
    </row>
    <row r="126" spans="1:26" s="77" customFormat="1">
      <c r="A126" s="72"/>
      <c r="B126" s="73"/>
      <c r="C126" s="73"/>
      <c r="D126" s="73"/>
      <c r="E126" s="73"/>
      <c r="F126" s="73"/>
      <c r="G126" s="73"/>
      <c r="H126" s="73"/>
      <c r="I126" s="73"/>
      <c r="J126" s="73"/>
      <c r="K126" s="75"/>
      <c r="L126" s="73"/>
      <c r="M126" s="73"/>
      <c r="N126" s="73"/>
      <c r="O126" s="73"/>
      <c r="P126" s="75"/>
      <c r="Q126" s="73"/>
      <c r="R126" s="84"/>
      <c r="S126" s="76"/>
      <c r="T126" s="62"/>
      <c r="U126" s="62"/>
      <c r="V126" s="62"/>
      <c r="W126" s="62"/>
      <c r="X126" s="62"/>
      <c r="Y126" s="62"/>
      <c r="Z126" s="62"/>
    </row>
    <row r="127" spans="1:26" s="77" customFormat="1">
      <c r="A127" s="78"/>
      <c r="B127" s="79"/>
      <c r="C127" s="79"/>
      <c r="D127" s="79"/>
      <c r="E127" s="79"/>
      <c r="F127" s="79"/>
      <c r="G127" s="79"/>
      <c r="H127" s="79"/>
      <c r="I127" s="79"/>
      <c r="J127" s="79"/>
      <c r="K127" s="81"/>
      <c r="L127" s="79"/>
      <c r="M127" s="79"/>
      <c r="N127" s="79"/>
      <c r="O127" s="79"/>
      <c r="P127" s="81"/>
      <c r="Q127" s="79"/>
      <c r="R127" s="85"/>
      <c r="S127" s="82"/>
      <c r="T127" s="62"/>
      <c r="U127" s="62"/>
      <c r="V127" s="62"/>
      <c r="W127" s="62"/>
      <c r="X127" s="62"/>
      <c r="Y127" s="62"/>
      <c r="Z127" s="62"/>
    </row>
    <row r="128" spans="1:26" s="77" customFormat="1">
      <c r="A128" s="78"/>
      <c r="B128" s="73"/>
      <c r="C128" s="73"/>
      <c r="D128" s="73"/>
      <c r="E128" s="73"/>
      <c r="F128" s="73"/>
      <c r="G128" s="73"/>
      <c r="H128" s="73"/>
      <c r="I128" s="73"/>
      <c r="J128" s="73"/>
      <c r="K128" s="75"/>
      <c r="L128" s="73"/>
      <c r="M128" s="73"/>
      <c r="N128" s="73"/>
      <c r="O128" s="73"/>
      <c r="P128" s="75"/>
      <c r="Q128" s="73"/>
      <c r="R128" s="84"/>
      <c r="S128" s="76"/>
      <c r="T128" s="62"/>
      <c r="U128" s="62"/>
      <c r="V128" s="62"/>
      <c r="W128" s="62"/>
      <c r="X128" s="62"/>
      <c r="Y128" s="62"/>
      <c r="Z128" s="62"/>
    </row>
    <row r="129" spans="1:26" s="77" customFormat="1">
      <c r="A129" s="78"/>
      <c r="B129" s="79"/>
      <c r="C129" s="79"/>
      <c r="D129" s="79"/>
      <c r="E129" s="79"/>
      <c r="F129" s="79"/>
      <c r="G129" s="79"/>
      <c r="H129" s="79"/>
      <c r="I129" s="79"/>
      <c r="J129" s="79"/>
      <c r="K129" s="81"/>
      <c r="L129" s="79"/>
      <c r="M129" s="79"/>
      <c r="N129" s="79"/>
      <c r="O129" s="79"/>
      <c r="P129" s="81"/>
      <c r="Q129" s="79"/>
      <c r="R129" s="85"/>
      <c r="S129" s="82"/>
      <c r="T129" s="62"/>
      <c r="U129" s="62"/>
      <c r="V129" s="62"/>
      <c r="W129" s="62"/>
      <c r="X129" s="62"/>
      <c r="Y129" s="62"/>
      <c r="Z129" s="62"/>
    </row>
    <row r="130" spans="1:26" s="77" customFormat="1">
      <c r="A130" s="78"/>
      <c r="B130" s="73"/>
      <c r="C130" s="73"/>
      <c r="D130" s="73"/>
      <c r="E130" s="73"/>
      <c r="F130" s="73"/>
      <c r="G130" s="73"/>
      <c r="H130" s="73"/>
      <c r="I130" s="73"/>
      <c r="J130" s="73"/>
      <c r="K130" s="75"/>
      <c r="L130" s="73"/>
      <c r="M130" s="73"/>
      <c r="N130" s="73"/>
      <c r="O130" s="73"/>
      <c r="P130" s="75"/>
      <c r="Q130" s="73"/>
      <c r="R130" s="84"/>
      <c r="S130" s="76"/>
      <c r="T130" s="62"/>
      <c r="U130" s="62"/>
      <c r="V130" s="62"/>
      <c r="W130" s="62"/>
      <c r="X130" s="62"/>
      <c r="Y130" s="62"/>
      <c r="Z130" s="62"/>
    </row>
    <row r="131" spans="1:26" s="77" customFormat="1">
      <c r="A131" s="78"/>
      <c r="B131" s="79"/>
      <c r="C131" s="79"/>
      <c r="D131" s="79"/>
      <c r="E131" s="79"/>
      <c r="F131" s="79"/>
      <c r="G131" s="79"/>
      <c r="H131" s="79"/>
      <c r="I131" s="79"/>
      <c r="J131" s="79"/>
      <c r="K131" s="81"/>
      <c r="L131" s="79"/>
      <c r="M131" s="79"/>
      <c r="N131" s="79"/>
      <c r="O131" s="79"/>
      <c r="P131" s="81"/>
      <c r="Q131" s="79"/>
      <c r="R131" s="85"/>
      <c r="S131" s="82"/>
      <c r="T131" s="62"/>
      <c r="U131" s="62"/>
      <c r="V131" s="62"/>
      <c r="W131" s="62"/>
      <c r="X131" s="62"/>
      <c r="Y131" s="62"/>
      <c r="Z131" s="62"/>
    </row>
    <row r="132" spans="1:26" s="77" customFormat="1">
      <c r="A132" s="78"/>
      <c r="B132" s="73"/>
      <c r="C132" s="73"/>
      <c r="D132" s="73"/>
      <c r="E132" s="73"/>
      <c r="F132" s="73"/>
      <c r="G132" s="73"/>
      <c r="H132" s="73"/>
      <c r="I132" s="73"/>
      <c r="J132" s="73"/>
      <c r="K132" s="75"/>
      <c r="L132" s="73"/>
      <c r="M132" s="73"/>
      <c r="N132" s="73"/>
      <c r="O132" s="73"/>
      <c r="P132" s="75"/>
      <c r="Q132" s="73"/>
      <c r="R132" s="84"/>
      <c r="S132" s="76"/>
      <c r="T132" s="62"/>
      <c r="U132" s="62"/>
      <c r="V132" s="62"/>
      <c r="W132" s="62"/>
      <c r="X132" s="62"/>
      <c r="Y132" s="62"/>
      <c r="Z132" s="62"/>
    </row>
    <row r="133" spans="1:26" s="77" customFormat="1">
      <c r="A133" s="83"/>
      <c r="B133" s="79"/>
      <c r="C133" s="79"/>
      <c r="D133" s="79"/>
      <c r="E133" s="79"/>
      <c r="F133" s="79"/>
      <c r="G133" s="79"/>
      <c r="H133" s="79"/>
      <c r="I133" s="79"/>
      <c r="J133" s="79"/>
      <c r="K133" s="81"/>
      <c r="L133" s="79"/>
      <c r="M133" s="79"/>
      <c r="N133" s="79"/>
      <c r="O133" s="79"/>
      <c r="P133" s="81"/>
      <c r="Q133" s="79"/>
      <c r="R133" s="85"/>
      <c r="S133" s="82"/>
      <c r="T133" s="62"/>
      <c r="U133" s="62"/>
      <c r="V133" s="62"/>
      <c r="W133" s="62"/>
      <c r="X133" s="62"/>
      <c r="Y133" s="62"/>
      <c r="Z133" s="62"/>
    </row>
    <row r="134" spans="1:26" s="77" customFormat="1">
      <c r="B134" s="88"/>
      <c r="P134" s="89"/>
      <c r="S134" s="90"/>
      <c r="T134" s="90"/>
      <c r="U134" s="90"/>
      <c r="V134" s="90"/>
    </row>
    <row r="135" spans="1:26" s="77" customFormat="1">
      <c r="S135" s="90"/>
      <c r="T135" s="90"/>
      <c r="U135" s="90"/>
      <c r="V135" s="90"/>
    </row>
    <row r="136" spans="1:26" s="77" customFormat="1">
      <c r="S136" s="90"/>
      <c r="T136" s="90"/>
      <c r="U136" s="90"/>
      <c r="V136" s="90"/>
    </row>
    <row r="137" spans="1:26" s="77" customFormat="1">
      <c r="B137" s="88"/>
      <c r="P137" s="89"/>
      <c r="S137" s="90"/>
      <c r="T137" s="90"/>
      <c r="U137" s="90"/>
      <c r="V137" s="90"/>
    </row>
    <row r="138" spans="1:26" s="77" customFormat="1">
      <c r="S138" s="90"/>
      <c r="T138" s="90"/>
      <c r="U138" s="90"/>
      <c r="V138" s="90"/>
    </row>
    <row r="139" spans="1:26" s="77" customFormat="1">
      <c r="S139" s="90"/>
      <c r="T139" s="90"/>
      <c r="U139" s="90"/>
      <c r="V139" s="90"/>
    </row>
    <row r="140" spans="1:26" s="77" customFormat="1">
      <c r="B140" s="88"/>
      <c r="P140" s="89"/>
      <c r="S140" s="90"/>
      <c r="T140" s="90"/>
      <c r="U140" s="90"/>
      <c r="V140" s="90"/>
    </row>
    <row r="141" spans="1:26" s="77" customFormat="1">
      <c r="S141" s="90"/>
      <c r="T141" s="90"/>
      <c r="U141" s="90"/>
      <c r="V141" s="90"/>
    </row>
    <row r="142" spans="1:26" s="77" customFormat="1">
      <c r="S142" s="90"/>
      <c r="T142" s="90"/>
      <c r="U142" s="90"/>
      <c r="V142" s="90"/>
    </row>
    <row r="143" spans="1:26" s="77" customFormat="1">
      <c r="B143" s="88"/>
      <c r="P143" s="89"/>
      <c r="S143" s="90"/>
      <c r="T143" s="90"/>
      <c r="U143" s="90"/>
      <c r="V143" s="90"/>
    </row>
    <row r="144" spans="1:26" s="77" customFormat="1">
      <c r="S144" s="90"/>
      <c r="T144" s="90"/>
      <c r="U144" s="90"/>
      <c r="V144" s="90"/>
    </row>
    <row r="145" spans="2:22" s="77" customFormat="1">
      <c r="S145" s="90"/>
      <c r="T145" s="90"/>
      <c r="U145" s="90"/>
      <c r="V145" s="90"/>
    </row>
    <row r="146" spans="2:22" s="77" customFormat="1">
      <c r="B146" s="88"/>
      <c r="P146" s="89"/>
      <c r="S146" s="90"/>
      <c r="T146" s="90"/>
      <c r="U146" s="90"/>
      <c r="V146" s="90"/>
    </row>
    <row r="147" spans="2:22" s="77" customFormat="1">
      <c r="S147" s="90"/>
      <c r="T147" s="90"/>
      <c r="U147" s="90"/>
      <c r="V147" s="90"/>
    </row>
    <row r="148" spans="2:22" s="77" customFormat="1">
      <c r="S148" s="90"/>
      <c r="T148" s="90"/>
      <c r="U148" s="90"/>
      <c r="V148" s="90"/>
    </row>
    <row r="149" spans="2:22" s="77" customFormat="1">
      <c r="B149" s="88"/>
      <c r="P149" s="89"/>
      <c r="S149" s="90"/>
      <c r="T149" s="90"/>
      <c r="U149" s="90"/>
      <c r="V149" s="90"/>
    </row>
    <row r="150" spans="2:22" s="77" customFormat="1">
      <c r="S150" s="90"/>
      <c r="T150" s="90"/>
      <c r="U150" s="90"/>
      <c r="V150" s="90"/>
    </row>
    <row r="151" spans="2:22" s="77" customFormat="1">
      <c r="S151" s="90"/>
      <c r="T151" s="90"/>
      <c r="U151" s="90"/>
      <c r="V151" s="90"/>
    </row>
    <row r="152" spans="2:22" s="77" customFormat="1">
      <c r="B152" s="88"/>
      <c r="P152" s="89"/>
      <c r="S152" s="90"/>
      <c r="T152" s="90"/>
      <c r="U152" s="90"/>
      <c r="V152" s="90"/>
    </row>
    <row r="153" spans="2:22" s="77" customFormat="1">
      <c r="S153" s="90"/>
      <c r="T153" s="90"/>
      <c r="U153" s="90"/>
      <c r="V153" s="90"/>
    </row>
    <row r="154" spans="2:22" s="77" customFormat="1">
      <c r="S154" s="90"/>
      <c r="T154" s="90"/>
      <c r="U154" s="90"/>
      <c r="V154" s="90"/>
    </row>
    <row r="155" spans="2:22" s="77" customFormat="1">
      <c r="B155" s="88"/>
      <c r="P155" s="89"/>
      <c r="S155" s="90"/>
      <c r="T155" s="90"/>
      <c r="U155" s="90"/>
      <c r="V155" s="90"/>
    </row>
    <row r="156" spans="2:22" s="77" customFormat="1">
      <c r="S156" s="90"/>
      <c r="T156" s="90"/>
      <c r="U156" s="90"/>
      <c r="V156" s="90"/>
    </row>
    <row r="157" spans="2:22" s="77" customFormat="1">
      <c r="S157" s="90"/>
      <c r="T157" s="90"/>
      <c r="U157" s="90"/>
      <c r="V157" s="90"/>
    </row>
    <row r="158" spans="2:22" s="77" customFormat="1">
      <c r="B158" s="88"/>
      <c r="P158" s="89"/>
      <c r="S158" s="90"/>
      <c r="T158" s="90"/>
      <c r="U158" s="90"/>
      <c r="V158" s="90"/>
    </row>
    <row r="159" spans="2:22" s="77" customFormat="1">
      <c r="S159" s="90"/>
      <c r="T159" s="90"/>
      <c r="U159" s="90"/>
      <c r="V159" s="90"/>
    </row>
    <row r="160" spans="2:22" s="77" customFormat="1">
      <c r="S160" s="90"/>
      <c r="T160" s="90"/>
      <c r="U160" s="90"/>
      <c r="V160" s="90"/>
    </row>
    <row r="161" spans="2:22" s="77" customFormat="1">
      <c r="B161" s="88"/>
      <c r="P161" s="89"/>
      <c r="S161" s="90"/>
      <c r="T161" s="90"/>
      <c r="U161" s="90"/>
      <c r="V161" s="90"/>
    </row>
    <row r="162" spans="2:22" s="77" customFormat="1">
      <c r="S162" s="90"/>
      <c r="T162" s="90"/>
      <c r="U162" s="90"/>
      <c r="V162" s="90"/>
    </row>
    <row r="163" spans="2:22" s="77" customFormat="1">
      <c r="S163" s="90"/>
      <c r="T163" s="90"/>
      <c r="U163" s="90"/>
      <c r="V163" s="90"/>
    </row>
    <row r="164" spans="2:22" s="77" customFormat="1">
      <c r="B164" s="88"/>
      <c r="P164" s="89"/>
      <c r="S164" s="90"/>
      <c r="T164" s="90"/>
      <c r="U164" s="90"/>
      <c r="V164" s="90"/>
    </row>
    <row r="165" spans="2:22" s="77" customFormat="1">
      <c r="S165" s="90"/>
      <c r="T165" s="90"/>
      <c r="U165" s="90"/>
      <c r="V165" s="90"/>
    </row>
    <row r="166" spans="2:22" s="77" customFormat="1">
      <c r="S166" s="90"/>
      <c r="T166" s="90"/>
      <c r="U166" s="90"/>
      <c r="V166" s="90"/>
    </row>
    <row r="167" spans="2:22" s="77" customFormat="1">
      <c r="B167" s="88"/>
      <c r="P167" s="89"/>
      <c r="S167" s="90"/>
      <c r="T167" s="90"/>
      <c r="U167" s="90"/>
      <c r="V167" s="90"/>
    </row>
    <row r="168" spans="2:22" s="77" customFormat="1">
      <c r="S168" s="90"/>
      <c r="T168" s="90"/>
      <c r="U168" s="90"/>
      <c r="V168" s="90"/>
    </row>
    <row r="169" spans="2:22" s="77" customFormat="1">
      <c r="S169" s="90"/>
      <c r="T169" s="90"/>
      <c r="U169" s="90"/>
      <c r="V169" s="90"/>
    </row>
    <row r="170" spans="2:22" s="77" customFormat="1">
      <c r="B170" s="88"/>
      <c r="P170" s="89"/>
      <c r="S170" s="90"/>
      <c r="T170" s="90"/>
      <c r="U170" s="90"/>
      <c r="V170" s="90"/>
    </row>
    <row r="171" spans="2:22" s="77" customFormat="1">
      <c r="S171" s="90"/>
      <c r="T171" s="90"/>
      <c r="U171" s="90"/>
      <c r="V171" s="90"/>
    </row>
    <row r="172" spans="2:22" s="77" customFormat="1">
      <c r="S172" s="90"/>
      <c r="T172" s="90"/>
      <c r="U172" s="90"/>
      <c r="V172" s="90"/>
    </row>
    <row r="173" spans="2:22" s="77" customFormat="1">
      <c r="B173" s="88"/>
      <c r="P173" s="89"/>
      <c r="S173" s="90"/>
      <c r="T173" s="90"/>
      <c r="U173" s="90"/>
      <c r="V173" s="90"/>
    </row>
    <row r="174" spans="2:22" s="77" customFormat="1">
      <c r="S174" s="90"/>
      <c r="T174" s="90"/>
      <c r="U174" s="90"/>
      <c r="V174" s="90"/>
    </row>
    <row r="175" spans="2:22" s="77" customFormat="1">
      <c r="S175" s="90"/>
      <c r="T175" s="90"/>
      <c r="U175" s="90"/>
      <c r="V175" s="90"/>
    </row>
    <row r="176" spans="2:22" s="77" customFormat="1">
      <c r="B176" s="88"/>
      <c r="P176" s="89"/>
      <c r="S176" s="90"/>
      <c r="T176" s="90"/>
      <c r="U176" s="90"/>
      <c r="V176" s="90"/>
    </row>
    <row r="177" spans="2:22" s="77" customFormat="1">
      <c r="S177" s="90"/>
      <c r="T177" s="90"/>
      <c r="U177" s="90"/>
      <c r="V177" s="90"/>
    </row>
    <row r="178" spans="2:22" s="77" customFormat="1">
      <c r="S178" s="90"/>
      <c r="T178" s="90"/>
      <c r="U178" s="90"/>
      <c r="V178" s="90"/>
    </row>
    <row r="179" spans="2:22" s="77" customFormat="1">
      <c r="B179" s="88"/>
      <c r="P179" s="89"/>
      <c r="S179" s="90"/>
      <c r="T179" s="90"/>
      <c r="U179" s="90"/>
      <c r="V179" s="90"/>
    </row>
    <row r="180" spans="2:22" s="77" customFormat="1">
      <c r="S180" s="90"/>
      <c r="T180" s="90"/>
      <c r="U180" s="90"/>
      <c r="V180" s="90"/>
    </row>
    <row r="181" spans="2:22" s="77" customFormat="1">
      <c r="S181" s="90"/>
      <c r="T181" s="90"/>
      <c r="U181" s="90"/>
      <c r="V181" s="90"/>
    </row>
    <row r="182" spans="2:22" s="77" customFormat="1">
      <c r="B182" s="88"/>
      <c r="P182" s="89"/>
      <c r="S182" s="90"/>
      <c r="T182" s="90"/>
      <c r="U182" s="90"/>
      <c r="V182" s="90"/>
    </row>
    <row r="183" spans="2:22" s="77" customFormat="1">
      <c r="S183" s="90"/>
      <c r="T183" s="90"/>
      <c r="U183" s="90"/>
      <c r="V183" s="90"/>
    </row>
    <row r="184" spans="2:22" s="77" customFormat="1">
      <c r="S184" s="90"/>
      <c r="T184" s="90"/>
      <c r="U184" s="90"/>
      <c r="V184" s="90"/>
    </row>
    <row r="185" spans="2:22" s="77" customFormat="1">
      <c r="B185" s="88"/>
      <c r="P185" s="89"/>
      <c r="S185" s="90"/>
      <c r="T185" s="90"/>
      <c r="U185" s="90"/>
      <c r="V185" s="90"/>
    </row>
    <row r="186" spans="2:22" s="77" customFormat="1">
      <c r="S186" s="90"/>
      <c r="T186" s="90"/>
      <c r="U186" s="90"/>
      <c r="V186" s="90"/>
    </row>
    <row r="187" spans="2:22" s="77" customFormat="1">
      <c r="S187" s="90"/>
      <c r="T187" s="90"/>
      <c r="U187" s="90"/>
      <c r="V187" s="90"/>
    </row>
    <row r="188" spans="2:22" s="77" customFormat="1">
      <c r="B188" s="88"/>
      <c r="P188" s="89"/>
      <c r="S188" s="90"/>
      <c r="T188" s="90"/>
      <c r="U188" s="90"/>
      <c r="V188" s="90"/>
    </row>
    <row r="189" spans="2:22" s="77" customFormat="1">
      <c r="S189" s="90"/>
      <c r="T189" s="90"/>
      <c r="U189" s="90"/>
      <c r="V189" s="90"/>
    </row>
    <row r="190" spans="2:22" s="77" customFormat="1">
      <c r="S190" s="90"/>
      <c r="T190" s="90"/>
      <c r="U190" s="90"/>
      <c r="V190" s="90"/>
    </row>
    <row r="191" spans="2:22" s="77" customFormat="1">
      <c r="B191" s="88"/>
      <c r="P191" s="89"/>
      <c r="S191" s="90"/>
      <c r="T191" s="90"/>
      <c r="U191" s="90"/>
      <c r="V191" s="90"/>
    </row>
    <row r="192" spans="2:22" s="77" customFormat="1">
      <c r="S192" s="90"/>
      <c r="T192" s="90"/>
      <c r="U192" s="90"/>
      <c r="V192" s="90"/>
    </row>
    <row r="193" spans="2:22" s="77" customFormat="1">
      <c r="S193" s="90"/>
      <c r="T193" s="90"/>
      <c r="U193" s="90"/>
      <c r="V193" s="90"/>
    </row>
    <row r="194" spans="2:22" s="77" customFormat="1">
      <c r="B194" s="88"/>
      <c r="P194" s="89"/>
      <c r="S194" s="90"/>
      <c r="T194" s="90"/>
      <c r="U194" s="90"/>
      <c r="V194" s="90"/>
    </row>
    <row r="195" spans="2:22" s="77" customFormat="1">
      <c r="S195" s="90"/>
      <c r="T195" s="90"/>
      <c r="U195" s="90"/>
      <c r="V195" s="90"/>
    </row>
    <row r="196" spans="2:22" s="77" customFormat="1">
      <c r="S196" s="90"/>
      <c r="T196" s="90"/>
      <c r="U196" s="90"/>
      <c r="V196" s="90"/>
    </row>
    <row r="197" spans="2:22" s="77" customFormat="1">
      <c r="B197" s="88"/>
      <c r="P197" s="89"/>
      <c r="S197" s="90"/>
      <c r="T197" s="90"/>
      <c r="U197" s="90"/>
      <c r="V197" s="90"/>
    </row>
    <row r="198" spans="2:22" s="77" customFormat="1">
      <c r="S198" s="90"/>
      <c r="T198" s="90"/>
      <c r="U198" s="90"/>
      <c r="V198" s="90"/>
    </row>
    <row r="199" spans="2:22" s="77" customFormat="1">
      <c r="S199" s="90"/>
      <c r="T199" s="90"/>
      <c r="U199" s="90"/>
      <c r="V199" s="90"/>
    </row>
    <row r="200" spans="2:22" s="77" customFormat="1">
      <c r="B200" s="88"/>
      <c r="P200" s="89"/>
      <c r="S200" s="90"/>
      <c r="T200" s="90"/>
      <c r="U200" s="90"/>
      <c r="V200" s="90"/>
    </row>
    <row r="201" spans="2:22" s="77" customFormat="1">
      <c r="S201" s="90"/>
      <c r="T201" s="90"/>
      <c r="U201" s="90"/>
      <c r="V201" s="90"/>
    </row>
    <row r="202" spans="2:22" s="77" customFormat="1">
      <c r="S202" s="90"/>
      <c r="T202" s="90"/>
      <c r="U202" s="90"/>
      <c r="V202" s="90"/>
    </row>
    <row r="203" spans="2:22" s="77" customFormat="1">
      <c r="B203" s="88"/>
      <c r="P203" s="89"/>
      <c r="S203" s="90"/>
      <c r="T203" s="90"/>
      <c r="U203" s="90"/>
      <c r="V203" s="90"/>
    </row>
    <row r="204" spans="2:22" s="77" customFormat="1">
      <c r="S204" s="90"/>
      <c r="T204" s="90"/>
      <c r="U204" s="90"/>
      <c r="V204" s="90"/>
    </row>
    <row r="205" spans="2:22" s="77" customFormat="1">
      <c r="S205" s="90"/>
      <c r="T205" s="90"/>
      <c r="U205" s="90"/>
      <c r="V205" s="90"/>
    </row>
    <row r="206" spans="2:22" s="77" customFormat="1">
      <c r="B206" s="88"/>
      <c r="P206" s="89"/>
      <c r="S206" s="90"/>
      <c r="T206" s="90"/>
      <c r="U206" s="90"/>
      <c r="V206" s="90"/>
    </row>
    <row r="207" spans="2:22" s="77" customFormat="1">
      <c r="S207" s="90"/>
      <c r="T207" s="90"/>
      <c r="U207" s="90"/>
      <c r="V207" s="90"/>
    </row>
    <row r="208" spans="2:22" s="77" customFormat="1">
      <c r="S208" s="90"/>
      <c r="T208" s="90"/>
      <c r="U208" s="90"/>
      <c r="V208" s="90"/>
    </row>
    <row r="209" spans="2:22" s="77" customFormat="1">
      <c r="B209" s="88"/>
      <c r="P209" s="89"/>
      <c r="S209" s="90"/>
      <c r="T209" s="90"/>
      <c r="U209" s="90"/>
      <c r="V209" s="90"/>
    </row>
    <row r="210" spans="2:22" s="77" customFormat="1">
      <c r="S210" s="90"/>
      <c r="T210" s="90"/>
      <c r="U210" s="90"/>
      <c r="V210" s="90"/>
    </row>
    <row r="211" spans="2:22" s="77" customFormat="1">
      <c r="S211" s="90"/>
      <c r="T211" s="90"/>
      <c r="U211" s="90"/>
      <c r="V211" s="90"/>
    </row>
    <row r="212" spans="2:22" s="77" customFormat="1">
      <c r="B212" s="88"/>
      <c r="P212" s="89"/>
      <c r="S212" s="90"/>
      <c r="T212" s="90"/>
      <c r="U212" s="90"/>
      <c r="V212" s="90"/>
    </row>
    <row r="213" spans="2:22" s="77" customFormat="1">
      <c r="S213" s="90"/>
      <c r="T213" s="90"/>
      <c r="U213" s="90"/>
      <c r="V213" s="90"/>
    </row>
    <row r="214" spans="2:22" s="77" customFormat="1">
      <c r="S214" s="90"/>
      <c r="T214" s="90"/>
      <c r="U214" s="90"/>
      <c r="V214" s="90"/>
    </row>
    <row r="215" spans="2:22" s="77" customFormat="1">
      <c r="B215" s="88"/>
      <c r="P215" s="89"/>
      <c r="S215" s="90"/>
      <c r="T215" s="90"/>
      <c r="U215" s="90"/>
      <c r="V215" s="90"/>
    </row>
    <row r="216" spans="2:22" s="77" customFormat="1">
      <c r="S216" s="90"/>
      <c r="T216" s="90"/>
      <c r="U216" s="90"/>
      <c r="V216" s="90"/>
    </row>
    <row r="217" spans="2:22" s="77" customFormat="1">
      <c r="S217" s="90"/>
      <c r="T217" s="90"/>
      <c r="U217" s="90"/>
      <c r="V217" s="90"/>
    </row>
    <row r="218" spans="2:22" s="77" customFormat="1">
      <c r="B218" s="88"/>
      <c r="P218" s="89"/>
      <c r="S218" s="90"/>
      <c r="T218" s="90"/>
      <c r="U218" s="90"/>
      <c r="V218" s="90"/>
    </row>
    <row r="219" spans="2:22" s="77" customFormat="1">
      <c r="S219" s="90"/>
      <c r="T219" s="90"/>
      <c r="U219" s="90"/>
      <c r="V219" s="90"/>
    </row>
    <row r="220" spans="2:22" s="77" customFormat="1">
      <c r="S220" s="90"/>
      <c r="T220" s="90"/>
      <c r="U220" s="90"/>
      <c r="V220" s="90"/>
    </row>
    <row r="221" spans="2:22" s="77" customFormat="1">
      <c r="B221" s="88"/>
      <c r="P221" s="89"/>
      <c r="S221" s="90"/>
      <c r="T221" s="90"/>
      <c r="U221" s="90"/>
      <c r="V221" s="90"/>
    </row>
    <row r="222" spans="2:22" s="77" customFormat="1">
      <c r="S222" s="90"/>
      <c r="T222" s="90"/>
      <c r="U222" s="90"/>
      <c r="V222" s="90"/>
    </row>
    <row r="223" spans="2:22" s="77" customFormat="1">
      <c r="S223" s="90"/>
      <c r="T223" s="90"/>
      <c r="U223" s="90"/>
      <c r="V223" s="90"/>
    </row>
    <row r="224" spans="2:22" s="77" customFormat="1">
      <c r="B224" s="88"/>
      <c r="P224" s="89"/>
      <c r="S224" s="90"/>
      <c r="T224" s="90"/>
      <c r="U224" s="90"/>
      <c r="V224" s="90"/>
    </row>
    <row r="225" spans="2:22" s="77" customFormat="1">
      <c r="S225" s="90"/>
      <c r="T225" s="90"/>
      <c r="U225" s="90"/>
      <c r="V225" s="90"/>
    </row>
    <row r="226" spans="2:22" s="77" customFormat="1">
      <c r="S226" s="90"/>
      <c r="T226" s="90"/>
      <c r="U226" s="90"/>
      <c r="V226" s="90"/>
    </row>
    <row r="227" spans="2:22" s="77" customFormat="1">
      <c r="B227" s="88"/>
      <c r="P227" s="89"/>
      <c r="S227" s="90"/>
      <c r="T227" s="90"/>
      <c r="U227" s="90"/>
      <c r="V227" s="90"/>
    </row>
    <row r="228" spans="2:22" s="77" customFormat="1">
      <c r="S228" s="90"/>
      <c r="T228" s="90"/>
      <c r="U228" s="90"/>
      <c r="V228" s="90"/>
    </row>
    <row r="229" spans="2:22" s="77" customFormat="1">
      <c r="S229" s="90"/>
      <c r="T229" s="90"/>
      <c r="U229" s="90"/>
      <c r="V229" s="90"/>
    </row>
    <row r="230" spans="2:22" s="77" customFormat="1">
      <c r="B230" s="88"/>
      <c r="P230" s="89"/>
      <c r="S230" s="90"/>
      <c r="T230" s="90"/>
      <c r="U230" s="90"/>
      <c r="V230" s="90"/>
    </row>
    <row r="231" spans="2:22" s="77" customFormat="1">
      <c r="S231" s="90"/>
      <c r="T231" s="90"/>
      <c r="U231" s="90"/>
      <c r="V231" s="90"/>
    </row>
    <row r="232" spans="2:22" s="77" customFormat="1">
      <c r="S232" s="90"/>
      <c r="T232" s="90"/>
      <c r="U232" s="90"/>
      <c r="V232" s="90"/>
    </row>
    <row r="233" spans="2:22" s="77" customFormat="1">
      <c r="B233" s="88"/>
      <c r="P233" s="89"/>
      <c r="S233" s="90"/>
      <c r="T233" s="90"/>
      <c r="U233" s="90"/>
      <c r="V233" s="90"/>
    </row>
    <row r="234" spans="2:22" s="77" customFormat="1">
      <c r="S234" s="90"/>
      <c r="T234" s="90"/>
      <c r="U234" s="90"/>
      <c r="V234" s="90"/>
    </row>
    <row r="235" spans="2:22" s="77" customFormat="1">
      <c r="S235" s="90"/>
      <c r="T235" s="90"/>
      <c r="U235" s="90"/>
      <c r="V235" s="90"/>
    </row>
    <row r="236" spans="2:22" s="77" customFormat="1">
      <c r="B236" s="88"/>
      <c r="P236" s="89"/>
      <c r="S236" s="90"/>
      <c r="T236" s="90"/>
      <c r="U236" s="90"/>
      <c r="V236" s="90"/>
    </row>
    <row r="237" spans="2:22" s="77" customFormat="1">
      <c r="S237" s="90"/>
      <c r="T237" s="90"/>
      <c r="U237" s="90"/>
      <c r="V237" s="90"/>
    </row>
    <row r="238" spans="2:22" s="77" customFormat="1">
      <c r="S238" s="90"/>
      <c r="T238" s="90"/>
      <c r="U238" s="90"/>
      <c r="V238" s="90"/>
    </row>
    <row r="239" spans="2:22" s="77" customFormat="1">
      <c r="B239" s="88"/>
      <c r="P239" s="89"/>
      <c r="S239" s="90"/>
      <c r="T239" s="90"/>
      <c r="U239" s="90"/>
      <c r="V239" s="90"/>
    </row>
    <row r="240" spans="2:22" s="77" customFormat="1">
      <c r="S240" s="90"/>
      <c r="T240" s="90"/>
      <c r="U240" s="90"/>
      <c r="V240" s="90"/>
    </row>
    <row r="241" spans="2:22" s="77" customFormat="1">
      <c r="S241" s="90"/>
      <c r="T241" s="90"/>
      <c r="U241" s="90"/>
      <c r="V241" s="90"/>
    </row>
    <row r="242" spans="2:22" s="77" customFormat="1">
      <c r="B242" s="88"/>
      <c r="P242" s="89"/>
      <c r="S242" s="90"/>
      <c r="T242" s="90"/>
      <c r="U242" s="90"/>
      <c r="V242" s="90"/>
    </row>
    <row r="243" spans="2:22" s="77" customFormat="1">
      <c r="S243" s="90"/>
      <c r="T243" s="90"/>
      <c r="U243" s="90"/>
      <c r="V243" s="90"/>
    </row>
    <row r="244" spans="2:22" s="77" customFormat="1">
      <c r="S244" s="90"/>
      <c r="T244" s="90"/>
      <c r="U244" s="90"/>
      <c r="V244" s="90"/>
    </row>
    <row r="245" spans="2:22" s="77" customFormat="1">
      <c r="B245" s="88"/>
      <c r="P245" s="89"/>
      <c r="S245" s="90"/>
      <c r="T245" s="90"/>
      <c r="U245" s="90"/>
      <c r="V245" s="90"/>
    </row>
    <row r="246" spans="2:22" s="77" customFormat="1">
      <c r="S246" s="90"/>
      <c r="T246" s="90"/>
      <c r="U246" s="90"/>
      <c r="V246" s="90"/>
    </row>
    <row r="247" spans="2:22" s="77" customFormat="1">
      <c r="S247" s="90"/>
      <c r="T247" s="90"/>
      <c r="U247" s="90"/>
      <c r="V247" s="90"/>
    </row>
    <row r="248" spans="2:22" s="77" customFormat="1">
      <c r="B248" s="88"/>
      <c r="P248" s="89"/>
      <c r="S248" s="90"/>
      <c r="T248" s="90"/>
      <c r="U248" s="90"/>
      <c r="V248" s="90"/>
    </row>
    <row r="249" spans="2:22" s="77" customFormat="1">
      <c r="S249" s="90"/>
      <c r="T249" s="90"/>
      <c r="U249" s="90"/>
      <c r="V249" s="90"/>
    </row>
    <row r="250" spans="2:22" s="77" customFormat="1">
      <c r="S250" s="90"/>
      <c r="T250" s="90"/>
      <c r="U250" s="90"/>
      <c r="V250" s="90"/>
    </row>
    <row r="251" spans="2:22" s="77" customFormat="1">
      <c r="B251" s="88"/>
      <c r="P251" s="89"/>
      <c r="S251" s="90"/>
      <c r="T251" s="90"/>
      <c r="U251" s="90"/>
      <c r="V251" s="90"/>
    </row>
    <row r="252" spans="2:22" s="77" customFormat="1">
      <c r="S252" s="90"/>
      <c r="T252" s="90"/>
      <c r="U252" s="90"/>
      <c r="V252" s="90"/>
    </row>
    <row r="253" spans="2:22" s="77" customFormat="1">
      <c r="S253" s="90"/>
      <c r="T253" s="90"/>
      <c r="U253" s="90"/>
      <c r="V253" s="90"/>
    </row>
    <row r="254" spans="2:22" s="77" customFormat="1">
      <c r="B254" s="88"/>
      <c r="P254" s="89"/>
      <c r="S254" s="90"/>
      <c r="T254" s="90"/>
      <c r="U254" s="90"/>
      <c r="V254" s="90"/>
    </row>
    <row r="255" spans="2:22" s="77" customFormat="1">
      <c r="S255" s="90"/>
      <c r="T255" s="90"/>
      <c r="U255" s="90"/>
      <c r="V255" s="90"/>
    </row>
    <row r="256" spans="2:22" s="77" customFormat="1">
      <c r="S256" s="90"/>
      <c r="T256" s="90"/>
      <c r="U256" s="90"/>
      <c r="V256" s="90"/>
    </row>
    <row r="257" spans="2:22" s="77" customFormat="1">
      <c r="B257" s="88"/>
      <c r="P257" s="89"/>
      <c r="S257" s="90"/>
      <c r="T257" s="90"/>
      <c r="U257" s="90"/>
      <c r="V257" s="90"/>
    </row>
    <row r="258" spans="2:22" s="77" customFormat="1">
      <c r="S258" s="90"/>
      <c r="T258" s="90"/>
      <c r="U258" s="90"/>
      <c r="V258" s="90"/>
    </row>
    <row r="259" spans="2:22" s="77" customFormat="1">
      <c r="S259" s="90"/>
      <c r="T259" s="90"/>
      <c r="U259" s="90"/>
      <c r="V259" s="90"/>
    </row>
    <row r="260" spans="2:22" s="77" customFormat="1">
      <c r="B260" s="88"/>
      <c r="P260" s="89"/>
      <c r="S260" s="90"/>
      <c r="T260" s="90"/>
      <c r="U260" s="90"/>
      <c r="V260" s="90"/>
    </row>
    <row r="261" spans="2:22" s="77" customFormat="1">
      <c r="S261" s="90"/>
      <c r="T261" s="90"/>
      <c r="U261" s="90"/>
      <c r="V261" s="90"/>
    </row>
    <row r="262" spans="2:22" s="77" customFormat="1">
      <c r="S262" s="90"/>
      <c r="T262" s="90"/>
      <c r="U262" s="90"/>
      <c r="V262" s="90"/>
    </row>
    <row r="263" spans="2:22" s="77" customFormat="1">
      <c r="B263" s="88"/>
      <c r="P263" s="89"/>
      <c r="S263" s="90"/>
      <c r="T263" s="90"/>
      <c r="U263" s="90"/>
      <c r="V263" s="90"/>
    </row>
    <row r="264" spans="2:22" s="77" customFormat="1">
      <c r="S264" s="90"/>
      <c r="T264" s="90"/>
      <c r="U264" s="90"/>
      <c r="V264" s="90"/>
    </row>
    <row r="265" spans="2:22" s="77" customFormat="1">
      <c r="S265" s="90"/>
      <c r="T265" s="90"/>
      <c r="U265" s="90"/>
      <c r="V265" s="90"/>
    </row>
    <row r="266" spans="2:22" s="77" customFormat="1">
      <c r="B266" s="88"/>
      <c r="P266" s="89"/>
      <c r="S266" s="90"/>
      <c r="T266" s="90"/>
      <c r="U266" s="90"/>
      <c r="V266" s="90"/>
    </row>
    <row r="267" spans="2:22" s="77" customFormat="1">
      <c r="S267" s="90"/>
      <c r="T267" s="90"/>
      <c r="U267" s="90"/>
      <c r="V267" s="90"/>
    </row>
    <row r="268" spans="2:22" s="77" customFormat="1">
      <c r="S268" s="90"/>
      <c r="T268" s="90"/>
      <c r="U268" s="90"/>
      <c r="V268" s="90"/>
    </row>
    <row r="269" spans="2:22" s="77" customFormat="1">
      <c r="B269" s="88"/>
      <c r="P269" s="89"/>
      <c r="S269" s="90"/>
      <c r="T269" s="90"/>
      <c r="U269" s="90"/>
      <c r="V269" s="90"/>
    </row>
    <row r="270" spans="2:22" s="77" customFormat="1">
      <c r="S270" s="90"/>
      <c r="T270" s="90"/>
      <c r="U270" s="90"/>
      <c r="V270" s="90"/>
    </row>
    <row r="271" spans="2:22" s="77" customFormat="1">
      <c r="S271" s="90"/>
      <c r="T271" s="90"/>
      <c r="U271" s="90"/>
      <c r="V271" s="90"/>
    </row>
    <row r="272" spans="2:22" s="77" customFormat="1">
      <c r="B272" s="88"/>
      <c r="P272" s="89"/>
      <c r="S272" s="90"/>
      <c r="T272" s="90"/>
      <c r="U272" s="90"/>
      <c r="V272" s="90"/>
    </row>
    <row r="273" spans="2:22" s="77" customFormat="1">
      <c r="S273" s="90"/>
      <c r="T273" s="90"/>
      <c r="U273" s="90"/>
      <c r="V273" s="90"/>
    </row>
    <row r="274" spans="2:22" s="77" customFormat="1">
      <c r="S274" s="90"/>
      <c r="T274" s="90"/>
      <c r="U274" s="90"/>
      <c r="V274" s="90"/>
    </row>
    <row r="275" spans="2:22" s="77" customFormat="1">
      <c r="B275" s="88"/>
      <c r="P275" s="89"/>
      <c r="S275" s="90"/>
      <c r="T275" s="90"/>
      <c r="U275" s="90"/>
      <c r="V275" s="90"/>
    </row>
    <row r="276" spans="2:22" s="77" customFormat="1">
      <c r="S276" s="90"/>
      <c r="T276" s="90"/>
      <c r="U276" s="90"/>
      <c r="V276" s="90"/>
    </row>
    <row r="277" spans="2:22" s="77" customFormat="1">
      <c r="S277" s="90"/>
      <c r="T277" s="90"/>
      <c r="U277" s="90"/>
      <c r="V277" s="90"/>
    </row>
    <row r="278" spans="2:22" s="77" customFormat="1">
      <c r="B278" s="88"/>
      <c r="P278" s="89"/>
      <c r="S278" s="91"/>
      <c r="T278" s="90"/>
      <c r="U278" s="90"/>
      <c r="V278" s="90"/>
    </row>
    <row r="279" spans="2:22" s="77" customFormat="1">
      <c r="S279" s="90"/>
      <c r="T279" s="90"/>
      <c r="U279" s="90"/>
      <c r="V279" s="90"/>
    </row>
    <row r="280" spans="2:22" s="77" customFormat="1">
      <c r="S280" s="90"/>
      <c r="T280" s="90"/>
      <c r="U280" s="90"/>
      <c r="V280" s="90"/>
    </row>
    <row r="281" spans="2:22" s="77" customFormat="1">
      <c r="B281" s="88"/>
      <c r="P281" s="89"/>
      <c r="S281" s="90"/>
      <c r="T281" s="90"/>
      <c r="U281" s="90"/>
      <c r="V281" s="90"/>
    </row>
    <row r="282" spans="2:22" s="77" customFormat="1">
      <c r="S282" s="90"/>
      <c r="T282" s="90"/>
      <c r="U282" s="90"/>
      <c r="V282" s="90"/>
    </row>
    <row r="283" spans="2:22" s="77" customFormat="1">
      <c r="S283" s="90"/>
      <c r="T283" s="90"/>
      <c r="U283" s="90"/>
      <c r="V283" s="90"/>
    </row>
    <row r="284" spans="2:22" s="77" customFormat="1">
      <c r="B284" s="88"/>
      <c r="P284" s="89"/>
      <c r="S284" s="90"/>
      <c r="T284" s="90"/>
      <c r="U284" s="90"/>
      <c r="V284" s="90"/>
    </row>
    <row r="285" spans="2:22" s="77" customFormat="1">
      <c r="S285" s="90"/>
      <c r="T285" s="90"/>
      <c r="U285" s="90"/>
      <c r="V285" s="90"/>
    </row>
    <row r="286" spans="2:22" s="77" customFormat="1">
      <c r="S286" s="90"/>
      <c r="T286" s="90"/>
      <c r="U286" s="90"/>
      <c r="V286" s="90"/>
    </row>
    <row r="287" spans="2:22" s="77" customFormat="1">
      <c r="B287" s="88"/>
      <c r="P287" s="89"/>
      <c r="S287" s="90"/>
      <c r="T287" s="90"/>
      <c r="U287" s="90"/>
      <c r="V287" s="90"/>
    </row>
    <row r="288" spans="2:22" s="77" customFormat="1">
      <c r="S288" s="90"/>
      <c r="T288" s="90"/>
      <c r="U288" s="90"/>
      <c r="V288" s="90"/>
    </row>
    <row r="289" spans="2:22" s="77" customFormat="1">
      <c r="S289" s="90"/>
      <c r="T289" s="90"/>
      <c r="U289" s="90"/>
      <c r="V289" s="90"/>
    </row>
    <row r="290" spans="2:22" s="77" customFormat="1">
      <c r="B290" s="88"/>
      <c r="P290" s="89"/>
      <c r="S290" s="90"/>
      <c r="T290" s="90"/>
      <c r="U290" s="90"/>
      <c r="V290" s="90"/>
    </row>
    <row r="291" spans="2:22" s="77" customFormat="1">
      <c r="S291" s="90"/>
      <c r="T291" s="90"/>
      <c r="U291" s="90"/>
      <c r="V291" s="90"/>
    </row>
    <row r="292" spans="2:22" s="77" customFormat="1">
      <c r="S292" s="90"/>
      <c r="T292" s="90"/>
      <c r="U292" s="90"/>
      <c r="V292" s="90"/>
    </row>
    <row r="293" spans="2:22" s="77" customFormat="1">
      <c r="B293" s="88"/>
      <c r="P293" s="89"/>
      <c r="S293" s="90"/>
      <c r="T293" s="90"/>
      <c r="U293" s="90"/>
      <c r="V293" s="90"/>
    </row>
    <row r="294" spans="2:22" s="77" customFormat="1">
      <c r="S294" s="90"/>
      <c r="T294" s="90"/>
      <c r="U294" s="90"/>
      <c r="V294" s="90"/>
    </row>
    <row r="295" spans="2:22" s="77" customFormat="1">
      <c r="S295" s="90"/>
      <c r="T295" s="90"/>
      <c r="U295" s="90"/>
      <c r="V295" s="90"/>
    </row>
    <row r="296" spans="2:22" s="77" customFormat="1">
      <c r="B296" s="88"/>
      <c r="P296" s="89"/>
      <c r="S296" s="91"/>
      <c r="T296" s="90"/>
      <c r="U296" s="90"/>
      <c r="V296" s="90"/>
    </row>
    <row r="297" spans="2:22" s="77" customFormat="1">
      <c r="S297" s="90"/>
      <c r="T297" s="90"/>
      <c r="U297" s="90"/>
      <c r="V297" s="90"/>
    </row>
    <row r="298" spans="2:22" s="77" customFormat="1">
      <c r="S298" s="90"/>
      <c r="T298" s="90"/>
      <c r="U298" s="90"/>
      <c r="V298" s="90"/>
    </row>
    <row r="299" spans="2:22" s="77" customFormat="1">
      <c r="B299" s="88"/>
      <c r="P299" s="89"/>
      <c r="S299" s="90"/>
      <c r="T299" s="90"/>
      <c r="U299" s="90"/>
      <c r="V299" s="90"/>
    </row>
    <row r="300" spans="2:22" s="77" customFormat="1">
      <c r="S300" s="90"/>
      <c r="T300" s="90"/>
      <c r="U300" s="90"/>
      <c r="V300" s="90"/>
    </row>
    <row r="301" spans="2:22" s="77" customFormat="1">
      <c r="S301" s="90"/>
      <c r="T301" s="90"/>
      <c r="U301" s="90"/>
      <c r="V301" s="90"/>
    </row>
    <row r="302" spans="2:22" s="77" customFormat="1">
      <c r="B302" s="88"/>
      <c r="P302" s="89"/>
      <c r="S302" s="90"/>
      <c r="T302" s="90"/>
      <c r="U302" s="90"/>
      <c r="V302" s="90"/>
    </row>
    <row r="303" spans="2:22" s="77" customFormat="1">
      <c r="S303" s="90"/>
      <c r="T303" s="90"/>
      <c r="U303" s="90"/>
      <c r="V303" s="90"/>
    </row>
    <row r="304" spans="2:22" s="77" customFormat="1">
      <c r="S304" s="90"/>
      <c r="T304" s="90"/>
      <c r="U304" s="90"/>
      <c r="V304" s="90"/>
    </row>
    <row r="305" spans="2:22" s="77" customFormat="1">
      <c r="B305" s="88"/>
      <c r="P305" s="89"/>
      <c r="S305" s="90"/>
      <c r="T305" s="90"/>
      <c r="U305" s="90"/>
      <c r="V305" s="90"/>
    </row>
    <row r="306" spans="2:22" s="77" customFormat="1">
      <c r="S306" s="90"/>
      <c r="T306" s="90"/>
      <c r="U306" s="90"/>
      <c r="V306" s="90"/>
    </row>
    <row r="307" spans="2:22" s="77" customFormat="1">
      <c r="S307" s="90"/>
      <c r="T307" s="90"/>
      <c r="U307" s="90"/>
      <c r="V307" s="90"/>
    </row>
    <row r="308" spans="2:22" s="77" customFormat="1">
      <c r="B308" s="88"/>
      <c r="P308" s="89"/>
      <c r="S308" s="90"/>
      <c r="T308" s="90"/>
      <c r="U308" s="90"/>
      <c r="V308" s="90"/>
    </row>
    <row r="309" spans="2:22" s="77" customFormat="1">
      <c r="S309" s="90"/>
      <c r="T309" s="90"/>
      <c r="U309" s="90"/>
      <c r="V309" s="90"/>
    </row>
    <row r="310" spans="2:22" s="77" customFormat="1">
      <c r="S310" s="90"/>
      <c r="T310" s="90"/>
      <c r="U310" s="90"/>
      <c r="V310" s="90"/>
    </row>
    <row r="311" spans="2:22" s="77" customFormat="1">
      <c r="B311" s="88"/>
      <c r="P311" s="89"/>
      <c r="S311" s="90"/>
      <c r="T311" s="90"/>
      <c r="U311" s="90"/>
      <c r="V311" s="90"/>
    </row>
    <row r="312" spans="2:22" s="77" customFormat="1">
      <c r="S312" s="90"/>
      <c r="T312" s="90"/>
      <c r="U312" s="90"/>
      <c r="V312" s="90"/>
    </row>
    <row r="313" spans="2:22" s="77" customFormat="1">
      <c r="S313" s="90"/>
      <c r="T313" s="90"/>
      <c r="U313" s="90"/>
      <c r="V313" s="90"/>
    </row>
    <row r="314" spans="2:22" s="77" customFormat="1">
      <c r="B314" s="88"/>
      <c r="P314" s="89"/>
      <c r="S314" s="90"/>
      <c r="T314" s="90"/>
      <c r="U314" s="90"/>
      <c r="V314" s="90"/>
    </row>
    <row r="315" spans="2:22" s="77" customFormat="1">
      <c r="S315" s="90"/>
      <c r="T315" s="90"/>
      <c r="U315" s="90"/>
      <c r="V315" s="90"/>
    </row>
    <row r="316" spans="2:22" s="77" customFormat="1">
      <c r="S316" s="90"/>
      <c r="T316" s="90"/>
      <c r="U316" s="90"/>
      <c r="V316" s="90"/>
    </row>
    <row r="317" spans="2:22" s="77" customFormat="1">
      <c r="B317" s="88"/>
      <c r="P317" s="89"/>
      <c r="S317" s="90"/>
      <c r="T317" s="90"/>
      <c r="U317" s="90"/>
      <c r="V317" s="90"/>
    </row>
    <row r="318" spans="2:22" s="77" customFormat="1">
      <c r="S318" s="90"/>
      <c r="T318" s="90"/>
      <c r="U318" s="90"/>
      <c r="V318" s="90"/>
    </row>
    <row r="319" spans="2:22" s="77" customFormat="1">
      <c r="S319" s="90"/>
      <c r="T319" s="90"/>
      <c r="U319" s="90"/>
      <c r="V319" s="90"/>
    </row>
    <row r="320" spans="2:22" s="77" customFormat="1">
      <c r="B320" s="88"/>
      <c r="P320" s="89"/>
      <c r="S320" s="90"/>
      <c r="T320" s="90"/>
      <c r="U320" s="90"/>
      <c r="V320" s="90"/>
    </row>
    <row r="321" spans="2:22" s="77" customFormat="1">
      <c r="S321" s="90"/>
      <c r="T321" s="90"/>
      <c r="U321" s="90"/>
      <c r="V321" s="90"/>
    </row>
    <row r="322" spans="2:22" s="77" customFormat="1">
      <c r="S322" s="90"/>
      <c r="T322" s="90"/>
      <c r="U322" s="90"/>
      <c r="V322" s="90"/>
    </row>
    <row r="323" spans="2:22" s="77" customFormat="1">
      <c r="B323" s="88"/>
      <c r="P323" s="89"/>
      <c r="S323" s="90"/>
      <c r="T323" s="90"/>
      <c r="U323" s="90"/>
      <c r="V323" s="90"/>
    </row>
    <row r="324" spans="2:22" s="77" customFormat="1">
      <c r="S324" s="90"/>
      <c r="T324" s="90"/>
      <c r="U324" s="90"/>
      <c r="V324" s="90"/>
    </row>
    <row r="325" spans="2:22" s="77" customFormat="1">
      <c r="S325" s="90"/>
      <c r="T325" s="90"/>
      <c r="U325" s="90"/>
      <c r="V325" s="90"/>
    </row>
    <row r="326" spans="2:22" s="77" customFormat="1">
      <c r="B326" s="88"/>
      <c r="P326" s="89"/>
      <c r="S326" s="90"/>
      <c r="T326" s="90"/>
      <c r="U326" s="90"/>
      <c r="V326" s="90"/>
    </row>
    <row r="327" spans="2:22" s="77" customFormat="1">
      <c r="S327" s="90"/>
      <c r="T327" s="90"/>
      <c r="U327" s="90"/>
      <c r="V327" s="90"/>
    </row>
    <row r="328" spans="2:22" s="77" customFormat="1">
      <c r="S328" s="90"/>
      <c r="T328" s="90"/>
      <c r="U328" s="90"/>
      <c r="V328" s="90"/>
    </row>
    <row r="329" spans="2:22" s="77" customFormat="1">
      <c r="B329" s="88"/>
      <c r="P329" s="89"/>
      <c r="S329" s="90"/>
      <c r="T329" s="90"/>
      <c r="U329" s="90"/>
      <c r="V329" s="90"/>
    </row>
    <row r="330" spans="2:22" s="77" customFormat="1">
      <c r="S330" s="90"/>
      <c r="T330" s="90"/>
      <c r="U330" s="90"/>
      <c r="V330" s="90"/>
    </row>
    <row r="331" spans="2:22" s="77" customFormat="1">
      <c r="S331" s="90"/>
      <c r="T331" s="90"/>
      <c r="U331" s="90"/>
      <c r="V331" s="90"/>
    </row>
    <row r="332" spans="2:22" s="77" customFormat="1">
      <c r="B332" s="88"/>
      <c r="P332" s="89"/>
      <c r="S332" s="90"/>
      <c r="T332" s="90"/>
      <c r="U332" s="90"/>
      <c r="V332" s="90"/>
    </row>
    <row r="333" spans="2:22" s="77" customFormat="1">
      <c r="S333" s="90"/>
      <c r="T333" s="90"/>
      <c r="U333" s="90"/>
      <c r="V333" s="90"/>
    </row>
    <row r="334" spans="2:22" s="77" customFormat="1">
      <c r="S334" s="90"/>
      <c r="T334" s="90"/>
      <c r="U334" s="90"/>
      <c r="V334" s="90"/>
    </row>
    <row r="335" spans="2:22" s="77" customFormat="1">
      <c r="B335" s="88"/>
      <c r="P335" s="89"/>
      <c r="S335" s="90"/>
      <c r="T335" s="90"/>
      <c r="U335" s="90"/>
      <c r="V335" s="90"/>
    </row>
    <row r="336" spans="2:22" s="77" customFormat="1">
      <c r="S336" s="90"/>
      <c r="T336" s="90"/>
      <c r="U336" s="90"/>
      <c r="V336" s="90"/>
    </row>
    <row r="337" spans="2:22" s="77" customFormat="1">
      <c r="S337" s="90"/>
      <c r="T337" s="90"/>
      <c r="U337" s="90"/>
      <c r="V337" s="90"/>
    </row>
    <row r="338" spans="2:22" s="77" customFormat="1">
      <c r="B338" s="88"/>
      <c r="P338" s="89"/>
      <c r="S338" s="90"/>
      <c r="T338" s="90"/>
      <c r="U338" s="90"/>
      <c r="V338" s="90"/>
    </row>
    <row r="339" spans="2:22" s="77" customFormat="1">
      <c r="S339" s="90"/>
      <c r="T339" s="90"/>
      <c r="U339" s="90"/>
      <c r="V339" s="90"/>
    </row>
    <row r="340" spans="2:22" s="77" customFormat="1">
      <c r="S340" s="90"/>
      <c r="T340" s="90"/>
      <c r="U340" s="90"/>
      <c r="V340" s="90"/>
    </row>
    <row r="341" spans="2:22" s="77" customFormat="1">
      <c r="B341" s="88"/>
      <c r="P341" s="89"/>
      <c r="S341" s="90"/>
      <c r="T341" s="90"/>
      <c r="U341" s="90"/>
      <c r="V341" s="90"/>
    </row>
    <row r="342" spans="2:22" s="77" customFormat="1">
      <c r="S342" s="90"/>
      <c r="T342" s="90"/>
      <c r="U342" s="90"/>
      <c r="V342" s="90"/>
    </row>
    <row r="343" spans="2:22" s="77" customFormat="1">
      <c r="S343" s="90"/>
      <c r="T343" s="90"/>
      <c r="U343" s="90"/>
      <c r="V343" s="90"/>
    </row>
    <row r="344" spans="2:22" s="77" customFormat="1">
      <c r="B344" s="88"/>
      <c r="P344" s="89"/>
      <c r="S344" s="90"/>
      <c r="T344" s="90"/>
      <c r="U344" s="90"/>
      <c r="V344" s="90"/>
    </row>
    <row r="345" spans="2:22" s="77" customFormat="1">
      <c r="S345" s="90"/>
      <c r="T345" s="90"/>
      <c r="U345" s="90"/>
      <c r="V345" s="90"/>
    </row>
    <row r="346" spans="2:22" s="77" customFormat="1">
      <c r="S346" s="90"/>
      <c r="T346" s="90"/>
      <c r="U346" s="90"/>
      <c r="V346" s="90"/>
    </row>
    <row r="347" spans="2:22" s="77" customFormat="1">
      <c r="B347" s="88"/>
      <c r="P347" s="89"/>
      <c r="S347" s="90"/>
      <c r="T347" s="90"/>
      <c r="U347" s="90"/>
      <c r="V347" s="90"/>
    </row>
    <row r="348" spans="2:22" s="77" customFormat="1">
      <c r="S348" s="90"/>
      <c r="T348" s="90"/>
      <c r="U348" s="90"/>
      <c r="V348" s="90"/>
    </row>
    <row r="349" spans="2:22" s="77" customFormat="1">
      <c r="S349" s="90"/>
      <c r="T349" s="90"/>
      <c r="U349" s="90"/>
      <c r="V349" s="90"/>
    </row>
    <row r="350" spans="2:22" s="77" customFormat="1">
      <c r="B350" s="88"/>
      <c r="P350" s="89"/>
      <c r="S350" s="90"/>
      <c r="T350" s="90"/>
      <c r="U350" s="90"/>
      <c r="V350" s="90"/>
    </row>
    <row r="351" spans="2:22" s="77" customFormat="1">
      <c r="S351" s="90"/>
      <c r="T351" s="90"/>
      <c r="U351" s="90"/>
      <c r="V351" s="90"/>
    </row>
    <row r="352" spans="2:22" s="77" customFormat="1">
      <c r="S352" s="90"/>
      <c r="T352" s="90"/>
      <c r="U352" s="90"/>
      <c r="V352" s="90"/>
    </row>
    <row r="353" spans="2:22" s="77" customFormat="1">
      <c r="B353" s="88"/>
      <c r="P353" s="89"/>
      <c r="S353" s="90"/>
      <c r="T353" s="90"/>
      <c r="U353" s="90"/>
      <c r="V353" s="90"/>
    </row>
    <row r="354" spans="2:22" s="77" customFormat="1">
      <c r="S354" s="90"/>
      <c r="T354" s="90"/>
      <c r="U354" s="90"/>
      <c r="V354" s="90"/>
    </row>
    <row r="355" spans="2:22" s="77" customFormat="1">
      <c r="S355" s="90"/>
      <c r="T355" s="90"/>
      <c r="U355" s="90"/>
      <c r="V355" s="90"/>
    </row>
    <row r="356" spans="2:22" s="77" customFormat="1">
      <c r="B356" s="88"/>
      <c r="P356" s="89"/>
      <c r="S356" s="90"/>
      <c r="T356" s="90"/>
      <c r="U356" s="90"/>
      <c r="V356" s="90"/>
    </row>
    <row r="357" spans="2:22" s="77" customFormat="1">
      <c r="S357" s="90"/>
      <c r="T357" s="90"/>
      <c r="U357" s="90"/>
      <c r="V357" s="90"/>
    </row>
    <row r="358" spans="2:22" s="77" customFormat="1">
      <c r="S358" s="90"/>
      <c r="T358" s="90"/>
      <c r="U358" s="90"/>
      <c r="V358" s="90"/>
    </row>
    <row r="359" spans="2:22" s="77" customFormat="1">
      <c r="B359" s="88"/>
      <c r="P359" s="89"/>
      <c r="S359" s="90"/>
      <c r="T359" s="90"/>
      <c r="U359" s="90"/>
      <c r="V359" s="90"/>
    </row>
    <row r="360" spans="2:22" s="77" customFormat="1">
      <c r="S360" s="90"/>
      <c r="T360" s="90"/>
      <c r="U360" s="90"/>
      <c r="V360" s="90"/>
    </row>
    <row r="361" spans="2:22" s="77" customFormat="1">
      <c r="S361" s="90"/>
      <c r="T361" s="90"/>
      <c r="U361" s="90"/>
      <c r="V361" s="90"/>
    </row>
    <row r="362" spans="2:22" s="77" customFormat="1">
      <c r="B362" s="88"/>
      <c r="P362" s="89"/>
      <c r="S362" s="90"/>
      <c r="T362" s="90"/>
      <c r="U362" s="90"/>
      <c r="V362" s="90"/>
    </row>
    <row r="363" spans="2:22" s="77" customFormat="1">
      <c r="S363" s="90"/>
      <c r="T363" s="90"/>
      <c r="U363" s="90"/>
      <c r="V363" s="90"/>
    </row>
    <row r="364" spans="2:22" s="77" customFormat="1">
      <c r="S364" s="90"/>
      <c r="T364" s="90"/>
      <c r="U364" s="90"/>
      <c r="V364" s="90"/>
    </row>
    <row r="365" spans="2:22" s="77" customFormat="1">
      <c r="B365" s="88"/>
      <c r="P365" s="89"/>
      <c r="S365" s="90"/>
      <c r="T365" s="90"/>
      <c r="U365" s="90"/>
      <c r="V365" s="90"/>
    </row>
    <row r="366" spans="2:22" s="77" customFormat="1">
      <c r="S366" s="90"/>
      <c r="T366" s="90"/>
      <c r="U366" s="90"/>
      <c r="V366" s="90"/>
    </row>
    <row r="367" spans="2:22" s="77" customFormat="1">
      <c r="S367" s="90"/>
      <c r="T367" s="90"/>
      <c r="U367" s="90"/>
      <c r="V367" s="90"/>
    </row>
    <row r="368" spans="2:22" s="77" customFormat="1">
      <c r="B368" s="88"/>
      <c r="P368" s="89"/>
      <c r="S368" s="90"/>
      <c r="T368" s="90"/>
      <c r="U368" s="90"/>
      <c r="V368" s="90"/>
    </row>
    <row r="369" spans="2:22" s="77" customFormat="1">
      <c r="S369" s="90"/>
      <c r="T369" s="90"/>
      <c r="U369" s="90"/>
      <c r="V369" s="90"/>
    </row>
    <row r="370" spans="2:22" s="77" customFormat="1">
      <c r="S370" s="90"/>
      <c r="T370" s="90"/>
      <c r="U370" s="90"/>
      <c r="V370" s="90"/>
    </row>
    <row r="371" spans="2:22" s="77" customFormat="1">
      <c r="B371" s="88"/>
      <c r="P371" s="89"/>
      <c r="S371" s="90"/>
      <c r="T371" s="90"/>
      <c r="U371" s="90"/>
      <c r="V371" s="90"/>
    </row>
    <row r="372" spans="2:22" s="77" customFormat="1">
      <c r="S372" s="90"/>
      <c r="T372" s="90"/>
      <c r="U372" s="90"/>
      <c r="V372" s="90"/>
    </row>
    <row r="373" spans="2:22" s="77" customFormat="1">
      <c r="S373" s="90"/>
      <c r="T373" s="90"/>
      <c r="U373" s="90"/>
      <c r="V373" s="90"/>
    </row>
    <row r="374" spans="2:22" s="77" customFormat="1">
      <c r="B374" s="88"/>
      <c r="P374" s="89"/>
      <c r="S374" s="90"/>
      <c r="T374" s="90"/>
      <c r="U374" s="90"/>
      <c r="V374" s="90"/>
    </row>
    <row r="375" spans="2:22" s="77" customFormat="1">
      <c r="S375" s="90"/>
      <c r="T375" s="90"/>
      <c r="U375" s="90"/>
      <c r="V375" s="90"/>
    </row>
    <row r="376" spans="2:22" s="77" customFormat="1">
      <c r="S376" s="90"/>
      <c r="T376" s="90"/>
      <c r="U376" s="90"/>
      <c r="V376" s="90"/>
    </row>
    <row r="377" spans="2:22" s="77" customFormat="1">
      <c r="B377" s="88"/>
      <c r="P377" s="89"/>
      <c r="S377" s="90"/>
      <c r="T377" s="90"/>
      <c r="U377" s="90"/>
      <c r="V377" s="90"/>
    </row>
    <row r="378" spans="2:22" s="77" customFormat="1">
      <c r="S378" s="90"/>
      <c r="T378" s="90"/>
      <c r="U378" s="90"/>
      <c r="V378" s="90"/>
    </row>
    <row r="379" spans="2:22" s="77" customFormat="1">
      <c r="S379" s="90"/>
      <c r="T379" s="90"/>
      <c r="U379" s="90"/>
      <c r="V379" s="90"/>
    </row>
    <row r="380" spans="2:22" s="77" customFormat="1">
      <c r="B380" s="88"/>
      <c r="P380" s="89"/>
      <c r="S380" s="90"/>
      <c r="T380" s="90"/>
      <c r="U380" s="90"/>
      <c r="V380" s="90"/>
    </row>
    <row r="381" spans="2:22" s="77" customFormat="1">
      <c r="S381" s="90"/>
      <c r="T381" s="90"/>
      <c r="U381" s="90"/>
      <c r="V381" s="90"/>
    </row>
    <row r="382" spans="2:22" s="77" customFormat="1">
      <c r="S382" s="90"/>
      <c r="T382" s="90"/>
      <c r="U382" s="90"/>
      <c r="V382" s="90"/>
    </row>
    <row r="383" spans="2:22" s="77" customFormat="1">
      <c r="B383" s="88"/>
      <c r="P383" s="89"/>
      <c r="S383" s="90"/>
      <c r="T383" s="90"/>
      <c r="U383" s="90"/>
      <c r="V383" s="90"/>
    </row>
    <row r="384" spans="2:22" s="77" customFormat="1">
      <c r="S384" s="90"/>
      <c r="T384" s="90"/>
      <c r="U384" s="90"/>
      <c r="V384" s="90"/>
    </row>
    <row r="385" spans="2:22" s="77" customFormat="1">
      <c r="S385" s="90"/>
      <c r="T385" s="90"/>
      <c r="U385" s="90"/>
      <c r="V385" s="90"/>
    </row>
    <row r="386" spans="2:22" s="77" customFormat="1">
      <c r="B386" s="88"/>
      <c r="P386" s="89"/>
      <c r="S386" s="90"/>
      <c r="T386" s="90"/>
      <c r="U386" s="90"/>
      <c r="V386" s="90"/>
    </row>
    <row r="387" spans="2:22" s="77" customFormat="1">
      <c r="S387" s="90"/>
      <c r="T387" s="90"/>
      <c r="U387" s="90"/>
      <c r="V387" s="90"/>
    </row>
    <row r="388" spans="2:22" s="77" customFormat="1">
      <c r="S388" s="90"/>
      <c r="T388" s="90"/>
      <c r="U388" s="90"/>
      <c r="V388" s="90"/>
    </row>
    <row r="389" spans="2:22" s="77" customFormat="1">
      <c r="B389" s="88"/>
      <c r="P389" s="89"/>
      <c r="S389" s="90"/>
      <c r="T389" s="90"/>
      <c r="U389" s="90"/>
      <c r="V389" s="90"/>
    </row>
    <row r="390" spans="2:22" s="77" customFormat="1">
      <c r="S390" s="90"/>
      <c r="T390" s="90"/>
      <c r="U390" s="90"/>
      <c r="V390" s="90"/>
    </row>
    <row r="391" spans="2:22" s="77" customFormat="1">
      <c r="S391" s="90"/>
      <c r="T391" s="90"/>
      <c r="U391" s="90"/>
      <c r="V391" s="90"/>
    </row>
    <row r="392" spans="2:22" s="77" customFormat="1">
      <c r="B392" s="88"/>
      <c r="P392" s="89"/>
      <c r="S392" s="90"/>
      <c r="T392" s="90"/>
      <c r="U392" s="90"/>
      <c r="V392" s="90"/>
    </row>
    <row r="393" spans="2:22" s="77" customFormat="1">
      <c r="S393" s="90"/>
      <c r="T393" s="90"/>
      <c r="U393" s="90"/>
      <c r="V393" s="90"/>
    </row>
    <row r="394" spans="2:22" s="77" customFormat="1">
      <c r="S394" s="90"/>
      <c r="T394" s="90"/>
      <c r="U394" s="90"/>
      <c r="V394" s="90"/>
    </row>
    <row r="395" spans="2:22" s="77" customFormat="1">
      <c r="B395" s="88"/>
      <c r="P395" s="89"/>
      <c r="S395" s="90"/>
      <c r="T395" s="90"/>
      <c r="U395" s="90"/>
      <c r="V395" s="90"/>
    </row>
    <row r="396" spans="2:22" s="77" customFormat="1">
      <c r="S396" s="90"/>
      <c r="T396" s="90"/>
      <c r="U396" s="90"/>
      <c r="V396" s="90"/>
    </row>
    <row r="397" spans="2:22" s="77" customFormat="1">
      <c r="S397" s="90"/>
      <c r="T397" s="90"/>
      <c r="U397" s="90"/>
      <c r="V397" s="90"/>
    </row>
    <row r="398" spans="2:22" s="77" customFormat="1">
      <c r="B398" s="88"/>
      <c r="P398" s="89"/>
      <c r="S398" s="90"/>
      <c r="T398" s="90"/>
      <c r="U398" s="90"/>
      <c r="V398" s="90"/>
    </row>
    <row r="399" spans="2:22" s="77" customFormat="1">
      <c r="S399" s="90"/>
      <c r="T399" s="90"/>
      <c r="U399" s="90"/>
      <c r="V399" s="90"/>
    </row>
    <row r="400" spans="2:22" s="77" customFormat="1">
      <c r="S400" s="90"/>
      <c r="T400" s="90"/>
      <c r="U400" s="90"/>
      <c r="V400" s="90"/>
    </row>
    <row r="401" spans="2:22" s="77" customFormat="1">
      <c r="B401" s="88"/>
      <c r="P401" s="89"/>
      <c r="S401" s="90"/>
      <c r="T401" s="90"/>
      <c r="U401" s="90"/>
      <c r="V401" s="90"/>
    </row>
    <row r="402" spans="2:22" s="77" customFormat="1">
      <c r="S402" s="90"/>
      <c r="T402" s="90"/>
      <c r="U402" s="90"/>
      <c r="V402" s="90"/>
    </row>
    <row r="403" spans="2:22" s="77" customFormat="1">
      <c r="S403" s="90"/>
      <c r="T403" s="90"/>
      <c r="U403" s="90"/>
      <c r="V403" s="90"/>
    </row>
    <row r="404" spans="2:22" s="77" customFormat="1">
      <c r="B404" s="88"/>
      <c r="P404" s="89"/>
      <c r="S404" s="90"/>
      <c r="T404" s="90"/>
      <c r="U404" s="90"/>
      <c r="V404" s="90"/>
    </row>
    <row r="405" spans="2:22" s="77" customFormat="1">
      <c r="S405" s="90"/>
      <c r="T405" s="90"/>
      <c r="U405" s="90"/>
      <c r="V405" s="90"/>
    </row>
    <row r="406" spans="2:22" s="77" customFormat="1">
      <c r="S406" s="90"/>
      <c r="T406" s="90"/>
      <c r="U406" s="90"/>
      <c r="V406" s="90"/>
    </row>
    <row r="407" spans="2:22" s="77" customFormat="1">
      <c r="B407" s="88"/>
      <c r="P407" s="89"/>
      <c r="S407" s="90"/>
      <c r="T407" s="90"/>
      <c r="U407" s="90"/>
      <c r="V407" s="90"/>
    </row>
    <row r="408" spans="2:22" s="77" customFormat="1">
      <c r="S408" s="90"/>
      <c r="T408" s="90"/>
      <c r="U408" s="90"/>
      <c r="V408" s="90"/>
    </row>
    <row r="409" spans="2:22" s="77" customFormat="1">
      <c r="S409" s="90"/>
      <c r="T409" s="90"/>
      <c r="U409" s="90"/>
      <c r="V409" s="90"/>
    </row>
    <row r="410" spans="2:22" s="77" customFormat="1">
      <c r="B410" s="88"/>
      <c r="P410" s="89"/>
      <c r="S410" s="90"/>
      <c r="T410" s="90"/>
      <c r="U410" s="90"/>
      <c r="V410" s="90"/>
    </row>
    <row r="411" spans="2:22" s="77" customFormat="1">
      <c r="S411" s="90"/>
      <c r="T411" s="90"/>
      <c r="U411" s="90"/>
      <c r="V411" s="90"/>
    </row>
    <row r="412" spans="2:22" s="77" customFormat="1">
      <c r="S412" s="90"/>
      <c r="T412" s="90"/>
      <c r="U412" s="90"/>
      <c r="V412" s="90"/>
    </row>
    <row r="413" spans="2:22" s="77" customFormat="1">
      <c r="B413" s="88"/>
      <c r="P413" s="89"/>
      <c r="S413" s="90"/>
      <c r="T413" s="90"/>
      <c r="U413" s="90"/>
      <c r="V413" s="90"/>
    </row>
    <row r="414" spans="2:22" s="77" customFormat="1">
      <c r="S414" s="90"/>
      <c r="T414" s="90"/>
      <c r="U414" s="90"/>
      <c r="V414" s="90"/>
    </row>
    <row r="415" spans="2:22" s="77" customFormat="1">
      <c r="S415" s="90"/>
      <c r="T415" s="90"/>
      <c r="U415" s="90"/>
      <c r="V415" s="90"/>
    </row>
    <row r="416" spans="2:22" s="77" customFormat="1">
      <c r="B416" s="88"/>
      <c r="P416" s="89"/>
      <c r="S416" s="90"/>
      <c r="T416" s="90"/>
      <c r="U416" s="90"/>
      <c r="V416" s="90"/>
    </row>
    <row r="417" spans="2:22" s="77" customFormat="1">
      <c r="S417" s="90"/>
      <c r="T417" s="90"/>
      <c r="U417" s="90"/>
      <c r="V417" s="90"/>
    </row>
    <row r="418" spans="2:22" s="77" customFormat="1">
      <c r="S418" s="90"/>
      <c r="T418" s="90"/>
      <c r="U418" s="90"/>
      <c r="V418" s="90"/>
    </row>
    <row r="419" spans="2:22" s="77" customFormat="1">
      <c r="B419" s="88"/>
      <c r="P419" s="89"/>
      <c r="S419" s="90"/>
      <c r="T419" s="90"/>
      <c r="U419" s="90"/>
      <c r="V419" s="90"/>
    </row>
    <row r="420" spans="2:22" s="77" customFormat="1">
      <c r="S420" s="90"/>
      <c r="T420" s="90"/>
      <c r="U420" s="90"/>
      <c r="V420" s="90"/>
    </row>
    <row r="421" spans="2:22" s="77" customFormat="1">
      <c r="S421" s="90"/>
      <c r="T421" s="90"/>
      <c r="U421" s="90"/>
      <c r="V421" s="90"/>
    </row>
    <row r="422" spans="2:22" s="77" customFormat="1">
      <c r="B422" s="88"/>
      <c r="P422" s="89"/>
      <c r="S422" s="90"/>
      <c r="T422" s="90"/>
      <c r="U422" s="90"/>
      <c r="V422" s="90"/>
    </row>
    <row r="423" spans="2:22" s="77" customFormat="1">
      <c r="S423" s="90"/>
      <c r="T423" s="90"/>
      <c r="U423" s="90"/>
      <c r="V423" s="90"/>
    </row>
    <row r="424" spans="2:22" s="77" customFormat="1">
      <c r="S424" s="90"/>
      <c r="T424" s="90"/>
      <c r="U424" s="90"/>
      <c r="V424" s="90"/>
    </row>
    <row r="425" spans="2:22" s="77" customFormat="1">
      <c r="B425" s="88"/>
      <c r="P425" s="89"/>
      <c r="S425" s="90"/>
      <c r="T425" s="90"/>
      <c r="U425" s="90"/>
      <c r="V425" s="90"/>
    </row>
    <row r="426" spans="2:22" s="77" customFormat="1">
      <c r="S426" s="90"/>
      <c r="T426" s="90"/>
      <c r="U426" s="90"/>
      <c r="V426" s="90"/>
    </row>
    <row r="427" spans="2:22" s="77" customFormat="1">
      <c r="S427" s="90"/>
      <c r="T427" s="90"/>
      <c r="U427" s="90"/>
      <c r="V427" s="90"/>
    </row>
    <row r="428" spans="2:22" s="77" customFormat="1">
      <c r="B428" s="88"/>
      <c r="P428" s="89"/>
      <c r="S428" s="90"/>
      <c r="T428" s="90"/>
      <c r="U428" s="90"/>
      <c r="V428" s="90"/>
    </row>
    <row r="429" spans="2:22" s="77" customFormat="1">
      <c r="S429" s="90"/>
      <c r="T429" s="90"/>
      <c r="U429" s="90"/>
      <c r="V429" s="90"/>
    </row>
    <row r="430" spans="2:22" s="77" customFormat="1">
      <c r="S430" s="90"/>
      <c r="T430" s="90"/>
      <c r="U430" s="90"/>
      <c r="V430" s="90"/>
    </row>
    <row r="431" spans="2:22" s="77" customFormat="1">
      <c r="B431" s="88"/>
      <c r="P431" s="89"/>
      <c r="S431" s="90"/>
      <c r="T431" s="90"/>
      <c r="U431" s="90"/>
      <c r="V431" s="90"/>
    </row>
    <row r="432" spans="2:22" s="77" customFormat="1">
      <c r="S432" s="90"/>
      <c r="T432" s="90"/>
      <c r="U432" s="90"/>
      <c r="V432" s="90"/>
    </row>
    <row r="433" spans="2:22" s="77" customFormat="1">
      <c r="S433" s="90"/>
      <c r="T433" s="90"/>
      <c r="U433" s="90"/>
      <c r="V433" s="90"/>
    </row>
    <row r="434" spans="2:22" s="77" customFormat="1">
      <c r="B434" s="88"/>
      <c r="P434" s="89"/>
      <c r="S434" s="90"/>
      <c r="T434" s="90"/>
      <c r="U434" s="90"/>
      <c r="V434" s="90"/>
    </row>
    <row r="435" spans="2:22" s="77" customFormat="1">
      <c r="S435" s="90"/>
      <c r="T435" s="90"/>
      <c r="U435" s="90"/>
      <c r="V435" s="90"/>
    </row>
    <row r="436" spans="2:22" s="77" customFormat="1">
      <c r="S436" s="90"/>
      <c r="T436" s="90"/>
      <c r="U436" s="90"/>
      <c r="V436" s="90"/>
    </row>
    <row r="437" spans="2:22" s="77" customFormat="1">
      <c r="B437" s="88"/>
      <c r="P437" s="89"/>
      <c r="S437" s="90"/>
      <c r="T437" s="90"/>
      <c r="U437" s="90"/>
      <c r="V437" s="90"/>
    </row>
    <row r="438" spans="2:22" s="77" customFormat="1">
      <c r="S438" s="90"/>
      <c r="T438" s="90"/>
      <c r="U438" s="90"/>
      <c r="V438" s="90"/>
    </row>
    <row r="439" spans="2:22" s="77" customFormat="1">
      <c r="S439" s="90"/>
      <c r="T439" s="90"/>
      <c r="U439" s="90"/>
      <c r="V439" s="90"/>
    </row>
    <row r="440" spans="2:22" s="77" customFormat="1">
      <c r="B440" s="88"/>
      <c r="P440" s="89"/>
      <c r="S440" s="90"/>
      <c r="T440" s="90"/>
      <c r="U440" s="90"/>
      <c r="V440" s="90"/>
    </row>
    <row r="441" spans="2:22" s="77" customFormat="1">
      <c r="S441" s="90"/>
      <c r="T441" s="90"/>
      <c r="U441" s="90"/>
      <c r="V441" s="90"/>
    </row>
    <row r="442" spans="2:22" s="77" customFormat="1">
      <c r="S442" s="90"/>
      <c r="T442" s="90"/>
      <c r="U442" s="90"/>
      <c r="V442" s="90"/>
    </row>
    <row r="443" spans="2:22" s="77" customFormat="1">
      <c r="B443" s="88"/>
      <c r="P443" s="89"/>
      <c r="S443" s="90"/>
      <c r="T443" s="90"/>
      <c r="U443" s="90"/>
      <c r="V443" s="90"/>
    </row>
    <row r="444" spans="2:22" s="77" customFormat="1">
      <c r="S444" s="90"/>
      <c r="T444" s="90"/>
      <c r="U444" s="90"/>
      <c r="V444" s="90"/>
    </row>
    <row r="445" spans="2:22" s="77" customFormat="1">
      <c r="S445" s="90"/>
      <c r="T445" s="90"/>
      <c r="U445" s="90"/>
      <c r="V445" s="90"/>
    </row>
    <row r="446" spans="2:22" s="77" customFormat="1">
      <c r="B446" s="88"/>
      <c r="P446" s="89"/>
      <c r="S446" s="90"/>
      <c r="T446" s="90"/>
      <c r="U446" s="90"/>
      <c r="V446" s="90"/>
    </row>
    <row r="447" spans="2:22" s="77" customFormat="1">
      <c r="S447" s="90"/>
      <c r="T447" s="90"/>
      <c r="U447" s="90"/>
      <c r="V447" s="90"/>
    </row>
    <row r="448" spans="2:22" s="77" customFormat="1">
      <c r="S448" s="90"/>
      <c r="T448" s="90"/>
      <c r="U448" s="90"/>
      <c r="V448" s="90"/>
    </row>
    <row r="449" spans="2:22" s="77" customFormat="1">
      <c r="B449" s="88"/>
      <c r="P449" s="89"/>
      <c r="S449" s="90"/>
      <c r="T449" s="90"/>
      <c r="U449" s="90"/>
      <c r="V449" s="90"/>
    </row>
    <row r="450" spans="2:22" s="77" customFormat="1">
      <c r="S450" s="90"/>
      <c r="T450" s="90"/>
      <c r="U450" s="90"/>
      <c r="V450" s="90"/>
    </row>
    <row r="451" spans="2:22" s="77" customFormat="1">
      <c r="S451" s="90"/>
      <c r="T451" s="90"/>
      <c r="U451" s="90"/>
      <c r="V451" s="90"/>
    </row>
    <row r="452" spans="2:22" s="77" customFormat="1">
      <c r="B452" s="88"/>
      <c r="P452" s="89"/>
      <c r="S452" s="90"/>
      <c r="T452" s="90"/>
      <c r="U452" s="90"/>
      <c r="V452" s="90"/>
    </row>
    <row r="453" spans="2:22" s="77" customFormat="1">
      <c r="S453" s="90"/>
      <c r="T453" s="90"/>
      <c r="U453" s="90"/>
      <c r="V453" s="90"/>
    </row>
    <row r="454" spans="2:22" s="77" customFormat="1">
      <c r="S454" s="90"/>
      <c r="T454" s="90"/>
      <c r="U454" s="90"/>
      <c r="V454" s="90"/>
    </row>
    <row r="455" spans="2:22" s="77" customFormat="1">
      <c r="B455" s="88"/>
      <c r="P455" s="89"/>
      <c r="S455" s="90"/>
      <c r="T455" s="90"/>
      <c r="U455" s="90"/>
      <c r="V455" s="90"/>
    </row>
    <row r="456" spans="2:22" s="77" customFormat="1">
      <c r="S456" s="90"/>
      <c r="T456" s="90"/>
      <c r="U456" s="90"/>
      <c r="V456" s="90"/>
    </row>
    <row r="457" spans="2:22" s="77" customFormat="1">
      <c r="S457" s="90"/>
      <c r="T457" s="90"/>
      <c r="U457" s="90"/>
      <c r="V457" s="90"/>
    </row>
    <row r="458" spans="2:22" s="77" customFormat="1">
      <c r="B458" s="88"/>
      <c r="P458" s="89"/>
      <c r="S458" s="90"/>
      <c r="T458" s="90"/>
      <c r="U458" s="90"/>
      <c r="V458" s="90"/>
    </row>
    <row r="459" spans="2:22" s="77" customFormat="1">
      <c r="S459" s="90"/>
      <c r="T459" s="90"/>
      <c r="U459" s="90"/>
      <c r="V459" s="90"/>
    </row>
    <row r="460" spans="2:22" s="77" customFormat="1">
      <c r="S460" s="90"/>
      <c r="T460" s="90"/>
      <c r="U460" s="90"/>
      <c r="V460" s="90"/>
    </row>
    <row r="461" spans="2:22" s="77" customFormat="1">
      <c r="B461" s="88"/>
      <c r="P461" s="89"/>
      <c r="S461" s="90"/>
      <c r="T461" s="90"/>
      <c r="U461" s="90"/>
      <c r="V461" s="90"/>
    </row>
    <row r="462" spans="2:22" s="77" customFormat="1">
      <c r="S462" s="90"/>
      <c r="T462" s="90"/>
      <c r="U462" s="90"/>
      <c r="V462" s="90"/>
    </row>
    <row r="463" spans="2:22" s="77" customFormat="1">
      <c r="S463" s="90"/>
      <c r="T463" s="90"/>
      <c r="U463" s="90"/>
      <c r="V463" s="90"/>
    </row>
    <row r="464" spans="2:22" s="77" customFormat="1">
      <c r="B464" s="88"/>
      <c r="P464" s="89"/>
      <c r="S464" s="90"/>
      <c r="T464" s="90"/>
      <c r="U464" s="90"/>
      <c r="V464" s="90"/>
    </row>
    <row r="465" spans="2:22" s="77" customFormat="1">
      <c r="S465" s="90"/>
      <c r="T465" s="90"/>
      <c r="U465" s="90"/>
      <c r="V465" s="90"/>
    </row>
    <row r="466" spans="2:22" s="77" customFormat="1">
      <c r="S466" s="90"/>
      <c r="T466" s="90"/>
      <c r="U466" s="90"/>
      <c r="V466" s="90"/>
    </row>
    <row r="467" spans="2:22" s="77" customFormat="1">
      <c r="B467" s="88"/>
      <c r="P467" s="89"/>
      <c r="S467" s="90"/>
      <c r="T467" s="90"/>
      <c r="U467" s="90"/>
      <c r="V467" s="90"/>
    </row>
    <row r="468" spans="2:22" s="77" customFormat="1">
      <c r="S468" s="90"/>
      <c r="T468" s="90"/>
      <c r="U468" s="90"/>
      <c r="V468" s="90"/>
    </row>
    <row r="469" spans="2:22" s="77" customFormat="1">
      <c r="S469" s="90"/>
      <c r="T469" s="90"/>
      <c r="U469" s="90"/>
      <c r="V469" s="90"/>
    </row>
    <row r="470" spans="2:22" s="77" customFormat="1">
      <c r="B470" s="88"/>
      <c r="P470" s="89"/>
      <c r="S470" s="90"/>
      <c r="T470" s="90"/>
      <c r="U470" s="90"/>
      <c r="V470" s="90"/>
    </row>
    <row r="471" spans="2:22" s="77" customFormat="1">
      <c r="S471" s="90"/>
      <c r="T471" s="90"/>
      <c r="U471" s="90"/>
      <c r="V471" s="90"/>
    </row>
    <row r="472" spans="2:22" s="77" customFormat="1">
      <c r="S472" s="90"/>
      <c r="T472" s="90"/>
      <c r="U472" s="90"/>
      <c r="V472" s="90"/>
    </row>
    <row r="473" spans="2:22" s="77" customFormat="1">
      <c r="B473" s="88"/>
      <c r="P473" s="89"/>
      <c r="S473" s="90"/>
      <c r="T473" s="90"/>
      <c r="U473" s="90"/>
      <c r="V473" s="90"/>
    </row>
    <row r="474" spans="2:22" s="77" customFormat="1">
      <c r="S474" s="90"/>
      <c r="T474" s="90"/>
      <c r="U474" s="90"/>
      <c r="V474" s="90"/>
    </row>
    <row r="475" spans="2:22" s="77" customFormat="1">
      <c r="S475" s="90"/>
      <c r="T475" s="90"/>
      <c r="U475" s="90"/>
      <c r="V475" s="90"/>
    </row>
    <row r="476" spans="2:22" s="77" customFormat="1">
      <c r="B476" s="88"/>
      <c r="P476" s="89"/>
      <c r="S476" s="90"/>
      <c r="T476" s="90"/>
      <c r="U476" s="90"/>
      <c r="V476" s="90"/>
    </row>
    <row r="477" spans="2:22" s="77" customFormat="1">
      <c r="S477" s="90"/>
      <c r="T477" s="90"/>
      <c r="U477" s="90"/>
      <c r="V477" s="90"/>
    </row>
    <row r="478" spans="2:22" s="77" customFormat="1">
      <c r="S478" s="90"/>
      <c r="T478" s="90"/>
      <c r="U478" s="90"/>
      <c r="V478" s="90"/>
    </row>
    <row r="479" spans="2:22" s="77" customFormat="1">
      <c r="B479" s="88"/>
      <c r="P479" s="89"/>
      <c r="S479" s="90"/>
      <c r="T479" s="90"/>
      <c r="U479" s="90"/>
      <c r="V479" s="90"/>
    </row>
    <row r="480" spans="2:22" s="77" customFormat="1">
      <c r="S480" s="90"/>
      <c r="T480" s="90"/>
      <c r="U480" s="90"/>
      <c r="V480" s="90"/>
    </row>
    <row r="481" spans="2:22" s="77" customFormat="1">
      <c r="S481" s="90"/>
      <c r="T481" s="90"/>
      <c r="U481" s="90"/>
      <c r="V481" s="90"/>
    </row>
    <row r="482" spans="2:22" s="77" customFormat="1">
      <c r="B482" s="88"/>
      <c r="P482" s="89"/>
      <c r="S482" s="90"/>
      <c r="T482" s="90"/>
      <c r="U482" s="90"/>
      <c r="V482" s="90"/>
    </row>
    <row r="483" spans="2:22" s="77" customFormat="1">
      <c r="S483" s="90"/>
      <c r="T483" s="90"/>
      <c r="U483" s="90"/>
      <c r="V483" s="90"/>
    </row>
    <row r="484" spans="2:22" s="77" customFormat="1">
      <c r="S484" s="90"/>
      <c r="T484" s="90"/>
      <c r="U484" s="90"/>
      <c r="V484" s="90"/>
    </row>
    <row r="485" spans="2:22" s="77" customFormat="1">
      <c r="B485" s="88"/>
      <c r="P485" s="89"/>
      <c r="S485" s="90"/>
      <c r="T485" s="90"/>
      <c r="U485" s="90"/>
      <c r="V485" s="90"/>
    </row>
    <row r="486" spans="2:22" s="77" customFormat="1">
      <c r="S486" s="90"/>
      <c r="T486" s="90"/>
      <c r="U486" s="90"/>
      <c r="V486" s="90"/>
    </row>
    <row r="487" spans="2:22" s="77" customFormat="1">
      <c r="S487" s="90"/>
      <c r="T487" s="90"/>
      <c r="U487" s="90"/>
      <c r="V487" s="90"/>
    </row>
    <row r="488" spans="2:22" s="77" customFormat="1">
      <c r="B488" s="88"/>
      <c r="P488" s="89"/>
      <c r="S488" s="90"/>
      <c r="T488" s="90"/>
      <c r="U488" s="90"/>
      <c r="V488" s="90"/>
    </row>
    <row r="489" spans="2:22" s="77" customFormat="1">
      <c r="S489" s="90"/>
      <c r="T489" s="90"/>
      <c r="U489" s="90"/>
      <c r="V489" s="90"/>
    </row>
    <row r="490" spans="2:22" s="77" customFormat="1">
      <c r="S490" s="90"/>
      <c r="T490" s="90"/>
      <c r="U490" s="90"/>
      <c r="V490" s="90"/>
    </row>
    <row r="491" spans="2:22" s="77" customFormat="1">
      <c r="B491" s="88"/>
      <c r="P491" s="89"/>
      <c r="S491" s="90"/>
      <c r="T491" s="90"/>
      <c r="U491" s="90"/>
      <c r="V491" s="90"/>
    </row>
    <row r="492" spans="2:22" s="77" customFormat="1">
      <c r="S492" s="90"/>
      <c r="T492" s="90"/>
      <c r="U492" s="90"/>
      <c r="V492" s="90"/>
    </row>
    <row r="493" spans="2:22" s="77" customFormat="1">
      <c r="S493" s="90"/>
      <c r="T493" s="90"/>
      <c r="U493" s="90"/>
      <c r="V493" s="90"/>
    </row>
    <row r="494" spans="2:22" s="77" customFormat="1">
      <c r="B494" s="88"/>
      <c r="P494" s="89"/>
      <c r="S494" s="90"/>
      <c r="T494" s="90"/>
      <c r="U494" s="90"/>
      <c r="V494" s="90"/>
    </row>
    <row r="495" spans="2:22" s="77" customFormat="1">
      <c r="S495" s="90"/>
      <c r="T495" s="90"/>
      <c r="U495" s="90"/>
      <c r="V495" s="90"/>
    </row>
    <row r="496" spans="2:22" s="77" customFormat="1">
      <c r="S496" s="90"/>
      <c r="T496" s="90"/>
      <c r="U496" s="90"/>
      <c r="V496" s="90"/>
    </row>
    <row r="497" spans="2:22" s="77" customFormat="1">
      <c r="B497" s="88"/>
      <c r="P497" s="89"/>
      <c r="S497" s="90"/>
      <c r="T497" s="90"/>
      <c r="U497" s="90"/>
      <c r="V497" s="90"/>
    </row>
    <row r="498" spans="2:22" s="77" customFormat="1">
      <c r="S498" s="90"/>
      <c r="T498" s="90"/>
      <c r="U498" s="90"/>
      <c r="V498" s="90"/>
    </row>
    <row r="499" spans="2:22" s="77" customFormat="1">
      <c r="S499" s="90"/>
      <c r="T499" s="90"/>
      <c r="U499" s="90"/>
      <c r="V499" s="90"/>
    </row>
    <row r="500" spans="2:22" s="77" customFormat="1">
      <c r="B500" s="88"/>
      <c r="P500" s="89"/>
      <c r="S500" s="90"/>
      <c r="T500" s="90"/>
      <c r="U500" s="90"/>
      <c r="V500" s="90"/>
    </row>
    <row r="501" spans="2:22" s="77" customFormat="1">
      <c r="S501" s="90"/>
      <c r="T501" s="90"/>
      <c r="U501" s="90"/>
      <c r="V501" s="90"/>
    </row>
    <row r="502" spans="2:22" s="77" customFormat="1">
      <c r="S502" s="90"/>
      <c r="T502" s="90"/>
      <c r="U502" s="90"/>
      <c r="V502" s="90"/>
    </row>
    <row r="503" spans="2:22" s="77" customFormat="1">
      <c r="B503" s="88"/>
      <c r="P503" s="89"/>
      <c r="S503" s="90"/>
      <c r="T503" s="90"/>
      <c r="U503" s="90"/>
      <c r="V503" s="90"/>
    </row>
    <row r="504" spans="2:22" s="77" customFormat="1">
      <c r="S504" s="90"/>
      <c r="T504" s="90"/>
      <c r="U504" s="90"/>
      <c r="V504" s="90"/>
    </row>
    <row r="505" spans="2:22" s="77" customFormat="1">
      <c r="S505" s="90"/>
      <c r="T505" s="90"/>
      <c r="U505" s="90"/>
      <c r="V505" s="90"/>
    </row>
    <row r="506" spans="2:22" s="77" customFormat="1">
      <c r="B506" s="88"/>
      <c r="P506" s="89"/>
      <c r="S506" s="90"/>
      <c r="T506" s="90"/>
      <c r="U506" s="90"/>
      <c r="V506" s="90"/>
    </row>
    <row r="507" spans="2:22" s="77" customFormat="1">
      <c r="S507" s="90"/>
      <c r="T507" s="90"/>
      <c r="U507" s="90"/>
      <c r="V507" s="90"/>
    </row>
    <row r="508" spans="2:22" s="77" customFormat="1">
      <c r="S508" s="90"/>
      <c r="T508" s="90"/>
      <c r="U508" s="90"/>
      <c r="V508" s="90"/>
    </row>
    <row r="509" spans="2:22" s="77" customFormat="1">
      <c r="B509" s="88"/>
      <c r="P509" s="89"/>
      <c r="S509" s="90"/>
      <c r="T509" s="90"/>
      <c r="U509" s="90"/>
      <c r="V509" s="90"/>
    </row>
    <row r="510" spans="2:22" s="77" customFormat="1">
      <c r="S510" s="90"/>
      <c r="T510" s="90"/>
      <c r="U510" s="90"/>
      <c r="V510" s="90"/>
    </row>
    <row r="511" spans="2:22" s="77" customFormat="1">
      <c r="S511" s="90"/>
      <c r="T511" s="90"/>
      <c r="U511" s="90"/>
      <c r="V511" s="90"/>
    </row>
    <row r="512" spans="2:22" s="77" customFormat="1">
      <c r="B512" s="88"/>
      <c r="P512" s="89"/>
      <c r="S512" s="90"/>
      <c r="T512" s="90"/>
      <c r="U512" s="90"/>
      <c r="V512" s="90"/>
    </row>
    <row r="513" spans="2:22" s="77" customFormat="1">
      <c r="S513" s="90"/>
      <c r="T513" s="90"/>
      <c r="U513" s="90"/>
      <c r="V513" s="90"/>
    </row>
    <row r="514" spans="2:22" s="77" customFormat="1">
      <c r="S514" s="90"/>
      <c r="T514" s="90"/>
      <c r="U514" s="90"/>
      <c r="V514" s="90"/>
    </row>
    <row r="515" spans="2:22" s="77" customFormat="1">
      <c r="B515" s="88"/>
      <c r="P515" s="89"/>
      <c r="S515" s="90"/>
      <c r="T515" s="90"/>
      <c r="U515" s="90"/>
      <c r="V515" s="90"/>
    </row>
    <row r="516" spans="2:22" s="77" customFormat="1">
      <c r="S516" s="90"/>
      <c r="T516" s="90"/>
      <c r="U516" s="90"/>
      <c r="V516" s="90"/>
    </row>
    <row r="517" spans="2:22" s="77" customFormat="1">
      <c r="S517" s="90"/>
      <c r="T517" s="90"/>
      <c r="U517" s="90"/>
      <c r="V517" s="90"/>
    </row>
    <row r="518" spans="2:22" s="77" customFormat="1">
      <c r="B518" s="88"/>
      <c r="P518" s="89"/>
      <c r="S518" s="90"/>
      <c r="T518" s="90"/>
      <c r="U518" s="90"/>
      <c r="V518" s="90"/>
    </row>
    <row r="519" spans="2:22" s="77" customFormat="1">
      <c r="S519" s="90"/>
      <c r="T519" s="90"/>
      <c r="U519" s="90"/>
      <c r="V519" s="90"/>
    </row>
    <row r="520" spans="2:22" s="77" customFormat="1">
      <c r="S520" s="90"/>
      <c r="T520" s="90"/>
      <c r="U520" s="90"/>
      <c r="V520" s="90"/>
    </row>
    <row r="521" spans="2:22" s="77" customFormat="1">
      <c r="B521" s="88"/>
      <c r="P521" s="89"/>
      <c r="S521" s="90"/>
      <c r="T521" s="90"/>
      <c r="U521" s="90"/>
      <c r="V521" s="90"/>
    </row>
    <row r="522" spans="2:22" s="77" customFormat="1">
      <c r="S522" s="90"/>
      <c r="T522" s="90"/>
      <c r="U522" s="90"/>
      <c r="V522" s="90"/>
    </row>
    <row r="523" spans="2:22" s="77" customFormat="1">
      <c r="S523" s="90"/>
      <c r="T523" s="90"/>
      <c r="U523" s="90"/>
      <c r="V523" s="90"/>
    </row>
    <row r="524" spans="2:22" s="77" customFormat="1">
      <c r="B524" s="88"/>
      <c r="P524" s="89"/>
      <c r="S524" s="90"/>
      <c r="T524" s="90"/>
      <c r="U524" s="90"/>
      <c r="V524" s="90"/>
    </row>
    <row r="525" spans="2:22" s="77" customFormat="1">
      <c r="S525" s="90"/>
      <c r="T525" s="90"/>
      <c r="U525" s="90"/>
      <c r="V525" s="90"/>
    </row>
    <row r="526" spans="2:22" s="77" customFormat="1">
      <c r="S526" s="90"/>
      <c r="T526" s="90"/>
      <c r="U526" s="90"/>
      <c r="V526" s="90"/>
    </row>
    <row r="527" spans="2:22" s="77" customFormat="1">
      <c r="B527" s="88"/>
      <c r="P527" s="89"/>
      <c r="S527" s="90"/>
      <c r="T527" s="90"/>
      <c r="U527" s="90"/>
      <c r="V527" s="90"/>
    </row>
    <row r="528" spans="2:22" s="77" customFormat="1">
      <c r="S528" s="90"/>
      <c r="T528" s="90"/>
      <c r="U528" s="90"/>
      <c r="V528" s="90"/>
    </row>
    <row r="529" spans="2:22" s="77" customFormat="1">
      <c r="S529" s="90"/>
      <c r="T529" s="90"/>
      <c r="U529" s="90"/>
      <c r="V529" s="90"/>
    </row>
    <row r="530" spans="2:22" s="77" customFormat="1">
      <c r="B530" s="88"/>
      <c r="P530" s="89"/>
      <c r="S530" s="90"/>
      <c r="T530" s="90"/>
      <c r="U530" s="90"/>
      <c r="V530" s="90"/>
    </row>
    <row r="531" spans="2:22" s="77" customFormat="1">
      <c r="S531" s="90"/>
      <c r="T531" s="90"/>
      <c r="U531" s="90"/>
      <c r="V531" s="90"/>
    </row>
    <row r="532" spans="2:22" s="77" customFormat="1">
      <c r="S532" s="90"/>
      <c r="T532" s="90"/>
      <c r="U532" s="90"/>
      <c r="V532" s="90"/>
    </row>
    <row r="533" spans="2:22" s="77" customFormat="1">
      <c r="B533" s="88"/>
      <c r="P533" s="89"/>
      <c r="S533" s="90"/>
      <c r="T533" s="90"/>
      <c r="U533" s="90"/>
      <c r="V533" s="90"/>
    </row>
    <row r="534" spans="2:22" s="77" customFormat="1">
      <c r="S534" s="90"/>
      <c r="T534" s="90"/>
      <c r="U534" s="90"/>
      <c r="V534" s="90"/>
    </row>
    <row r="535" spans="2:22" s="77" customFormat="1">
      <c r="S535" s="90"/>
      <c r="T535" s="90"/>
      <c r="U535" s="90"/>
      <c r="V535" s="90"/>
    </row>
    <row r="536" spans="2:22" s="77" customFormat="1">
      <c r="B536" s="88"/>
      <c r="P536" s="89"/>
      <c r="S536" s="90"/>
      <c r="T536" s="90"/>
      <c r="U536" s="90"/>
      <c r="V536" s="90"/>
    </row>
    <row r="537" spans="2:22" s="77" customFormat="1">
      <c r="S537" s="90"/>
      <c r="T537" s="90"/>
      <c r="U537" s="90"/>
      <c r="V537" s="90"/>
    </row>
    <row r="538" spans="2:22" s="77" customFormat="1">
      <c r="S538" s="90"/>
      <c r="T538" s="90"/>
      <c r="U538" s="90"/>
      <c r="V538" s="90"/>
    </row>
    <row r="539" spans="2:22" s="77" customFormat="1">
      <c r="B539" s="88"/>
      <c r="P539" s="89"/>
      <c r="S539" s="90"/>
      <c r="T539" s="90"/>
      <c r="U539" s="90"/>
      <c r="V539" s="90"/>
    </row>
    <row r="540" spans="2:22" s="77" customFormat="1">
      <c r="S540" s="90"/>
      <c r="T540" s="90"/>
      <c r="U540" s="90"/>
      <c r="V540" s="90"/>
    </row>
    <row r="541" spans="2:22" s="77" customFormat="1">
      <c r="S541" s="90"/>
      <c r="T541" s="90"/>
      <c r="U541" s="90"/>
      <c r="V541" s="90"/>
    </row>
    <row r="542" spans="2:22" s="77" customFormat="1">
      <c r="B542" s="88"/>
      <c r="P542" s="89"/>
      <c r="S542" s="90"/>
      <c r="T542" s="90"/>
      <c r="U542" s="90"/>
      <c r="V542" s="90"/>
    </row>
    <row r="543" spans="2:22" s="77" customFormat="1">
      <c r="S543" s="90"/>
      <c r="T543" s="90"/>
      <c r="U543" s="90"/>
      <c r="V543" s="90"/>
    </row>
    <row r="544" spans="2:22" s="77" customFormat="1">
      <c r="S544" s="90"/>
      <c r="T544" s="90"/>
      <c r="U544" s="90"/>
      <c r="V544" s="90"/>
    </row>
    <row r="545" spans="2:22" s="77" customFormat="1">
      <c r="B545" s="88"/>
      <c r="P545" s="89"/>
      <c r="S545" s="90"/>
      <c r="T545" s="90"/>
      <c r="U545" s="90"/>
      <c r="V545" s="90"/>
    </row>
    <row r="546" spans="2:22" s="77" customFormat="1">
      <c r="S546" s="90"/>
      <c r="T546" s="90"/>
      <c r="U546" s="90"/>
      <c r="V546" s="90"/>
    </row>
    <row r="547" spans="2:22" s="77" customFormat="1">
      <c r="S547" s="90"/>
      <c r="T547" s="90"/>
      <c r="U547" s="90"/>
      <c r="V547" s="90"/>
    </row>
    <row r="548" spans="2:22" s="77" customFormat="1">
      <c r="B548" s="88"/>
      <c r="P548" s="89"/>
      <c r="S548" s="90"/>
      <c r="T548" s="90"/>
      <c r="U548" s="90"/>
      <c r="V548" s="90"/>
    </row>
    <row r="549" spans="2:22" s="77" customFormat="1">
      <c r="S549" s="90"/>
      <c r="T549" s="90"/>
      <c r="U549" s="90"/>
      <c r="V549" s="90"/>
    </row>
    <row r="550" spans="2:22" s="77" customFormat="1">
      <c r="S550" s="90"/>
      <c r="T550" s="90"/>
      <c r="U550" s="90"/>
      <c r="V550" s="90"/>
    </row>
    <row r="551" spans="2:22" s="77" customFormat="1">
      <c r="B551" s="88"/>
      <c r="P551" s="89"/>
      <c r="S551" s="90"/>
      <c r="T551" s="90"/>
      <c r="U551" s="90"/>
      <c r="V551" s="90"/>
    </row>
    <row r="552" spans="2:22" s="77" customFormat="1">
      <c r="S552" s="90"/>
      <c r="T552" s="90"/>
      <c r="U552" s="90"/>
      <c r="V552" s="90"/>
    </row>
    <row r="553" spans="2:22" s="77" customFormat="1">
      <c r="S553" s="90"/>
      <c r="T553" s="90"/>
      <c r="U553" s="90"/>
      <c r="V553" s="90"/>
    </row>
    <row r="554" spans="2:22" s="77" customFormat="1">
      <c r="B554" s="88"/>
      <c r="P554" s="89"/>
      <c r="S554" s="90"/>
      <c r="T554" s="90"/>
      <c r="U554" s="90"/>
      <c r="V554" s="90"/>
    </row>
    <row r="555" spans="2:22" s="77" customFormat="1">
      <c r="S555" s="90"/>
      <c r="T555" s="90"/>
      <c r="U555" s="90"/>
      <c r="V555" s="90"/>
    </row>
    <row r="556" spans="2:22" s="77" customFormat="1">
      <c r="S556" s="90"/>
      <c r="T556" s="90"/>
      <c r="U556" s="90"/>
      <c r="V556" s="90"/>
    </row>
    <row r="557" spans="2:22" s="77" customFormat="1">
      <c r="B557" s="88"/>
      <c r="P557" s="89"/>
      <c r="S557" s="90"/>
      <c r="T557" s="90"/>
      <c r="U557" s="90"/>
      <c r="V557" s="90"/>
    </row>
    <row r="558" spans="2:22" s="77" customFormat="1">
      <c r="S558" s="90"/>
      <c r="T558" s="90"/>
      <c r="U558" s="90"/>
      <c r="V558" s="90"/>
    </row>
    <row r="559" spans="2:22" s="77" customFormat="1">
      <c r="S559" s="90"/>
      <c r="T559" s="90"/>
      <c r="U559" s="90"/>
      <c r="V559" s="90"/>
    </row>
    <row r="560" spans="2:22" s="77" customFormat="1">
      <c r="B560" s="88"/>
      <c r="P560" s="89"/>
      <c r="S560" s="90"/>
      <c r="T560" s="90"/>
      <c r="U560" s="90"/>
      <c r="V560" s="90"/>
    </row>
    <row r="561" spans="2:22" s="77" customFormat="1">
      <c r="S561" s="90"/>
      <c r="T561" s="90"/>
      <c r="U561" s="90"/>
      <c r="V561" s="90"/>
    </row>
    <row r="562" spans="2:22" s="77" customFormat="1">
      <c r="S562" s="90"/>
      <c r="T562" s="90"/>
      <c r="U562" s="90"/>
      <c r="V562" s="90"/>
    </row>
    <row r="563" spans="2:22" s="77" customFormat="1">
      <c r="B563" s="88"/>
      <c r="P563" s="89"/>
      <c r="S563" s="90"/>
      <c r="T563" s="90"/>
      <c r="U563" s="90"/>
      <c r="V563" s="90"/>
    </row>
    <row r="564" spans="2:22" s="77" customFormat="1">
      <c r="S564" s="90"/>
      <c r="T564" s="90"/>
      <c r="U564" s="90"/>
      <c r="V564" s="90"/>
    </row>
    <row r="565" spans="2:22" s="77" customFormat="1">
      <c r="S565" s="90"/>
      <c r="T565" s="90"/>
      <c r="U565" s="90"/>
      <c r="V565" s="90"/>
    </row>
    <row r="566" spans="2:22" s="77" customFormat="1">
      <c r="B566" s="88"/>
      <c r="P566" s="89"/>
      <c r="S566" s="90"/>
      <c r="T566" s="90"/>
      <c r="U566" s="90"/>
      <c r="V566" s="90"/>
    </row>
    <row r="567" spans="2:22" s="77" customFormat="1">
      <c r="S567" s="90"/>
      <c r="T567" s="90"/>
      <c r="U567" s="90"/>
      <c r="V567" s="90"/>
    </row>
    <row r="568" spans="2:22" s="77" customFormat="1">
      <c r="S568" s="90"/>
      <c r="T568" s="90"/>
      <c r="U568" s="90"/>
      <c r="V568" s="90"/>
    </row>
    <row r="569" spans="2:22" s="77" customFormat="1">
      <c r="B569" s="88"/>
      <c r="P569" s="89"/>
      <c r="S569" s="90"/>
      <c r="T569" s="90"/>
      <c r="U569" s="90"/>
      <c r="V569" s="90"/>
    </row>
    <row r="570" spans="2:22" s="77" customFormat="1">
      <c r="S570" s="90"/>
      <c r="T570" s="90"/>
      <c r="U570" s="90"/>
      <c r="V570" s="90"/>
    </row>
    <row r="571" spans="2:22" s="77" customFormat="1">
      <c r="S571" s="90"/>
      <c r="T571" s="90"/>
      <c r="U571" s="90"/>
      <c r="V571" s="90"/>
    </row>
    <row r="572" spans="2:22" s="77" customFormat="1">
      <c r="B572" s="88"/>
      <c r="P572" s="89"/>
      <c r="S572" s="90"/>
      <c r="T572" s="90"/>
      <c r="U572" s="90"/>
      <c r="V572" s="90"/>
    </row>
    <row r="573" spans="2:22" s="77" customFormat="1">
      <c r="S573" s="90"/>
      <c r="T573" s="90"/>
      <c r="U573" s="90"/>
      <c r="V573" s="90"/>
    </row>
    <row r="574" spans="2:22" s="77" customFormat="1">
      <c r="S574" s="90"/>
      <c r="T574" s="90"/>
      <c r="U574" s="90"/>
      <c r="V574" s="90"/>
    </row>
    <row r="575" spans="2:22" s="77" customFormat="1">
      <c r="B575" s="88"/>
      <c r="P575" s="89"/>
      <c r="S575" s="90"/>
      <c r="T575" s="90"/>
      <c r="U575" s="90"/>
      <c r="V575" s="90"/>
    </row>
    <row r="576" spans="2:22" s="77" customFormat="1">
      <c r="S576" s="90"/>
      <c r="T576" s="90"/>
      <c r="U576" s="90"/>
      <c r="V576" s="90"/>
    </row>
    <row r="577" spans="2:22" s="77" customFormat="1">
      <c r="S577" s="90"/>
      <c r="T577" s="90"/>
      <c r="U577" s="90"/>
      <c r="V577" s="90"/>
    </row>
    <row r="578" spans="2:22" s="77" customFormat="1">
      <c r="B578" s="88"/>
      <c r="P578" s="89"/>
      <c r="S578" s="90"/>
      <c r="T578" s="90"/>
      <c r="U578" s="90"/>
      <c r="V578" s="90"/>
    </row>
    <row r="579" spans="2:22" s="77" customFormat="1">
      <c r="S579" s="90"/>
      <c r="T579" s="90"/>
      <c r="U579" s="90"/>
      <c r="V579" s="90"/>
    </row>
    <row r="580" spans="2:22" s="77" customFormat="1">
      <c r="S580" s="90"/>
      <c r="T580" s="90"/>
      <c r="U580" s="90"/>
      <c r="V580" s="90"/>
    </row>
    <row r="581" spans="2:22" s="77" customFormat="1">
      <c r="B581" s="88"/>
      <c r="P581" s="89"/>
      <c r="S581" s="90"/>
      <c r="T581" s="90"/>
      <c r="U581" s="90"/>
      <c r="V581" s="90"/>
    </row>
    <row r="582" spans="2:22" s="77" customFormat="1">
      <c r="S582" s="90"/>
      <c r="T582" s="90"/>
      <c r="U582" s="90"/>
      <c r="V582" s="90"/>
    </row>
    <row r="583" spans="2:22" s="77" customFormat="1">
      <c r="S583" s="90"/>
      <c r="T583" s="90"/>
      <c r="U583" s="90"/>
      <c r="V583" s="90"/>
    </row>
    <row r="584" spans="2:22" s="77" customFormat="1">
      <c r="B584" s="88"/>
      <c r="P584" s="89"/>
      <c r="S584" s="90"/>
      <c r="T584" s="90"/>
      <c r="U584" s="90"/>
      <c r="V584" s="90"/>
    </row>
    <row r="585" spans="2:22" s="77" customFormat="1">
      <c r="S585" s="90"/>
      <c r="T585" s="90"/>
      <c r="U585" s="90"/>
      <c r="V585" s="90"/>
    </row>
    <row r="586" spans="2:22" s="77" customFormat="1">
      <c r="S586" s="90"/>
      <c r="T586" s="90"/>
      <c r="U586" s="90"/>
      <c r="V586" s="90"/>
    </row>
    <row r="587" spans="2:22" s="77" customFormat="1">
      <c r="B587" s="88"/>
      <c r="P587" s="89"/>
      <c r="S587" s="90"/>
      <c r="T587" s="90"/>
      <c r="U587" s="90"/>
      <c r="V587" s="90"/>
    </row>
    <row r="588" spans="2:22" s="77" customFormat="1">
      <c r="S588" s="90"/>
      <c r="T588" s="90"/>
      <c r="U588" s="90"/>
      <c r="V588" s="90"/>
    </row>
    <row r="589" spans="2:22" s="77" customFormat="1">
      <c r="S589" s="90"/>
      <c r="T589" s="90"/>
      <c r="U589" s="90"/>
      <c r="V589" s="90"/>
    </row>
    <row r="590" spans="2:22" s="77" customFormat="1">
      <c r="B590" s="88"/>
      <c r="P590" s="89"/>
      <c r="S590" s="90"/>
      <c r="T590" s="90"/>
      <c r="U590" s="90"/>
      <c r="V590" s="90"/>
    </row>
    <row r="591" spans="2:22" s="77" customFormat="1">
      <c r="S591" s="90"/>
      <c r="T591" s="90"/>
      <c r="U591" s="90"/>
      <c r="V591" s="90"/>
    </row>
    <row r="592" spans="2:22" s="77" customFormat="1">
      <c r="S592" s="90"/>
      <c r="T592" s="90"/>
      <c r="U592" s="90"/>
      <c r="V592" s="90"/>
    </row>
    <row r="593" spans="2:22" s="77" customFormat="1">
      <c r="B593" s="88"/>
      <c r="P593" s="89"/>
      <c r="S593" s="90"/>
      <c r="T593" s="90"/>
      <c r="U593" s="90"/>
      <c r="V593" s="90"/>
    </row>
    <row r="594" spans="2:22" s="77" customFormat="1">
      <c r="S594" s="90"/>
      <c r="T594" s="90"/>
      <c r="U594" s="90"/>
      <c r="V594" s="90"/>
    </row>
    <row r="595" spans="2:22" s="77" customFormat="1">
      <c r="S595" s="90"/>
      <c r="T595" s="90"/>
      <c r="U595" s="90"/>
      <c r="V595" s="90"/>
    </row>
    <row r="596" spans="2:22" s="77" customFormat="1">
      <c r="B596" s="88"/>
      <c r="P596" s="89"/>
      <c r="S596" s="90"/>
      <c r="T596" s="90"/>
      <c r="U596" s="90"/>
      <c r="V596" s="90"/>
    </row>
    <row r="597" spans="2:22" s="77" customFormat="1">
      <c r="S597" s="90"/>
      <c r="T597" s="90"/>
      <c r="U597" s="90"/>
      <c r="V597" s="90"/>
    </row>
    <row r="598" spans="2:22" s="77" customFormat="1">
      <c r="S598" s="90"/>
      <c r="T598" s="90"/>
      <c r="U598" s="90"/>
      <c r="V598" s="90"/>
    </row>
    <row r="599" spans="2:22" s="77" customFormat="1">
      <c r="B599" s="88"/>
      <c r="P599" s="89"/>
      <c r="S599" s="90"/>
      <c r="T599" s="90"/>
      <c r="U599" s="90"/>
      <c r="V599" s="90"/>
    </row>
    <row r="600" spans="2:22" s="77" customFormat="1">
      <c r="S600" s="90"/>
      <c r="T600" s="90"/>
      <c r="U600" s="90"/>
      <c r="V600" s="90"/>
    </row>
    <row r="601" spans="2:22" s="77" customFormat="1">
      <c r="S601" s="90"/>
      <c r="T601" s="90"/>
      <c r="U601" s="90"/>
      <c r="V601" s="90"/>
    </row>
    <row r="602" spans="2:22" s="77" customFormat="1">
      <c r="B602" s="88"/>
      <c r="P602" s="89"/>
      <c r="S602" s="90"/>
      <c r="T602" s="90"/>
      <c r="U602" s="90"/>
      <c r="V602" s="90"/>
    </row>
    <row r="603" spans="2:22" s="77" customFormat="1">
      <c r="S603" s="90"/>
      <c r="T603" s="90"/>
      <c r="U603" s="90"/>
      <c r="V603" s="90"/>
    </row>
    <row r="604" spans="2:22" s="77" customFormat="1">
      <c r="S604" s="90"/>
      <c r="T604" s="90"/>
      <c r="U604" s="90"/>
      <c r="V604" s="90"/>
    </row>
    <row r="605" spans="2:22" s="77" customFormat="1">
      <c r="B605" s="88"/>
      <c r="P605" s="89"/>
      <c r="S605" s="90"/>
      <c r="T605" s="90"/>
      <c r="U605" s="90"/>
      <c r="V605" s="90"/>
    </row>
    <row r="606" spans="2:22" s="77" customFormat="1">
      <c r="S606" s="90"/>
      <c r="T606" s="90"/>
      <c r="U606" s="90"/>
      <c r="V606" s="90"/>
    </row>
    <row r="607" spans="2:22" s="77" customFormat="1">
      <c r="S607" s="90"/>
      <c r="T607" s="90"/>
      <c r="U607" s="90"/>
      <c r="V607" s="90"/>
    </row>
    <row r="608" spans="2:22" s="77" customFormat="1">
      <c r="B608" s="88"/>
      <c r="P608" s="89"/>
      <c r="S608" s="90"/>
      <c r="T608" s="90"/>
      <c r="U608" s="90"/>
      <c r="V608" s="90"/>
    </row>
    <row r="609" spans="2:22" s="77" customFormat="1">
      <c r="S609" s="90"/>
      <c r="T609" s="90"/>
      <c r="U609" s="90"/>
      <c r="V609" s="90"/>
    </row>
    <row r="610" spans="2:22" s="77" customFormat="1">
      <c r="S610" s="90"/>
      <c r="T610" s="90"/>
      <c r="U610" s="90"/>
      <c r="V610" s="90"/>
    </row>
    <row r="611" spans="2:22" s="77" customFormat="1">
      <c r="B611" s="88"/>
      <c r="P611" s="89"/>
      <c r="S611" s="90"/>
      <c r="T611" s="90"/>
      <c r="U611" s="90"/>
      <c r="V611" s="90"/>
    </row>
    <row r="612" spans="2:22" s="77" customFormat="1">
      <c r="S612" s="90"/>
      <c r="T612" s="90"/>
      <c r="U612" s="90"/>
      <c r="V612" s="90"/>
    </row>
    <row r="613" spans="2:22" s="77" customFormat="1">
      <c r="S613" s="90"/>
      <c r="T613" s="90"/>
      <c r="U613" s="90"/>
      <c r="V613" s="90"/>
    </row>
    <row r="614" spans="2:22" s="77" customFormat="1">
      <c r="B614" s="88"/>
      <c r="P614" s="89"/>
      <c r="S614" s="90"/>
      <c r="T614" s="90"/>
      <c r="U614" s="90"/>
      <c r="V614" s="90"/>
    </row>
    <row r="615" spans="2:22" s="77" customFormat="1">
      <c r="S615" s="90"/>
      <c r="T615" s="90"/>
      <c r="U615" s="90"/>
      <c r="V615" s="90"/>
    </row>
    <row r="616" spans="2:22" s="77" customFormat="1">
      <c r="S616" s="90"/>
      <c r="T616" s="90"/>
      <c r="U616" s="90"/>
      <c r="V616" s="90"/>
    </row>
    <row r="617" spans="2:22" s="77" customFormat="1">
      <c r="B617" s="88"/>
      <c r="P617" s="89"/>
      <c r="S617" s="90"/>
      <c r="T617" s="90"/>
      <c r="U617" s="90"/>
      <c r="V617" s="90"/>
    </row>
    <row r="618" spans="2:22" s="77" customFormat="1"/>
    <row r="619" spans="2:22" s="77" customFormat="1"/>
    <row r="620" spans="2:22" s="77" customFormat="1"/>
    <row r="621" spans="2:22" s="77" customFormat="1"/>
    <row r="622" spans="2:22" s="77" customFormat="1"/>
    <row r="623" spans="2:22" s="77" customFormat="1"/>
    <row r="624" spans="2:22" s="77" customFormat="1"/>
    <row r="625" s="77" customFormat="1"/>
    <row r="626" s="77" customFormat="1"/>
    <row r="627" s="77" customFormat="1"/>
    <row r="628" s="77" customFormat="1"/>
    <row r="629" s="77" customFormat="1"/>
    <row r="630" s="77" customFormat="1"/>
    <row r="631" s="77" customFormat="1"/>
    <row r="632" s="77" customFormat="1"/>
    <row r="633" s="77" customFormat="1"/>
    <row r="634" s="77" customFormat="1"/>
    <row r="635" s="77" customFormat="1"/>
    <row r="636" s="77" customFormat="1"/>
    <row r="637" s="77" customFormat="1"/>
    <row r="638" s="77" customFormat="1"/>
    <row r="639" s="77" customFormat="1"/>
    <row r="640" s="77" customFormat="1"/>
    <row r="641" s="77" customFormat="1"/>
    <row r="642" s="77" customFormat="1"/>
    <row r="643" s="77" customFormat="1"/>
    <row r="644" s="77" customFormat="1"/>
    <row r="645" s="77" customFormat="1"/>
    <row r="646" s="77" customFormat="1"/>
    <row r="647" s="77" customFormat="1"/>
    <row r="648" s="77" customFormat="1"/>
    <row r="649" s="77" customFormat="1"/>
    <row r="650" s="77" customFormat="1"/>
    <row r="651" s="77" customFormat="1"/>
    <row r="652" s="77" customFormat="1"/>
    <row r="653" s="77" customFormat="1"/>
    <row r="654" s="77" customFormat="1"/>
    <row r="655" s="77" customFormat="1"/>
    <row r="656" s="77" customFormat="1"/>
    <row r="657" s="77" customFormat="1"/>
    <row r="658" s="77" customFormat="1"/>
    <row r="659" s="77" customFormat="1"/>
    <row r="660" s="77" customFormat="1"/>
    <row r="661" s="77" customFormat="1"/>
    <row r="662" s="77" customFormat="1"/>
    <row r="663" s="77" customFormat="1"/>
    <row r="664" s="77" customFormat="1"/>
    <row r="665" s="77" customFormat="1"/>
    <row r="666" s="77" customFormat="1"/>
    <row r="667" s="77" customFormat="1"/>
    <row r="668" s="77" customFormat="1"/>
    <row r="669" s="77" customFormat="1"/>
    <row r="670" s="77" customFormat="1"/>
    <row r="671" s="77" customFormat="1"/>
    <row r="672" s="77" customFormat="1"/>
    <row r="673" s="77" customFormat="1"/>
    <row r="674" s="77" customFormat="1"/>
    <row r="675" s="77" customFormat="1"/>
    <row r="676" s="77" customFormat="1"/>
    <row r="677" s="77" customFormat="1"/>
    <row r="678" s="77" customFormat="1"/>
    <row r="679" s="77" customFormat="1"/>
    <row r="680" s="77" customFormat="1"/>
    <row r="681" s="77" customFormat="1"/>
    <row r="682" s="77" customFormat="1"/>
    <row r="683" s="77" customFormat="1"/>
    <row r="684" s="77" customFormat="1"/>
    <row r="685" s="77" customFormat="1"/>
    <row r="686" s="77" customFormat="1"/>
    <row r="687" s="77" customFormat="1"/>
    <row r="688" s="77" customFormat="1"/>
    <row r="689" s="77" customFormat="1"/>
    <row r="690" s="77" customFormat="1"/>
    <row r="691" s="77" customFormat="1"/>
    <row r="692" s="77" customFormat="1"/>
    <row r="693" s="77" customFormat="1"/>
    <row r="694" s="77" customFormat="1"/>
    <row r="695" s="77" customFormat="1"/>
    <row r="696" s="77" customFormat="1"/>
    <row r="697" s="77" customFormat="1"/>
    <row r="698" s="77" customFormat="1"/>
    <row r="699" s="77" customFormat="1"/>
    <row r="700" s="77" customFormat="1"/>
    <row r="701" s="77" customFormat="1"/>
    <row r="702" s="77" customFormat="1"/>
    <row r="703" s="77" customFormat="1"/>
    <row r="704" s="77" customFormat="1"/>
    <row r="705" s="77" customFormat="1"/>
    <row r="706" s="77" customFormat="1"/>
    <row r="707" s="77" customFormat="1"/>
    <row r="708" s="77" customFormat="1"/>
    <row r="709" s="77" customFormat="1"/>
    <row r="710" s="77" customFormat="1"/>
    <row r="711" s="77" customFormat="1"/>
    <row r="712" s="77" customFormat="1"/>
    <row r="713" s="77" customFormat="1"/>
    <row r="714" s="77" customFormat="1"/>
    <row r="715" s="77" customFormat="1"/>
    <row r="716" s="77" customFormat="1"/>
    <row r="717" s="77" customFormat="1"/>
    <row r="718" s="77" customFormat="1"/>
    <row r="719" s="77" customFormat="1"/>
    <row r="720" s="77" customFormat="1"/>
    <row r="721" s="77" customFormat="1"/>
    <row r="722" s="77" customFormat="1"/>
    <row r="723" s="77" customFormat="1"/>
    <row r="724" s="77" customFormat="1"/>
    <row r="725" s="77" customFormat="1"/>
    <row r="726" s="77" customFormat="1"/>
    <row r="727" s="77" customFormat="1"/>
    <row r="728" s="77" customFormat="1"/>
    <row r="729" s="77" customFormat="1"/>
    <row r="730" s="77" customFormat="1"/>
    <row r="731" s="77" customFormat="1"/>
    <row r="732" s="77" customFormat="1"/>
    <row r="733" s="77" customFormat="1"/>
    <row r="734" s="77" customFormat="1"/>
    <row r="735" s="77" customFormat="1"/>
    <row r="736" s="77" customFormat="1"/>
    <row r="737" s="77" customFormat="1"/>
    <row r="738" s="77" customFormat="1"/>
    <row r="739" s="77" customFormat="1"/>
    <row r="740" s="77" customFormat="1"/>
    <row r="741" s="77" customFormat="1"/>
    <row r="742" s="77" customFormat="1"/>
    <row r="743" s="77" customFormat="1"/>
    <row r="744" s="77" customFormat="1"/>
    <row r="745" s="77" customFormat="1"/>
    <row r="746" s="77" customFormat="1"/>
    <row r="747" s="77" customFormat="1"/>
    <row r="748" s="77" customFormat="1"/>
    <row r="749" s="77" customFormat="1"/>
    <row r="750" s="77" customFormat="1"/>
    <row r="751" s="77" customFormat="1"/>
    <row r="752" s="77" customFormat="1"/>
    <row r="753" s="77" customFormat="1"/>
    <row r="754" s="77" customFormat="1"/>
    <row r="755" s="77" customFormat="1"/>
    <row r="756" s="77" customFormat="1"/>
    <row r="757" s="77" customFormat="1"/>
    <row r="758" s="77" customFormat="1"/>
    <row r="759" s="77" customFormat="1"/>
    <row r="760" s="77" customFormat="1"/>
    <row r="761" s="77" customFormat="1"/>
    <row r="762" s="77" customFormat="1"/>
    <row r="763" s="77" customFormat="1"/>
    <row r="764" s="77" customFormat="1"/>
    <row r="765" s="77" customFormat="1"/>
    <row r="766" s="77" customFormat="1"/>
    <row r="767" s="77" customFormat="1"/>
    <row r="768" s="77" customFormat="1"/>
    <row r="769" s="77" customFormat="1"/>
    <row r="770" s="77" customFormat="1"/>
    <row r="771" s="77" customFormat="1"/>
    <row r="772" s="77" customFormat="1"/>
    <row r="773" s="77" customFormat="1"/>
    <row r="774" s="77" customFormat="1"/>
    <row r="775" s="77" customFormat="1"/>
    <row r="776" s="77" customFormat="1"/>
    <row r="777" s="77" customFormat="1"/>
    <row r="778" s="77" customFormat="1"/>
    <row r="779" s="77" customFormat="1"/>
    <row r="780" s="77" customFormat="1"/>
    <row r="781" s="77" customFormat="1"/>
    <row r="782" s="77" customFormat="1"/>
    <row r="783" s="77" customFormat="1"/>
    <row r="784" s="77" customFormat="1"/>
    <row r="785" s="77" customFormat="1"/>
    <row r="786" s="77" customFormat="1"/>
    <row r="787" s="77" customFormat="1"/>
    <row r="788" s="77" customFormat="1"/>
    <row r="789" s="77" customFormat="1"/>
    <row r="790" s="77" customFormat="1"/>
    <row r="791" s="77" customFormat="1"/>
    <row r="792" s="77" customFormat="1"/>
    <row r="793" s="77" customFormat="1"/>
    <row r="794" s="77" customFormat="1"/>
    <row r="795" s="77" customFormat="1"/>
    <row r="796" s="77" customFormat="1"/>
    <row r="797" s="77" customFormat="1"/>
    <row r="798" s="77" customFormat="1"/>
    <row r="799" s="77" customFormat="1"/>
    <row r="800" s="77" customFormat="1"/>
    <row r="801" s="77" customFormat="1"/>
    <row r="802" s="77" customFormat="1"/>
    <row r="803" s="77" customFormat="1"/>
    <row r="804" s="77" customFormat="1"/>
    <row r="805" s="77" customFormat="1"/>
    <row r="806" s="77" customFormat="1"/>
    <row r="807" s="77" customFormat="1"/>
    <row r="808" s="77" customFormat="1"/>
    <row r="809" s="77" customFormat="1"/>
    <row r="810" s="77" customFormat="1"/>
    <row r="811" s="77" customFormat="1"/>
    <row r="812" s="77" customFormat="1"/>
    <row r="813" s="77" customFormat="1"/>
    <row r="814" s="77" customFormat="1"/>
    <row r="815" s="77" customFormat="1"/>
    <row r="816" s="77" customFormat="1"/>
    <row r="817" s="77" customFormat="1"/>
    <row r="818" s="77" customFormat="1"/>
    <row r="819" s="77" customFormat="1"/>
    <row r="820" s="77" customFormat="1"/>
    <row r="821" s="77" customFormat="1"/>
    <row r="822" s="77" customFormat="1"/>
    <row r="823" s="77" customFormat="1"/>
    <row r="824" s="77" customFormat="1"/>
    <row r="825" s="77" customFormat="1"/>
    <row r="826" s="77" customFormat="1"/>
    <row r="827" s="77" customFormat="1"/>
    <row r="828" s="77" customFormat="1"/>
    <row r="829" s="77" customFormat="1"/>
    <row r="830" s="77" customFormat="1"/>
    <row r="831" s="77" customFormat="1"/>
    <row r="832" s="77" customFormat="1"/>
    <row r="833" s="77" customFormat="1"/>
    <row r="834" s="77" customFormat="1"/>
    <row r="835" s="77" customFormat="1"/>
    <row r="836" s="77" customFormat="1"/>
    <row r="837" s="77" customFormat="1"/>
    <row r="838" s="77" customFormat="1"/>
    <row r="839" s="77" customFormat="1"/>
    <row r="840" s="77" customFormat="1"/>
    <row r="841" s="77" customFormat="1"/>
    <row r="842" s="77" customFormat="1"/>
    <row r="843" s="77" customFormat="1"/>
    <row r="844" s="77" customFormat="1"/>
    <row r="845" s="77" customFormat="1"/>
    <row r="846" s="77" customFormat="1"/>
    <row r="847" s="77" customFormat="1"/>
    <row r="848" s="77" customFormat="1"/>
    <row r="849" s="77" customFormat="1"/>
    <row r="850" s="77" customFormat="1"/>
    <row r="851" s="77" customFormat="1"/>
    <row r="852" s="77" customFormat="1"/>
    <row r="853" s="77" customFormat="1"/>
    <row r="854" s="77" customFormat="1"/>
    <row r="855" s="77" customFormat="1"/>
    <row r="856" s="77" customFormat="1"/>
    <row r="857" s="77" customFormat="1"/>
    <row r="858" s="77" customFormat="1"/>
    <row r="859" s="77" customFormat="1"/>
    <row r="860" s="77" customFormat="1"/>
    <row r="861" s="77" customFormat="1"/>
    <row r="862" s="77" customFormat="1"/>
    <row r="863" s="77" customFormat="1"/>
    <row r="864" s="77" customFormat="1"/>
    <row r="865" s="77" customFormat="1"/>
    <row r="866" s="77" customFormat="1"/>
    <row r="867" s="77" customFormat="1"/>
    <row r="868" s="77" customFormat="1"/>
    <row r="869" s="77" customFormat="1"/>
    <row r="870" s="77" customFormat="1"/>
    <row r="871" s="77" customFormat="1"/>
    <row r="872" s="77" customFormat="1"/>
    <row r="873" s="77" customFormat="1"/>
    <row r="874" s="77" customFormat="1"/>
    <row r="875" s="77" customFormat="1"/>
    <row r="876" s="77" customFormat="1"/>
    <row r="877" s="77" customFormat="1"/>
    <row r="878" s="77" customFormat="1"/>
    <row r="879" s="77" customFormat="1"/>
    <row r="880" s="77" customFormat="1"/>
    <row r="881" s="77" customFormat="1"/>
    <row r="882" s="77" customForma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D5A9B0-2913-4BEC-BE71-C8C341A9498F}">
  <ds:schemaRefs>
    <ds:schemaRef ds:uri="http://schemas.microsoft.com/sharepoint/v3/contenttype/forms"/>
  </ds:schemaRefs>
</ds:datastoreItem>
</file>

<file path=customXml/itemProps2.xml><?xml version="1.0" encoding="utf-8"?>
<ds:datastoreItem xmlns:ds="http://schemas.openxmlformats.org/officeDocument/2006/customXml" ds:itemID="{E6610B19-3ACD-4CA3-AE1E-9FB250D666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6DB363-0BE4-4B2A-922A-835295257B00}">
  <ds:schemaRefs>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http://purl.org/dc/elements/1.1/"/>
    <ds:schemaRef ds:uri="d3553cee-4ecc-4eb5-80d8-f24f98131822"/>
    <ds:schemaRef ds:uri="http://schemas.openxmlformats.org/package/2006/metadata/core-properties"/>
    <ds:schemaRef ds:uri="fc2f2499-f938-4cc0-a2cd-f3e7b3a200ae"/>
    <ds:schemaRef ds:uri="http://schemas.microsoft.com/office/2006/metadata/properties"/>
  </ds:schemaRefs>
</ds:datastoreItem>
</file>

<file path=docMetadata/LabelInfo.xml><?xml version="1.0" encoding="utf-8"?>
<clbl:labelList xmlns:clbl="http://schemas.microsoft.com/office/2020/mipLabelMetadata">
  <clbl:label id="{eb20950b-168c-497a-9845-2b099844f3ef}" enabled="0" method="" siteId="{eb20950b-168c-497a-9845-2b099844f3e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114</vt:i4>
      </vt:variant>
    </vt:vector>
  </HeadingPairs>
  <TitlesOfParts>
    <vt:vector size="125" baseType="lpstr">
      <vt:lpstr>NEW...Tables 87-90</vt:lpstr>
      <vt:lpstr>OLD...Tables</vt:lpstr>
      <vt:lpstr>NEW...Tables 91-112</vt:lpstr>
      <vt:lpstr>OLD...Tabs</vt:lpstr>
      <vt:lpstr>Pivot Table for Data Exchange</vt:lpstr>
      <vt:lpstr>05InstructionTypes</vt:lpstr>
      <vt:lpstr>Sheet1</vt:lpstr>
      <vt:lpstr>Format for DE pivot</vt:lpstr>
      <vt:lpstr>Summary Table for Fact Book</vt:lpstr>
      <vt:lpstr>Pivot Table for Fact Book</vt:lpstr>
      <vt:lpstr>Format for FB Pivot Tab</vt:lpstr>
      <vt:lpstr>'NEW...Tables 87-90'!Print_Area</vt:lpstr>
      <vt:lpstr>'NEW...Tables 91-112'!Print_Area</vt:lpstr>
      <vt:lpstr>OLD...Tables!Print_Area</vt:lpstr>
      <vt:lpstr>OLD...Tabs!Print_Area</vt:lpstr>
      <vt:lpstr>'05InstructionTypes'!Type13gr1_1</vt:lpstr>
      <vt:lpstr>'05InstructionTypes'!Type13gr1_10</vt:lpstr>
      <vt:lpstr>'05InstructionTypes'!Type13gr1_11</vt:lpstr>
      <vt:lpstr>'05InstructionTypes'!Type13gr1_2</vt:lpstr>
      <vt:lpstr>'05InstructionTypes'!Type13gr1_3</vt:lpstr>
      <vt:lpstr>'05InstructionTypes'!Type13gr1_4</vt:lpstr>
      <vt:lpstr>'05InstructionTypes'!Type13gr1_5</vt:lpstr>
      <vt:lpstr>'05InstructionTypes'!Type13gr1_6</vt:lpstr>
      <vt:lpstr>'05InstructionTypes'!Type13gr1_7</vt:lpstr>
      <vt:lpstr>'05InstructionTypes'!Type13gr1_8</vt:lpstr>
      <vt:lpstr>'05InstructionTypes'!Type13gr1_9</vt:lpstr>
      <vt:lpstr>'05InstructionTypes'!Type13gr2_1</vt:lpstr>
      <vt:lpstr>'05InstructionTypes'!Type13gr2_10</vt:lpstr>
      <vt:lpstr>'05InstructionTypes'!Type13gr2_11</vt:lpstr>
      <vt:lpstr>'05InstructionTypes'!Type13gr2_2</vt:lpstr>
      <vt:lpstr>'05InstructionTypes'!Type13gr2_3</vt:lpstr>
      <vt:lpstr>'05InstructionTypes'!Type13gr2_4</vt:lpstr>
      <vt:lpstr>'05InstructionTypes'!Type13gr2_5</vt:lpstr>
      <vt:lpstr>'05InstructionTypes'!Type13gr2_6</vt:lpstr>
      <vt:lpstr>'05InstructionTypes'!Type13gr2_7</vt:lpstr>
      <vt:lpstr>'05InstructionTypes'!Type13gr2_8</vt:lpstr>
      <vt:lpstr>'05InstructionTypes'!Type13gr2_9</vt:lpstr>
      <vt:lpstr>'05InstructionTypes'!Type13gr3_1</vt:lpstr>
      <vt:lpstr>'05InstructionTypes'!Type13gr3_10</vt:lpstr>
      <vt:lpstr>'05InstructionTypes'!Type13gr3_11</vt:lpstr>
      <vt:lpstr>'05InstructionTypes'!Type13gr3_2</vt:lpstr>
      <vt:lpstr>'05InstructionTypes'!Type13gr3_3</vt:lpstr>
      <vt:lpstr>'05InstructionTypes'!Type13gr3_4</vt:lpstr>
      <vt:lpstr>'05InstructionTypes'!Type13gr3_5</vt:lpstr>
      <vt:lpstr>'05InstructionTypes'!Type13gr3_6</vt:lpstr>
      <vt:lpstr>'05InstructionTypes'!Type13gr3_7</vt:lpstr>
      <vt:lpstr>'05InstructionTypes'!Type13gr3_8</vt:lpstr>
      <vt:lpstr>'05InstructionTypes'!Type13gr3_9</vt:lpstr>
      <vt:lpstr>'05InstructionTypes'!Type13gr4_1</vt:lpstr>
      <vt:lpstr>'05InstructionTypes'!Type13gr4_10</vt:lpstr>
      <vt:lpstr>'05InstructionTypes'!Type13gr4_11</vt:lpstr>
      <vt:lpstr>'05InstructionTypes'!Type13gr4_2</vt:lpstr>
      <vt:lpstr>'05InstructionTypes'!Type13gr4_3</vt:lpstr>
      <vt:lpstr>'05InstructionTypes'!Type13gr4_4</vt:lpstr>
      <vt:lpstr>'05InstructionTypes'!Type13gr4_5</vt:lpstr>
      <vt:lpstr>'05InstructionTypes'!Type13gr4_6</vt:lpstr>
      <vt:lpstr>'05InstructionTypes'!Type13gr4_7</vt:lpstr>
      <vt:lpstr>'05InstructionTypes'!Type13gr4_8</vt:lpstr>
      <vt:lpstr>'05InstructionTypes'!Type13gr4_9</vt:lpstr>
      <vt:lpstr>'05InstructionTypes'!Type13gr5_10</vt:lpstr>
      <vt:lpstr>'05InstructionTypes'!Type13gr5_11</vt:lpstr>
      <vt:lpstr>'05InstructionTypes'!Type13gr5_12</vt:lpstr>
      <vt:lpstr>'05InstructionTypes'!Type13gr5_2</vt:lpstr>
      <vt:lpstr>'05InstructionTypes'!Type13gr5_3</vt:lpstr>
      <vt:lpstr>'05InstructionTypes'!Type13gr5_4</vt:lpstr>
      <vt:lpstr>'05InstructionTypes'!Type13gr5_5</vt:lpstr>
      <vt:lpstr>'05InstructionTypes'!Type13gr5_6</vt:lpstr>
      <vt:lpstr>'05InstructionTypes'!Type13gr5_7</vt:lpstr>
      <vt:lpstr>'05InstructionTypes'!Type13gr5_8</vt:lpstr>
      <vt:lpstr>'05InstructionTypes'!Type13gr5_9</vt:lpstr>
      <vt:lpstr>'05InstructionTypes'!Type13ug1_1</vt:lpstr>
      <vt:lpstr>'05InstructionTypes'!Type13ug1_10</vt:lpstr>
      <vt:lpstr>'05InstructionTypes'!Type13ug1_11</vt:lpstr>
      <vt:lpstr>'05InstructionTypes'!Type13ug1_2</vt:lpstr>
      <vt:lpstr>'05InstructionTypes'!Type13ug1_3</vt:lpstr>
      <vt:lpstr>'05InstructionTypes'!Type13ug1_4</vt:lpstr>
      <vt:lpstr>'05InstructionTypes'!Type13ug1_5</vt:lpstr>
      <vt:lpstr>'05InstructionTypes'!Type13ug1_6</vt:lpstr>
      <vt:lpstr>'05InstructionTypes'!Type13ug1_7</vt:lpstr>
      <vt:lpstr>'05InstructionTypes'!Type13ug1_8</vt:lpstr>
      <vt:lpstr>'05InstructionTypes'!Type13ug1_9</vt:lpstr>
      <vt:lpstr>'05InstructionTypes'!Type13ug2_1</vt:lpstr>
      <vt:lpstr>'05InstructionTypes'!Type13ug2_10</vt:lpstr>
      <vt:lpstr>'05InstructionTypes'!Type13ug2_11</vt:lpstr>
      <vt:lpstr>'05InstructionTypes'!Type13ug2_2</vt:lpstr>
      <vt:lpstr>'05InstructionTypes'!Type13ug2_3</vt:lpstr>
      <vt:lpstr>'05InstructionTypes'!Type13ug2_4</vt:lpstr>
      <vt:lpstr>'05InstructionTypes'!Type13ug2_5</vt:lpstr>
      <vt:lpstr>'05InstructionTypes'!Type13ug2_6</vt:lpstr>
      <vt:lpstr>'05InstructionTypes'!Type13ug2_7</vt:lpstr>
      <vt:lpstr>'05InstructionTypes'!Type13ug2_8</vt:lpstr>
      <vt:lpstr>'05InstructionTypes'!Type13ug2_9</vt:lpstr>
      <vt:lpstr>'05InstructionTypes'!Type13ug3_1</vt:lpstr>
      <vt:lpstr>'05InstructionTypes'!Type13ug3_10</vt:lpstr>
      <vt:lpstr>'05InstructionTypes'!Type13ug3_11</vt:lpstr>
      <vt:lpstr>'05InstructionTypes'!Type13ug3_2</vt:lpstr>
      <vt:lpstr>'05InstructionTypes'!Type13ug3_3</vt:lpstr>
      <vt:lpstr>'05InstructionTypes'!Type13ug3_4</vt:lpstr>
      <vt:lpstr>'05InstructionTypes'!Type13ug3_5</vt:lpstr>
      <vt:lpstr>'05InstructionTypes'!Type13ug3_6</vt:lpstr>
      <vt:lpstr>'05InstructionTypes'!Type13ug3_7</vt:lpstr>
      <vt:lpstr>'05InstructionTypes'!Type13ug3_8</vt:lpstr>
      <vt:lpstr>'05InstructionTypes'!Type13ug3_9</vt:lpstr>
      <vt:lpstr>'05InstructionTypes'!Type13ug4_1</vt:lpstr>
      <vt:lpstr>'05InstructionTypes'!Type13ug4_10</vt:lpstr>
      <vt:lpstr>'05InstructionTypes'!Type13ug4_11</vt:lpstr>
      <vt:lpstr>'05InstructionTypes'!Type13ug4_2</vt:lpstr>
      <vt:lpstr>'05InstructionTypes'!Type13ug4_3</vt:lpstr>
      <vt:lpstr>'05InstructionTypes'!Type13ug4_4</vt:lpstr>
      <vt:lpstr>'05InstructionTypes'!Type13ug4_5</vt:lpstr>
      <vt:lpstr>'05InstructionTypes'!Type13ug4_6</vt:lpstr>
      <vt:lpstr>'05InstructionTypes'!Type13ug4_7</vt:lpstr>
      <vt:lpstr>'05InstructionTypes'!Type13ug4_8</vt:lpstr>
      <vt:lpstr>'05InstructionTypes'!Type13ug4_9</vt:lpstr>
      <vt:lpstr>'05InstructionTypes'!Type13ug5_1</vt:lpstr>
      <vt:lpstr>'05InstructionTypes'!Type13ug5_10</vt:lpstr>
      <vt:lpstr>'05InstructionTypes'!Type13ug5_11</vt:lpstr>
      <vt:lpstr>'05InstructionTypes'!Type13ug5_2</vt:lpstr>
      <vt:lpstr>'05InstructionTypes'!Type13ug5_3</vt:lpstr>
      <vt:lpstr>'05InstructionTypes'!Type13ug5_4</vt:lpstr>
      <vt:lpstr>'05InstructionTypes'!Type13ug5_5</vt:lpstr>
      <vt:lpstr>'05InstructionTypes'!Type13ug5_6</vt:lpstr>
      <vt:lpstr>'05InstructionTypes'!Type13ug5_7</vt:lpstr>
      <vt:lpstr>'05InstructionTypes'!Type13ug5_8</vt:lpstr>
      <vt:lpstr>'05InstructionTypes'!Type13ug5_9</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SREB</dc:creator>
  <cp:lastModifiedBy>Robert Aycock</cp:lastModifiedBy>
  <cp:lastPrinted>2016-03-15T16:03:45Z</cp:lastPrinted>
  <dcterms:created xsi:type="dcterms:W3CDTF">2010-11-24T15:25:05Z</dcterms:created>
  <dcterms:modified xsi:type="dcterms:W3CDTF">2023-10-19T19:31:32Z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rvey">
    <vt:lpwstr>05InstructionTypes</vt:lpwstr>
  </property>
  <property fmtid="{D5CDD505-2E9C-101B-9397-08002B2CF9AE}" pid="3" name="Survey Status">
    <vt:lpwstr>Template</vt:lpwstr>
  </property>
  <property fmtid="{D5CDD505-2E9C-101B-9397-08002B2CF9AE}" pid="4" name="State">
    <vt:lpwstr>AL</vt:lpwstr>
  </property>
  <property fmtid="{D5CDD505-2E9C-101B-9397-08002B2CF9AE}" pid="5" name="Agency">
    <vt:lpwstr>ACHE</vt:lpwstr>
  </property>
  <property fmtid="{D5CDD505-2E9C-101B-9397-08002B2CF9AE}" pid="6" name="ContentTypeId">
    <vt:lpwstr>0x0101008C9207C4D8AB6E4A9864D320D8693611</vt:lpwstr>
  </property>
  <property fmtid="{D5CDD505-2E9C-101B-9397-08002B2CF9AE}" pid="7" name="WorkflowChangePath">
    <vt:lpwstr>133843d5-d372-4001-96eb-52efd1ea8343,2;133843d5-d372-4001-96eb-52efd1ea8343,2;133843d5-d372-4001-96eb-52efd1ea8343,2;eaa8b4b4-d670-43a5-acb7-15cc2bb80337,4;eaa8b4b4-d670-43a5-acb7-15cc2bb80337,4;133843d5-d372-4001-96eb-52efd1ea8343,5;133843d5-d372-4001-96</vt:lpwstr>
  </property>
</Properties>
</file>